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237D529A-1A7B-4EB1-83A2-201323484839}" xr6:coauthVersionLast="47" xr6:coauthVersionMax="47" xr10:uidLastSave="{00000000-0000-0000-0000-000000000000}"/>
  <bookViews>
    <workbookView xWindow="-120" yWindow="-120" windowWidth="20730" windowHeight="11160" tabRatio="859" activeTab="3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Standart'!$A$1:$K$237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 calcMode="manual"/>
</workbook>
</file>

<file path=xl/calcChain.xml><?xml version="1.0" encoding="utf-8"?>
<calcChain xmlns="http://schemas.openxmlformats.org/spreadsheetml/2006/main">
  <c r="F97" i="11" l="1"/>
  <c r="F96" i="11"/>
  <c r="F95" i="11"/>
  <c r="F94" i="11"/>
  <c r="F93" i="11"/>
  <c r="F92" i="11"/>
  <c r="F91" i="11"/>
  <c r="F90" i="11"/>
  <c r="F89" i="11"/>
  <c r="E97" i="11"/>
  <c r="D97" i="11"/>
  <c r="E96" i="11"/>
  <c r="D96" i="11"/>
  <c r="J96" i="11" s="1"/>
  <c r="E95" i="11"/>
  <c r="D95" i="11"/>
  <c r="H95" i="11" s="1"/>
  <c r="E94" i="11"/>
  <c r="D94" i="11"/>
  <c r="H94" i="11" s="1"/>
  <c r="F103" i="11"/>
  <c r="F101" i="11"/>
  <c r="F100" i="11"/>
  <c r="F102" i="11" s="1"/>
  <c r="E103" i="11"/>
  <c r="D103" i="11"/>
  <c r="E102" i="11"/>
  <c r="D102" i="11"/>
  <c r="J102" i="11" s="1"/>
  <c r="E101" i="11"/>
  <c r="D101" i="11"/>
  <c r="E100" i="11"/>
  <c r="D100" i="11"/>
  <c r="I100" i="11" s="1"/>
  <c r="G99" i="11"/>
  <c r="E99" i="11"/>
  <c r="D99" i="11"/>
  <c r="J99" i="11" s="1"/>
  <c r="G98" i="11"/>
  <c r="E98" i="11"/>
  <c r="D98" i="11"/>
  <c r="I98" i="11" s="1"/>
  <c r="Y33" i="80"/>
  <c r="E93" i="11"/>
  <c r="D93" i="11"/>
  <c r="E92" i="11"/>
  <c r="D92" i="11"/>
  <c r="J92" i="11" s="1"/>
  <c r="E91" i="11"/>
  <c r="D91" i="11"/>
  <c r="J91" i="11" s="1"/>
  <c r="E90" i="11"/>
  <c r="D90" i="11"/>
  <c r="J90" i="11" s="1"/>
  <c r="E89" i="11"/>
  <c r="D89" i="11"/>
  <c r="G88" i="11"/>
  <c r="E88" i="11"/>
  <c r="D88" i="11"/>
  <c r="I88" i="11" s="1"/>
  <c r="G87" i="11"/>
  <c r="E87" i="11"/>
  <c r="D87" i="11"/>
  <c r="I87" i="11" s="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E86" i="11"/>
  <c r="D86" i="11"/>
  <c r="E85" i="11"/>
  <c r="D85" i="11"/>
  <c r="J85" i="11" s="1"/>
  <c r="E84" i="11"/>
  <c r="D84" i="11"/>
  <c r="J84" i="11" s="1"/>
  <c r="E83" i="11"/>
  <c r="D83" i="11"/>
  <c r="J83" i="11" s="1"/>
  <c r="E82" i="11"/>
  <c r="D82" i="11"/>
  <c r="J82" i="11" s="1"/>
  <c r="E81" i="11"/>
  <c r="D81" i="11"/>
  <c r="J81" i="11" s="1"/>
  <c r="E80" i="11"/>
  <c r="D80" i="11"/>
  <c r="J80" i="11" s="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E75" i="11"/>
  <c r="D75" i="11"/>
  <c r="J75" i="11" s="1"/>
  <c r="E74" i="11"/>
  <c r="D74" i="11"/>
  <c r="J74" i="11" s="1"/>
  <c r="E73" i="11"/>
  <c r="D73" i="11"/>
  <c r="J73" i="11" s="1"/>
  <c r="E72" i="11"/>
  <c r="D72" i="11"/>
  <c r="J72" i="11" s="1"/>
  <c r="E71" i="11"/>
  <c r="D71" i="11"/>
  <c r="J71" i="11" s="1"/>
  <c r="E70" i="11"/>
  <c r="D70" i="11"/>
  <c r="J70" i="11" s="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G64" i="11"/>
  <c r="E64" i="11"/>
  <c r="D64" i="11"/>
  <c r="J64" i="11" s="1"/>
  <c r="G63" i="11"/>
  <c r="E63" i="11"/>
  <c r="D63" i="11"/>
  <c r="J63" i="11" s="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148" i="11"/>
  <c r="F146" i="11"/>
  <c r="F214" i="11"/>
  <c r="F213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212" i="11" s="1"/>
  <c r="F195" i="11"/>
  <c r="F211" i="11" s="1"/>
  <c r="F161" i="11"/>
  <c r="F160" i="11"/>
  <c r="F159" i="11"/>
  <c r="F158" i="11"/>
  <c r="F157" i="11"/>
  <c r="F156" i="11"/>
  <c r="F155" i="11"/>
  <c r="F154" i="11"/>
  <c r="F153" i="11"/>
  <c r="F152" i="11"/>
  <c r="H97" i="11" l="1"/>
  <c r="J95" i="11"/>
  <c r="J94" i="11"/>
  <c r="H96" i="11"/>
  <c r="I97" i="11"/>
  <c r="H98" i="11"/>
  <c r="J98" i="11"/>
  <c r="J100" i="11"/>
  <c r="H99" i="11"/>
  <c r="J101" i="11"/>
  <c r="H103" i="11"/>
  <c r="I99" i="11"/>
  <c r="H102" i="11"/>
  <c r="I103" i="11"/>
  <c r="H101" i="11"/>
  <c r="J93" i="11"/>
  <c r="H90" i="11"/>
  <c r="H91" i="11"/>
  <c r="H92" i="11"/>
  <c r="H93" i="11"/>
  <c r="J87" i="11"/>
  <c r="J88" i="11"/>
  <c r="J89" i="11"/>
  <c r="H87" i="11"/>
  <c r="H88" i="11"/>
  <c r="H89" i="11"/>
  <c r="H79" i="11"/>
  <c r="H80" i="11"/>
  <c r="H81" i="11"/>
  <c r="H82" i="11"/>
  <c r="H83" i="11"/>
  <c r="H84" i="11"/>
  <c r="H85" i="11"/>
  <c r="H86" i="11"/>
  <c r="H63" i="11"/>
  <c r="H64" i="11"/>
  <c r="H68" i="11"/>
  <c r="H69" i="11"/>
  <c r="H70" i="11"/>
  <c r="H71" i="11"/>
  <c r="H72" i="11"/>
  <c r="H73" i="11"/>
  <c r="H74" i="11"/>
  <c r="H75" i="11"/>
  <c r="H76" i="11"/>
  <c r="H77" i="11"/>
  <c r="H78" i="11"/>
  <c r="I63" i="11"/>
  <c r="I64" i="11"/>
  <c r="I65" i="11"/>
  <c r="I66" i="11"/>
  <c r="I67" i="11"/>
  <c r="I86" i="11"/>
  <c r="E147" i="11"/>
  <c r="D147" i="11"/>
  <c r="I147" i="11" s="1"/>
  <c r="E148" i="11"/>
  <c r="D148" i="11"/>
  <c r="E146" i="11"/>
  <c r="D146" i="11"/>
  <c r="J146" i="11" s="1"/>
  <c r="G145" i="11"/>
  <c r="F145" i="11"/>
  <c r="E145" i="11"/>
  <c r="D145" i="11"/>
  <c r="J145" i="11" s="1"/>
  <c r="G144" i="11"/>
  <c r="E144" i="11"/>
  <c r="D144" i="11"/>
  <c r="J144" i="11" s="1"/>
  <c r="F143" i="11"/>
  <c r="F142" i="11"/>
  <c r="F141" i="11"/>
  <c r="F140" i="11"/>
  <c r="F139" i="11"/>
  <c r="F138" i="11"/>
  <c r="F137" i="11"/>
  <c r="F136" i="11"/>
  <c r="F135" i="11"/>
  <c r="F134" i="11"/>
  <c r="F132" i="11"/>
  <c r="F144" i="11" s="1"/>
  <c r="E143" i="11"/>
  <c r="D143" i="11"/>
  <c r="E142" i="11"/>
  <c r="D142" i="11"/>
  <c r="J142" i="11" s="1"/>
  <c r="E141" i="11"/>
  <c r="D141" i="11"/>
  <c r="J141" i="11" s="1"/>
  <c r="E140" i="11"/>
  <c r="D140" i="11"/>
  <c r="J140" i="11" s="1"/>
  <c r="E139" i="11"/>
  <c r="D139" i="11"/>
  <c r="J139" i="11" s="1"/>
  <c r="E138" i="11"/>
  <c r="D138" i="11"/>
  <c r="J138" i="11" s="1"/>
  <c r="E137" i="11"/>
  <c r="D137" i="11"/>
  <c r="J137" i="11" s="1"/>
  <c r="E136" i="11"/>
  <c r="D136" i="11"/>
  <c r="J136" i="11" s="1"/>
  <c r="E135" i="11"/>
  <c r="D135" i="11"/>
  <c r="J135" i="11" s="1"/>
  <c r="E134" i="11"/>
  <c r="D134" i="11"/>
  <c r="J134" i="11" s="1"/>
  <c r="G133" i="11"/>
  <c r="E133" i="11"/>
  <c r="D133" i="11"/>
  <c r="J133" i="11" s="1"/>
  <c r="E132" i="11"/>
  <c r="D132" i="11"/>
  <c r="G131" i="11"/>
  <c r="E131" i="11"/>
  <c r="D131" i="11"/>
  <c r="J131" i="11" s="1"/>
  <c r="G130" i="11"/>
  <c r="E130" i="11"/>
  <c r="D130" i="11"/>
  <c r="J130" i="11" s="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E38" i="11"/>
  <c r="D38" i="1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E21" i="11"/>
  <c r="D21" i="11"/>
  <c r="J21" i="11" s="1"/>
  <c r="G20" i="11"/>
  <c r="E20" i="11"/>
  <c r="D20" i="11"/>
  <c r="J20" i="11" s="1"/>
  <c r="G19" i="11"/>
  <c r="E19" i="11"/>
  <c r="D19" i="11"/>
  <c r="I19" i="11" s="1"/>
  <c r="G18" i="11"/>
  <c r="E18" i="11"/>
  <c r="D18" i="11"/>
  <c r="I18" i="11" s="1"/>
  <c r="E17" i="11"/>
  <c r="D17" i="11"/>
  <c r="E16" i="11"/>
  <c r="D16" i="11"/>
  <c r="J16" i="11" s="1"/>
  <c r="G15" i="11"/>
  <c r="E15" i="11"/>
  <c r="D15" i="11"/>
  <c r="H15" i="11" s="1"/>
  <c r="K98" i="11" l="1"/>
  <c r="K99" i="11"/>
  <c r="K88" i="11"/>
  <c r="K87" i="11"/>
  <c r="K64" i="11"/>
  <c r="K63" i="11"/>
  <c r="J147" i="11"/>
  <c r="H148" i="11"/>
  <c r="I144" i="11"/>
  <c r="I145" i="11"/>
  <c r="I146" i="11"/>
  <c r="I148" i="11"/>
  <c r="H144" i="11"/>
  <c r="H145" i="11"/>
  <c r="H136" i="11"/>
  <c r="H137" i="11"/>
  <c r="H138" i="11"/>
  <c r="H139" i="11"/>
  <c r="H140" i="11"/>
  <c r="H141" i="11"/>
  <c r="H142" i="11"/>
  <c r="H143" i="11"/>
  <c r="I133" i="11"/>
  <c r="I134" i="11"/>
  <c r="I135" i="11"/>
  <c r="I143" i="11"/>
  <c r="H130" i="11"/>
  <c r="H131" i="11"/>
  <c r="H133" i="11"/>
  <c r="I130" i="11"/>
  <c r="I131" i="11"/>
  <c r="I132" i="11"/>
  <c r="J132" i="11"/>
  <c r="H38" i="11"/>
  <c r="I38" i="11"/>
  <c r="H20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18" i="11"/>
  <c r="I20" i="11"/>
  <c r="I21" i="11"/>
  <c r="J18" i="11"/>
  <c r="H19" i="11"/>
  <c r="J19" i="11"/>
  <c r="I15" i="11"/>
  <c r="J15" i="11"/>
  <c r="H17" i="11"/>
  <c r="H16" i="11"/>
  <c r="I17" i="11"/>
  <c r="K18" i="11" l="1"/>
  <c r="K145" i="11"/>
  <c r="K133" i="11"/>
  <c r="K144" i="11"/>
  <c r="K131" i="11"/>
  <c r="K130" i="11"/>
  <c r="K20" i="11"/>
  <c r="K19" i="11"/>
  <c r="K15" i="11"/>
  <c r="G215" i="11" l="1"/>
  <c r="E215" i="11"/>
  <c r="D215" i="11"/>
  <c r="I215" i="11" s="1"/>
  <c r="J215" i="11" l="1"/>
  <c r="H215" i="11"/>
  <c r="K215" i="11" l="1"/>
  <c r="D108" i="11" l="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49" i="11"/>
  <c r="D150" i="11"/>
  <c r="D151" i="11"/>
  <c r="H151" i="11" s="1"/>
  <c r="D152" i="11"/>
  <c r="I152" i="11" s="1"/>
  <c r="D153" i="11"/>
  <c r="J153" i="11" s="1"/>
  <c r="D154" i="11"/>
  <c r="H154" i="11" s="1"/>
  <c r="D155" i="11"/>
  <c r="J155" i="11" s="1"/>
  <c r="D156" i="11"/>
  <c r="J156" i="11" s="1"/>
  <c r="D157" i="11"/>
  <c r="H157" i="11" s="1"/>
  <c r="D158" i="11"/>
  <c r="I158" i="11" s="1"/>
  <c r="D159" i="11"/>
  <c r="I159" i="11" s="1"/>
  <c r="D160" i="11"/>
  <c r="I160" i="11" s="1"/>
  <c r="D161" i="11"/>
  <c r="H161" i="11" s="1"/>
  <c r="D162" i="11"/>
  <c r="H162" i="11" s="1"/>
  <c r="D163" i="11"/>
  <c r="I163" i="11" s="1"/>
  <c r="D164" i="11"/>
  <c r="I164" i="11" s="1"/>
  <c r="D165" i="11"/>
  <c r="J165" i="11" s="1"/>
  <c r="D166" i="11"/>
  <c r="H166" i="11" s="1"/>
  <c r="D167" i="11"/>
  <c r="I167" i="11" s="1"/>
  <c r="D168" i="11"/>
  <c r="I168" i="11" s="1"/>
  <c r="D169" i="11"/>
  <c r="J169" i="11" s="1"/>
  <c r="D170" i="11"/>
  <c r="H170" i="11" s="1"/>
  <c r="D171" i="11"/>
  <c r="H171" i="11" s="1"/>
  <c r="D172" i="11"/>
  <c r="H172" i="11" s="1"/>
  <c r="D173" i="11"/>
  <c r="I173" i="11" s="1"/>
  <c r="D174" i="11"/>
  <c r="H174" i="11" s="1"/>
  <c r="D175" i="11"/>
  <c r="I175" i="11" s="1"/>
  <c r="D176" i="11"/>
  <c r="I176" i="11" s="1"/>
  <c r="D177" i="11"/>
  <c r="H177" i="11" s="1"/>
  <c r="D178" i="11"/>
  <c r="H178" i="11" s="1"/>
  <c r="D179" i="11"/>
  <c r="H179" i="11" s="1"/>
  <c r="D180" i="11"/>
  <c r="J180" i="11" s="1"/>
  <c r="D181" i="11"/>
  <c r="I181" i="11" s="1"/>
  <c r="D182" i="11"/>
  <c r="I182" i="11" s="1"/>
  <c r="D183" i="11"/>
  <c r="I183" i="11" s="1"/>
  <c r="D184" i="11"/>
  <c r="J184" i="11" s="1"/>
  <c r="D185" i="11"/>
  <c r="J185" i="11" s="1"/>
  <c r="D186" i="11"/>
  <c r="J186" i="11" s="1"/>
  <c r="D187" i="11"/>
  <c r="J187" i="11" s="1"/>
  <c r="D188" i="11"/>
  <c r="J188" i="11" s="1"/>
  <c r="D189" i="11"/>
  <c r="H189" i="11" s="1"/>
  <c r="D190" i="11"/>
  <c r="J190" i="11" s="1"/>
  <c r="D191" i="11"/>
  <c r="J191" i="11" s="1"/>
  <c r="D192" i="11"/>
  <c r="I192" i="11" s="1"/>
  <c r="D193" i="11"/>
  <c r="J193" i="11" s="1"/>
  <c r="D194" i="11"/>
  <c r="J194" i="11" s="1"/>
  <c r="D195" i="11"/>
  <c r="J195" i="11" s="1"/>
  <c r="D196" i="11"/>
  <c r="J196" i="11" s="1"/>
  <c r="D197" i="11"/>
  <c r="I197" i="11" s="1"/>
  <c r="D198" i="11"/>
  <c r="J198" i="11" s="1"/>
  <c r="J199" i="11"/>
  <c r="J200" i="11"/>
  <c r="D201" i="11"/>
  <c r="H201" i="11" s="1"/>
  <c r="D202" i="11"/>
  <c r="J202" i="11" s="1"/>
  <c r="D203" i="11"/>
  <c r="J203" i="11" s="1"/>
  <c r="D204" i="11"/>
  <c r="J204" i="11" s="1"/>
  <c r="D205" i="11"/>
  <c r="J205" i="11" s="1"/>
  <c r="D206" i="11"/>
  <c r="J206" i="11" s="1"/>
  <c r="D207" i="11"/>
  <c r="H207" i="11" s="1"/>
  <c r="D208" i="11"/>
  <c r="J208" i="11" s="1"/>
  <c r="D209" i="11"/>
  <c r="H209" i="11" s="1"/>
  <c r="D210" i="11"/>
  <c r="J210" i="11" s="1"/>
  <c r="D211" i="11"/>
  <c r="H211" i="11" s="1"/>
  <c r="D212" i="11"/>
  <c r="I212" i="11" s="1"/>
  <c r="J213" i="11"/>
  <c r="H214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105" i="11"/>
  <c r="D106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105" i="11"/>
  <c r="E106" i="11"/>
  <c r="E107" i="11"/>
  <c r="E108" i="11"/>
  <c r="E109" i="11"/>
  <c r="E110" i="11"/>
  <c r="E111" i="11"/>
  <c r="H213" i="11"/>
  <c r="G194" i="11"/>
  <c r="G193" i="11"/>
  <c r="G183" i="11"/>
  <c r="G182" i="11"/>
  <c r="G175" i="11"/>
  <c r="G174" i="11"/>
  <c r="G168" i="11"/>
  <c r="G167" i="11"/>
  <c r="G163" i="11"/>
  <c r="G162" i="11"/>
  <c r="G151" i="11"/>
  <c r="G150" i="11"/>
  <c r="J154" i="11" l="1"/>
  <c r="J158" i="11"/>
  <c r="H182" i="11"/>
  <c r="J151" i="11"/>
  <c r="H173" i="11"/>
  <c r="J209" i="11"/>
  <c r="I151" i="11"/>
  <c r="H167" i="11"/>
  <c r="I162" i="11"/>
  <c r="H186" i="11"/>
  <c r="H156" i="11"/>
  <c r="J152" i="11"/>
  <c r="J159" i="11"/>
  <c r="J175" i="11"/>
  <c r="H187" i="11"/>
  <c r="H155" i="11"/>
  <c r="J183" i="11"/>
  <c r="H195" i="11"/>
  <c r="H206" i="11"/>
  <c r="H192" i="11"/>
  <c r="J168" i="11"/>
  <c r="J171" i="11"/>
  <c r="J179" i="11"/>
  <c r="J207" i="11"/>
  <c r="J167" i="11"/>
  <c r="H175" i="11"/>
  <c r="H183" i="11"/>
  <c r="H203" i="11"/>
  <c r="H181" i="11"/>
  <c r="H185" i="11"/>
  <c r="I153" i="11"/>
  <c r="J157" i="11"/>
  <c r="J164" i="11"/>
  <c r="J197" i="11"/>
  <c r="J177" i="11"/>
  <c r="I180" i="11"/>
  <c r="I200" i="11"/>
  <c r="H168" i="11"/>
  <c r="I199" i="11"/>
  <c r="H204" i="11"/>
  <c r="I211" i="11"/>
  <c r="J160" i="11"/>
  <c r="J172" i="11"/>
  <c r="J176" i="11"/>
  <c r="H184" i="11"/>
  <c r="H188" i="11"/>
  <c r="H191" i="11"/>
  <c r="I196" i="11"/>
  <c r="H208" i="11"/>
  <c r="J189" i="11"/>
  <c r="H193" i="11"/>
  <c r="H199" i="11"/>
  <c r="J163" i="11"/>
  <c r="I161" i="11"/>
  <c r="H163" i="11"/>
  <c r="J201" i="11"/>
  <c r="H205" i="11"/>
  <c r="J170" i="11"/>
  <c r="J182" i="11"/>
  <c r="I193" i="11"/>
  <c r="H210" i="11"/>
  <c r="I166" i="11"/>
  <c r="I194" i="11"/>
  <c r="I214" i="11"/>
  <c r="I165" i="11"/>
  <c r="I169" i="11"/>
  <c r="J178" i="11"/>
  <c r="H190" i="11"/>
  <c r="I213" i="11"/>
  <c r="K213" i="11" s="1"/>
  <c r="I174" i="11"/>
  <c r="H198" i="11"/>
  <c r="H212" i="11"/>
  <c r="J162" i="11"/>
  <c r="J174" i="11"/>
  <c r="H194" i="11"/>
  <c r="H200" i="11"/>
  <c r="K200" i="11" s="1"/>
  <c r="H202" i="11"/>
  <c r="J214" i="11"/>
  <c r="K162" i="11" l="1"/>
  <c r="K182" i="11"/>
  <c r="K151" i="11"/>
  <c r="K167" i="11"/>
  <c r="K183" i="11"/>
  <c r="K199" i="11"/>
  <c r="K193" i="11"/>
  <c r="K175" i="11"/>
  <c r="K168" i="11"/>
  <c r="K163" i="11"/>
  <c r="K214" i="11"/>
  <c r="K174" i="11"/>
  <c r="K194" i="11"/>
  <c r="H62" i="11" l="1"/>
  <c r="J61" i="11"/>
  <c r="H61" i="11"/>
  <c r="J60" i="11"/>
  <c r="H60" i="11"/>
  <c r="J59" i="11"/>
  <c r="H59" i="11"/>
  <c r="J58" i="11"/>
  <c r="H58" i="11"/>
  <c r="J57" i="11"/>
  <c r="J56" i="11"/>
  <c r="H56" i="11"/>
  <c r="J55" i="11"/>
  <c r="H55" i="11"/>
  <c r="J54" i="11"/>
  <c r="H54" i="11"/>
  <c r="J53" i="11"/>
  <c r="H53" i="11"/>
  <c r="J52" i="11"/>
  <c r="H52" i="11"/>
  <c r="J51" i="11"/>
  <c r="H51" i="11"/>
  <c r="J50" i="11"/>
  <c r="H50" i="11"/>
  <c r="J49" i="11"/>
  <c r="H49" i="11"/>
  <c r="J48" i="11"/>
  <c r="H48" i="11"/>
  <c r="J47" i="11"/>
  <c r="H47" i="11"/>
  <c r="J46" i="11"/>
  <c r="H46" i="11"/>
  <c r="J45" i="11"/>
  <c r="H45" i="11"/>
  <c r="J44" i="11"/>
  <c r="H44" i="11"/>
  <c r="J43" i="11"/>
  <c r="J42" i="11"/>
  <c r="J41" i="11"/>
  <c r="I40" i="11"/>
  <c r="H40" i="11"/>
  <c r="G40" i="11"/>
  <c r="J40" i="11" s="1"/>
  <c r="H57" i="11" l="1"/>
  <c r="I41" i="11"/>
  <c r="I43" i="11"/>
  <c r="I42" i="11"/>
  <c r="I62" i="11"/>
  <c r="K40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F129" i="11" l="1"/>
  <c r="F128" i="11"/>
  <c r="F127" i="11"/>
  <c r="F126" i="11"/>
  <c r="F123" i="11"/>
  <c r="F122" i="11"/>
  <c r="F121" i="11"/>
  <c r="F120" i="11"/>
  <c r="F117" i="11"/>
  <c r="F111" i="11"/>
  <c r="F110" i="11"/>
  <c r="F109" i="11"/>
  <c r="F108" i="11"/>
  <c r="F107" i="11"/>
  <c r="F106" i="11"/>
  <c r="F114" i="11" l="1"/>
  <c r="F115" i="11"/>
  <c r="F116" i="11"/>
  <c r="J114" i="11"/>
  <c r="A114" i="11"/>
  <c r="G113" i="11"/>
  <c r="J113" i="11"/>
  <c r="A113" i="11"/>
  <c r="G112" i="11"/>
  <c r="E112" i="11"/>
  <c r="J112" i="11"/>
  <c r="A111" i="11"/>
  <c r="A110" i="11"/>
  <c r="H109" i="11"/>
  <c r="A109" i="11"/>
  <c r="H108" i="11"/>
  <c r="D107" i="11"/>
  <c r="H107" i="11" s="1"/>
  <c r="A107" i="11"/>
  <c r="A106" i="11"/>
  <c r="G105" i="11"/>
  <c r="J105" i="11"/>
  <c r="A105" i="11"/>
  <c r="G124" i="11"/>
  <c r="J124" i="11"/>
  <c r="A124" i="11"/>
  <c r="A123" i="11"/>
  <c r="J122" i="11"/>
  <c r="J121" i="11"/>
  <c r="A121" i="11"/>
  <c r="H120" i="11"/>
  <c r="A120" i="11"/>
  <c r="G119" i="11"/>
  <c r="H119" i="11"/>
  <c r="A119" i="11"/>
  <c r="G118" i="11"/>
  <c r="J118" i="11"/>
  <c r="A117" i="11"/>
  <c r="A116" i="11"/>
  <c r="J115" i="11"/>
  <c r="A115" i="11"/>
  <c r="A129" i="11"/>
  <c r="J128" i="11"/>
  <c r="J127" i="11"/>
  <c r="A127" i="11"/>
  <c r="H126" i="11"/>
  <c r="A126" i="11"/>
  <c r="G125" i="11"/>
  <c r="J125" i="11"/>
  <c r="A125" i="11"/>
  <c r="H150" i="11" l="1"/>
  <c r="I150" i="11"/>
  <c r="J150" i="11"/>
  <c r="J119" i="11"/>
  <c r="H113" i="11"/>
  <c r="I118" i="11"/>
  <c r="J110" i="11"/>
  <c r="J120" i="11"/>
  <c r="J109" i="11"/>
  <c r="I119" i="11"/>
  <c r="H112" i="11"/>
  <c r="I112" i="11"/>
  <c r="J116" i="11"/>
  <c r="H118" i="11"/>
  <c r="H111" i="11"/>
  <c r="H110" i="11"/>
  <c r="I111" i="11"/>
  <c r="I105" i="11"/>
  <c r="H121" i="11"/>
  <c r="J106" i="11"/>
  <c r="J126" i="11"/>
  <c r="J107" i="11"/>
  <c r="J108" i="11"/>
  <c r="H117" i="11"/>
  <c r="I113" i="11"/>
  <c r="H114" i="11"/>
  <c r="I117" i="11"/>
  <c r="H122" i="11"/>
  <c r="H105" i="11"/>
  <c r="H106" i="11"/>
  <c r="H123" i="11"/>
  <c r="I123" i="11"/>
  <c r="H124" i="11"/>
  <c r="H115" i="11"/>
  <c r="I124" i="11"/>
  <c r="H116" i="11"/>
  <c r="H125" i="11"/>
  <c r="H128" i="11"/>
  <c r="H127" i="11"/>
  <c r="H129" i="11"/>
  <c r="I129" i="11"/>
  <c r="I125" i="11"/>
  <c r="K150" i="11" l="1"/>
  <c r="K119" i="11"/>
  <c r="K118" i="11"/>
  <c r="K113" i="11"/>
  <c r="K105" i="11"/>
  <c r="K112" i="11"/>
  <c r="K125" i="11"/>
  <c r="K124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G202" i="11" s="1"/>
  <c r="I202" i="11" s="1"/>
  <c r="K202" i="11" s="1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G179" i="11" s="1"/>
  <c r="I179" i="11" s="1"/>
  <c r="K179" i="11" s="1"/>
  <c r="O189" i="10"/>
  <c r="P189" i="10" s="1"/>
  <c r="K189" i="10"/>
  <c r="M189" i="10" s="1"/>
  <c r="J189" i="10"/>
  <c r="I189" i="10"/>
  <c r="G169" i="11" s="1"/>
  <c r="H169" i="11" s="1"/>
  <c r="K169" i="11" s="1"/>
  <c r="G140" i="11" l="1"/>
  <c r="I140" i="11" s="1"/>
  <c r="K140" i="11" s="1"/>
  <c r="G201" i="11"/>
  <c r="I201" i="11" s="1"/>
  <c r="K201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G67" i="11" l="1"/>
  <c r="H67" i="11" s="1"/>
  <c r="K67" i="11" s="1"/>
  <c r="G21" i="11"/>
  <c r="H21" i="11" s="1"/>
  <c r="K21" i="11" s="1"/>
  <c r="G43" i="11"/>
  <c r="H43" i="11" s="1"/>
  <c r="K43" i="11" s="1"/>
  <c r="G100" i="11"/>
  <c r="H100" i="11" s="1"/>
  <c r="K100" i="11" s="1"/>
  <c r="G66" i="11"/>
  <c r="H66" i="11" s="1"/>
  <c r="K66" i="11" s="1"/>
  <c r="G42" i="11"/>
  <c r="H42" i="11" s="1"/>
  <c r="K42" i="11" s="1"/>
  <c r="G65" i="11"/>
  <c r="H65" i="11" s="1"/>
  <c r="K65" i="11" s="1"/>
  <c r="G41" i="11"/>
  <c r="H41" i="11" s="1"/>
  <c r="K41" i="11" s="1"/>
  <c r="I1503" i="10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K7" i="54" s="1"/>
  <c r="C8" i="54"/>
  <c r="H8" i="54" l="1"/>
  <c r="I8" i="54"/>
  <c r="D8" i="54"/>
  <c r="I7" i="54"/>
  <c r="D217" i="11" l="1"/>
  <c r="I88" i="10"/>
  <c r="I92" i="10"/>
  <c r="I100" i="10"/>
  <c r="I104" i="10"/>
  <c r="G153" i="11" s="1"/>
  <c r="H153" i="11" s="1"/>
  <c r="K153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216" i="11"/>
  <c r="E216" i="11"/>
  <c r="D216" i="11"/>
  <c r="J216" i="11" s="1"/>
  <c r="E217" i="11"/>
  <c r="D218" i="11"/>
  <c r="H218" i="11" s="1"/>
  <c r="E218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L91" i="10" s="1"/>
  <c r="N91" i="10" s="1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L93" i="10" s="1"/>
  <c r="N93" i="10" s="1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L135" i="10" s="1"/>
  <c r="N135" i="10" s="1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M144" i="10" s="1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L171" i="10" s="1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P190" i="10" s="1"/>
  <c r="J191" i="10"/>
  <c r="L191" i="10" s="1"/>
  <c r="K191" i="10"/>
  <c r="O191" i="10"/>
  <c r="J192" i="10"/>
  <c r="L192" i="10" s="1"/>
  <c r="K192" i="10"/>
  <c r="O192" i="10"/>
  <c r="J193" i="10"/>
  <c r="K193" i="10"/>
  <c r="M193" i="10" s="1"/>
  <c r="O193" i="10"/>
  <c r="J194" i="10"/>
  <c r="K194" i="10"/>
  <c r="O194" i="10"/>
  <c r="P194" i="10" s="1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N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L204" i="10" s="1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L208" i="10" s="1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M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M368" i="10" s="1"/>
  <c r="N368" i="10" s="1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N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K658" i="10"/>
  <c r="M658" i="10" s="1"/>
  <c r="N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N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N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N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K682" i="10"/>
  <c r="M682" i="10" s="1"/>
  <c r="N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N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N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N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N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K730" i="10"/>
  <c r="M730" i="10" s="1"/>
  <c r="N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 s="1"/>
  <c r="J734" i="10"/>
  <c r="L734" i="10" s="1"/>
  <c r="K734" i="10"/>
  <c r="M734" i="10" s="1"/>
  <c r="N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N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N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N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N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N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N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K778" i="10"/>
  <c r="M778" i="10" s="1"/>
  <c r="N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N785" i="10" s="1"/>
  <c r="K785" i="10"/>
  <c r="M785" i="10" s="1"/>
  <c r="O785" i="10"/>
  <c r="P785" i="10" s="1"/>
  <c r="J786" i="10"/>
  <c r="L786" i="10" s="1"/>
  <c r="K786" i="10"/>
  <c r="M786" i="10" s="1"/>
  <c r="N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N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N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N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K826" i="10"/>
  <c r="M826" i="10" s="1"/>
  <c r="N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 s="1"/>
  <c r="J830" i="10"/>
  <c r="L830" i="10" s="1"/>
  <c r="K830" i="10"/>
  <c r="M830" i="10" s="1"/>
  <c r="N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N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N849" i="10" s="1"/>
  <c r="K849" i="10"/>
  <c r="M849" i="10" s="1"/>
  <c r="O849" i="10"/>
  <c r="P849" i="10" s="1"/>
  <c r="J850" i="10"/>
  <c r="L850" i="10" s="1"/>
  <c r="K850" i="10"/>
  <c r="M850" i="10" s="1"/>
  <c r="N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N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N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N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N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N873" i="10" s="1"/>
  <c r="K873" i="10"/>
  <c r="M873" i="10" s="1"/>
  <c r="O873" i="10"/>
  <c r="P873" i="10" s="1"/>
  <c r="J874" i="10"/>
  <c r="L874" i="10" s="1"/>
  <c r="K874" i="10"/>
  <c r="M874" i="10" s="1"/>
  <c r="N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N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N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N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N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N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N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N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N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N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N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N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N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N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N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N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N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N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N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K1127" i="10"/>
  <c r="M1127" i="10" s="1"/>
  <c r="N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N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K1175" i="10"/>
  <c r="M1175" i="10" s="1"/>
  <c r="N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N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N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N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N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867" i="10"/>
  <c r="N710" i="10"/>
  <c r="N899" i="10"/>
  <c r="N875" i="10"/>
  <c r="N834" i="10"/>
  <c r="N983" i="10"/>
  <c r="N966" i="10"/>
  <c r="N964" i="10"/>
  <c r="N708" i="10"/>
  <c r="N1139" i="10"/>
  <c r="N968" i="10"/>
  <c r="N865" i="10"/>
  <c r="N848" i="10"/>
  <c r="N674" i="10"/>
  <c r="N878" i="10"/>
  <c r="N951" i="10"/>
  <c r="N1060" i="10"/>
  <c r="N947" i="10"/>
  <c r="N823" i="10"/>
  <c r="N890" i="10"/>
  <c r="N722" i="10"/>
  <c r="N699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G207" i="11" s="1"/>
  <c r="I207" i="11" s="1"/>
  <c r="K207" i="11" s="1"/>
  <c r="I594" i="10"/>
  <c r="I593" i="10"/>
  <c r="I636" i="10"/>
  <c r="I632" i="10"/>
  <c r="I628" i="10"/>
  <c r="I624" i="10"/>
  <c r="I620" i="10"/>
  <c r="I616" i="10"/>
  <c r="I612" i="10"/>
  <c r="I608" i="10"/>
  <c r="I604" i="10"/>
  <c r="G210" i="11" s="1"/>
  <c r="I210" i="11" s="1"/>
  <c r="K210" i="11" s="1"/>
  <c r="I600" i="10"/>
  <c r="I597" i="10"/>
  <c r="G209" i="11" s="1"/>
  <c r="I209" i="11" s="1"/>
  <c r="K209" i="11" s="1"/>
  <c r="I639" i="10"/>
  <c r="I635" i="10"/>
  <c r="I631" i="10"/>
  <c r="I627" i="10"/>
  <c r="I623" i="10"/>
  <c r="I619" i="10"/>
  <c r="I615" i="10"/>
  <c r="I611" i="10"/>
  <c r="I607" i="10"/>
  <c r="I603" i="10"/>
  <c r="G208" i="11" s="1"/>
  <c r="I208" i="11" s="1"/>
  <c r="K208" i="11" s="1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G38" i="11" s="1"/>
  <c r="J38" i="11" s="1"/>
  <c r="K38" i="11" s="1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165" i="11" s="1"/>
  <c r="H165" i="11" s="1"/>
  <c r="K165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218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G62" i="11" s="1"/>
  <c r="J62" i="11" s="1"/>
  <c r="K62" i="11" s="1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G148" i="11" s="1"/>
  <c r="J148" i="11" s="1"/>
  <c r="K148" i="11" s="1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7" i="11" s="1"/>
  <c r="J17" i="11" s="1"/>
  <c r="K17" i="11" s="1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G103" i="11" s="1"/>
  <c r="J103" i="11" s="1"/>
  <c r="K103" i="11" s="1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154" i="11" s="1"/>
  <c r="I154" i="11" s="1"/>
  <c r="K154" i="11" s="1"/>
  <c r="I37" i="10"/>
  <c r="I117" i="10"/>
  <c r="G164" i="11" s="1"/>
  <c r="H164" i="11" s="1"/>
  <c r="K164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G109" i="11" s="1"/>
  <c r="I109" i="11" s="1"/>
  <c r="K109" i="11" s="1"/>
  <c r="I580" i="10"/>
  <c r="I644" i="10"/>
  <c r="I664" i="10"/>
  <c r="I683" i="10"/>
  <c r="I707" i="10"/>
  <c r="I727" i="10"/>
  <c r="I747" i="10"/>
  <c r="I781" i="10"/>
  <c r="I801" i="10"/>
  <c r="I825" i="10"/>
  <c r="G129" i="11" s="1"/>
  <c r="J129" i="11" s="1"/>
  <c r="K129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143" i="11" s="1"/>
  <c r="J143" i="11" s="1"/>
  <c r="K143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152" i="11" s="1"/>
  <c r="H152" i="11" s="1"/>
  <c r="K152" i="11" s="1"/>
  <c r="I60" i="10"/>
  <c r="I143" i="10"/>
  <c r="I167" i="10"/>
  <c r="I193" i="10"/>
  <c r="G176" i="11" s="1"/>
  <c r="H176" i="11" s="1"/>
  <c r="K176" i="11" s="1"/>
  <c r="I204" i="10"/>
  <c r="I226" i="10"/>
  <c r="G146" i="11" s="1"/>
  <c r="H146" i="11" s="1"/>
  <c r="K146" i="11" s="1"/>
  <c r="I253" i="10"/>
  <c r="I278" i="10"/>
  <c r="I310" i="10"/>
  <c r="I342" i="10"/>
  <c r="I368" i="10"/>
  <c r="I401" i="10"/>
  <c r="I445" i="10"/>
  <c r="I12" i="10"/>
  <c r="I36" i="10"/>
  <c r="I103" i="10"/>
  <c r="I134" i="10"/>
  <c r="G132" i="11" s="1"/>
  <c r="H132" i="11" s="1"/>
  <c r="K132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G86" i="11" s="1"/>
  <c r="J86" i="11" s="1"/>
  <c r="K86" i="11" s="1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117" i="11" s="1"/>
  <c r="J117" i="11" s="1"/>
  <c r="K117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158" i="11" s="1"/>
  <c r="H158" i="11" s="1"/>
  <c r="K158" i="11" s="1"/>
  <c r="I33" i="10"/>
  <c r="I109" i="10"/>
  <c r="I136" i="10"/>
  <c r="I153" i="10"/>
  <c r="I172" i="10"/>
  <c r="I191" i="10"/>
  <c r="I212" i="10"/>
  <c r="I232" i="10"/>
  <c r="G135" i="11" s="1"/>
  <c r="H135" i="11" s="1"/>
  <c r="K135" i="11" s="1"/>
  <c r="I251" i="10"/>
  <c r="I268" i="10"/>
  <c r="I295" i="10"/>
  <c r="I317" i="10"/>
  <c r="I337" i="10"/>
  <c r="I361" i="10"/>
  <c r="I381" i="10"/>
  <c r="I402" i="10"/>
  <c r="G137" i="11" s="1"/>
  <c r="I137" i="11" s="1"/>
  <c r="K137" i="11" s="1"/>
  <c r="I427" i="10"/>
  <c r="I447" i="10"/>
  <c r="G107" i="11" s="1"/>
  <c r="I107" i="11" s="1"/>
  <c r="K107" i="11" s="1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G212" i="11" s="1"/>
  <c r="J212" i="11" s="1"/>
  <c r="K212" i="11" s="1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60" i="11" s="1"/>
  <c r="H160" i="11" s="1"/>
  <c r="K160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23" i="11" s="1"/>
  <c r="J123" i="11" s="1"/>
  <c r="K123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G196" i="11" s="1"/>
  <c r="H196" i="11" s="1"/>
  <c r="K196" i="11" s="1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116" i="11" s="1"/>
  <c r="I116" i="11" s="1"/>
  <c r="K116" i="11" s="1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G108" i="11" s="1"/>
  <c r="I108" i="11" s="1"/>
  <c r="K108" i="11" s="1"/>
  <c r="I239" i="10"/>
  <c r="I470" i="10"/>
  <c r="I579" i="10"/>
  <c r="I736" i="10"/>
  <c r="I867" i="10"/>
  <c r="G173" i="11" s="1"/>
  <c r="J173" i="11" s="1"/>
  <c r="K173" i="11" s="1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G49" i="11" s="1"/>
  <c r="I49" i="11" s="1"/>
  <c r="K49" i="11" s="1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G159" i="11" s="1"/>
  <c r="H159" i="11" s="1"/>
  <c r="K159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181" i="11" s="1"/>
  <c r="J181" i="11" s="1"/>
  <c r="K181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136" i="11" s="1"/>
  <c r="I136" i="11" s="1"/>
  <c r="K136" i="11" s="1"/>
  <c r="I510" i="10"/>
  <c r="G157" i="11" s="1"/>
  <c r="I157" i="11" s="1"/>
  <c r="K157" i="11" s="1"/>
  <c r="I570" i="10"/>
  <c r="I663" i="10"/>
  <c r="I721" i="10"/>
  <c r="I790" i="10"/>
  <c r="I847" i="10"/>
  <c r="G111" i="11" s="1"/>
  <c r="J111" i="11" s="1"/>
  <c r="K111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G195" i="11" s="1"/>
  <c r="I195" i="11" s="1"/>
  <c r="K195" i="11" s="1"/>
  <c r="I372" i="10"/>
  <c r="G141" i="11" s="1"/>
  <c r="I141" i="11" s="1"/>
  <c r="K141" i="11" s="1"/>
  <c r="I476" i="10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G16" i="11" s="1"/>
  <c r="I16" i="11" s="1"/>
  <c r="K16" i="11" s="1"/>
  <c r="I314" i="10"/>
  <c r="I444" i="10"/>
  <c r="I509" i="10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139" i="11" s="1"/>
  <c r="I139" i="11" s="1"/>
  <c r="K139" i="11" s="1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G147" i="11" s="1"/>
  <c r="H147" i="11" s="1"/>
  <c r="K147" i="11" s="1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I524" i="10"/>
  <c r="G115" i="11" s="1"/>
  <c r="I115" i="11" s="1"/>
  <c r="K115" i="11" s="1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161" i="11" s="1"/>
  <c r="J161" i="11" s="1"/>
  <c r="K161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114" i="11" s="1"/>
  <c r="I114" i="11" s="1"/>
  <c r="K114" i="11" s="1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166" i="11" s="1"/>
  <c r="J166" i="11" s="1"/>
  <c r="K166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G211" i="11" s="1"/>
  <c r="J211" i="11" s="1"/>
  <c r="K211" i="11" s="1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25" i="11"/>
  <c r="I1235" i="10"/>
  <c r="I1234" i="10"/>
  <c r="I9" i="10"/>
  <c r="P192" i="10"/>
  <c r="P191" i="10"/>
  <c r="P193" i="10"/>
  <c r="P195" i="10"/>
  <c r="L108" i="10"/>
  <c r="L205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26" i="10"/>
  <c r="L172" i="29"/>
  <c r="B171" i="29" s="1"/>
  <c r="L42" i="39"/>
  <c r="B41" i="39" s="1"/>
  <c r="L207" i="10"/>
  <c r="N1146" i="10"/>
  <c r="G8" i="39"/>
  <c r="I107" i="10"/>
  <c r="I1423" i="10"/>
  <c r="I1426" i="10"/>
  <c r="I1429" i="10"/>
  <c r="M120" i="10"/>
  <c r="M141" i="10"/>
  <c r="M234" i="10"/>
  <c r="M145" i="10"/>
  <c r="M231" i="10"/>
  <c r="M1432" i="10"/>
  <c r="M1420" i="10"/>
  <c r="M1442" i="10"/>
  <c r="M146" i="10"/>
  <c r="M227" i="10"/>
  <c r="M140" i="10"/>
  <c r="M248" i="10"/>
  <c r="M276" i="10"/>
  <c r="M198" i="10"/>
  <c r="M235" i="10"/>
  <c r="M119" i="10"/>
  <c r="M118" i="10"/>
  <c r="M1428" i="10"/>
  <c r="M229" i="10"/>
  <c r="P80" i="10"/>
  <c r="N1066" i="10"/>
  <c r="P13" i="10"/>
  <c r="G8" i="29"/>
  <c r="N1013" i="10"/>
  <c r="N1307" i="10"/>
  <c r="N949" i="10"/>
  <c r="N877" i="10"/>
  <c r="N781" i="10"/>
  <c r="N757" i="10"/>
  <c r="N737" i="10"/>
  <c r="N912" i="10"/>
  <c r="N860" i="10"/>
  <c r="N839" i="10"/>
  <c r="N940" i="10"/>
  <c r="N693" i="10"/>
  <c r="N673" i="10"/>
  <c r="P203" i="10"/>
  <c r="N1154" i="10"/>
  <c r="L86" i="10"/>
  <c r="L29" i="10"/>
  <c r="N29" i="10" s="1"/>
  <c r="N1159" i="10"/>
  <c r="N1056" i="10"/>
  <c r="N1333" i="10"/>
  <c r="N1101" i="10"/>
  <c r="N881" i="10"/>
  <c r="N828" i="10"/>
  <c r="N822" i="10"/>
  <c r="N925" i="10"/>
  <c r="N800" i="10"/>
  <c r="N784" i="10"/>
  <c r="N1112" i="10"/>
  <c r="N1107" i="10"/>
  <c r="N692" i="10"/>
  <c r="N672" i="10"/>
  <c r="N1021" i="10"/>
  <c r="N1019" i="10"/>
  <c r="N1000" i="10"/>
  <c r="N985" i="10"/>
  <c r="N930" i="10"/>
  <c r="N862" i="10"/>
  <c r="N835" i="10"/>
  <c r="N806" i="10"/>
  <c r="N790" i="10"/>
  <c r="N774" i="10"/>
  <c r="N758" i="10"/>
  <c r="N742" i="10"/>
  <c r="N756" i="10"/>
  <c r="N724" i="10"/>
  <c r="N702" i="10"/>
  <c r="N670" i="10"/>
  <c r="N644" i="10"/>
  <c r="N1311" i="10"/>
  <c r="N1156" i="10"/>
  <c r="N1151" i="10"/>
  <c r="N1222" i="10"/>
  <c r="N1181" i="10"/>
  <c r="L209" i="10"/>
  <c r="L247" i="10"/>
  <c r="L261" i="10"/>
  <c r="L245" i="10"/>
  <c r="L90" i="10"/>
  <c r="N90" i="10" s="1"/>
  <c r="L273" i="10"/>
  <c r="L181" i="10"/>
  <c r="N1422" i="10"/>
  <c r="N1136" i="10"/>
  <c r="N1143" i="10"/>
  <c r="N1308" i="10"/>
  <c r="N1231" i="10"/>
  <c r="N1078" i="10"/>
  <c r="N1130" i="10"/>
  <c r="P10" i="10"/>
  <c r="P199" i="10"/>
  <c r="P202" i="10"/>
  <c r="M98" i="10"/>
  <c r="M616" i="10"/>
  <c r="N616" i="10" s="1"/>
  <c r="M183" i="10"/>
  <c r="M99" i="10"/>
  <c r="M649" i="10"/>
  <c r="M194" i="10"/>
  <c r="M106" i="10"/>
  <c r="N106" i="10" s="1"/>
  <c r="M102" i="10"/>
  <c r="M1446" i="10"/>
  <c r="M323" i="10"/>
  <c r="N323" i="10" s="1"/>
  <c r="M105" i="10"/>
  <c r="M100" i="10"/>
  <c r="M617" i="10"/>
  <c r="M103" i="10"/>
  <c r="M369" i="10"/>
  <c r="M607" i="10"/>
  <c r="M108" i="10"/>
  <c r="M104" i="10"/>
  <c r="M97" i="10"/>
  <c r="M147" i="10"/>
  <c r="M264" i="10"/>
  <c r="M250" i="10"/>
  <c r="M1468" i="10"/>
  <c r="M101" i="10"/>
  <c r="M107" i="10"/>
  <c r="M278" i="10"/>
  <c r="M566" i="10"/>
  <c r="N566" i="10" s="1"/>
  <c r="M1450" i="10"/>
  <c r="M236" i="10"/>
  <c r="L31" i="10" l="1"/>
  <c r="N31" i="10" s="1"/>
  <c r="G81" i="11"/>
  <c r="I81" i="11" s="1"/>
  <c r="K81" i="11" s="1"/>
  <c r="G34" i="11"/>
  <c r="I34" i="11" s="1"/>
  <c r="K34" i="11" s="1"/>
  <c r="G90" i="11"/>
  <c r="I90" i="11" s="1"/>
  <c r="K90" i="11" s="1"/>
  <c r="G185" i="11"/>
  <c r="I185" i="11" s="1"/>
  <c r="K185" i="11" s="1"/>
  <c r="G126" i="11"/>
  <c r="I126" i="11" s="1"/>
  <c r="K126" i="11" s="1"/>
  <c r="G120" i="11"/>
  <c r="I120" i="11" s="1"/>
  <c r="K120" i="11" s="1"/>
  <c r="G77" i="11"/>
  <c r="I77" i="11" s="1"/>
  <c r="K77" i="11" s="1"/>
  <c r="G29" i="11"/>
  <c r="I29" i="11" s="1"/>
  <c r="K29" i="11" s="1"/>
  <c r="G53" i="11"/>
  <c r="I53" i="11" s="1"/>
  <c r="K53" i="11" s="1"/>
  <c r="G82" i="11"/>
  <c r="I82" i="11" s="1"/>
  <c r="K82" i="11" s="1"/>
  <c r="G35" i="11"/>
  <c r="I35" i="11" s="1"/>
  <c r="K35" i="11" s="1"/>
  <c r="G58" i="11"/>
  <c r="I58" i="11" s="1"/>
  <c r="K58" i="11" s="1"/>
  <c r="G74" i="11"/>
  <c r="I74" i="11" s="1"/>
  <c r="K74" i="11" s="1"/>
  <c r="G51" i="11"/>
  <c r="I51" i="11" s="1"/>
  <c r="K51" i="11" s="1"/>
  <c r="G134" i="11"/>
  <c r="H134" i="11" s="1"/>
  <c r="K134" i="11" s="1"/>
  <c r="G180" i="11"/>
  <c r="H180" i="11" s="1"/>
  <c r="K180" i="11" s="1"/>
  <c r="G197" i="11"/>
  <c r="H197" i="11" s="1"/>
  <c r="K197" i="11" s="1"/>
  <c r="G80" i="11"/>
  <c r="I80" i="11" s="1"/>
  <c r="K80" i="11" s="1"/>
  <c r="G33" i="11"/>
  <c r="I33" i="11" s="1"/>
  <c r="K33" i="11" s="1"/>
  <c r="G203" i="11"/>
  <c r="I203" i="11" s="1"/>
  <c r="K203" i="11" s="1"/>
  <c r="G57" i="11"/>
  <c r="I57" i="11" s="1"/>
  <c r="K57" i="11" s="1"/>
  <c r="G138" i="11"/>
  <c r="I138" i="11" s="1"/>
  <c r="K138" i="11" s="1"/>
  <c r="G178" i="11"/>
  <c r="I178" i="11" s="1"/>
  <c r="K178" i="11" s="1"/>
  <c r="G89" i="11"/>
  <c r="I89" i="11" s="1"/>
  <c r="K89" i="11" s="1"/>
  <c r="G184" i="11"/>
  <c r="I184" i="11" s="1"/>
  <c r="K184" i="11" s="1"/>
  <c r="G93" i="11"/>
  <c r="I93" i="11" s="1"/>
  <c r="K93" i="11" s="1"/>
  <c r="G188" i="11"/>
  <c r="I188" i="11" s="1"/>
  <c r="K188" i="11" s="1"/>
  <c r="G128" i="11"/>
  <c r="I128" i="11" s="1"/>
  <c r="K128" i="11" s="1"/>
  <c r="G122" i="11"/>
  <c r="I122" i="11" s="1"/>
  <c r="K122" i="11" s="1"/>
  <c r="G96" i="11"/>
  <c r="I96" i="11" s="1"/>
  <c r="K96" i="11" s="1"/>
  <c r="G191" i="11"/>
  <c r="I191" i="11" s="1"/>
  <c r="K191" i="11" s="1"/>
  <c r="G204" i="11"/>
  <c r="I204" i="11" s="1"/>
  <c r="K204" i="11" s="1"/>
  <c r="G91" i="11"/>
  <c r="I91" i="11" s="1"/>
  <c r="K91" i="11" s="1"/>
  <c r="G186" i="11"/>
  <c r="I186" i="11" s="1"/>
  <c r="K186" i="11" s="1"/>
  <c r="G71" i="11"/>
  <c r="I71" i="11" s="1"/>
  <c r="K71" i="11" s="1"/>
  <c r="G24" i="11"/>
  <c r="I24" i="11" s="1"/>
  <c r="K24" i="11" s="1"/>
  <c r="G46" i="11"/>
  <c r="I46" i="11" s="1"/>
  <c r="K46" i="11" s="1"/>
  <c r="G106" i="11"/>
  <c r="I106" i="11" s="1"/>
  <c r="K106" i="11" s="1"/>
  <c r="N107" i="10"/>
  <c r="L141" i="10"/>
  <c r="N141" i="10" s="1"/>
  <c r="N649" i="10"/>
  <c r="L80" i="10"/>
  <c r="N80" i="10" s="1"/>
  <c r="N86" i="10"/>
  <c r="L9" i="10"/>
  <c r="G85" i="11"/>
  <c r="I85" i="11" s="1"/>
  <c r="K85" i="11" s="1"/>
  <c r="G101" i="11"/>
  <c r="I101" i="11" s="1"/>
  <c r="K101" i="11" s="1"/>
  <c r="G37" i="11"/>
  <c r="I37" i="11" s="1"/>
  <c r="K37" i="11" s="1"/>
  <c r="G206" i="11"/>
  <c r="I206" i="11" s="1"/>
  <c r="K206" i="11" s="1"/>
  <c r="G61" i="11"/>
  <c r="I61" i="11" s="1"/>
  <c r="K61" i="11" s="1"/>
  <c r="G110" i="11"/>
  <c r="I110" i="11" s="1"/>
  <c r="K110" i="11" s="1"/>
  <c r="G97" i="11"/>
  <c r="J97" i="11" s="1"/>
  <c r="K97" i="11" s="1"/>
  <c r="G192" i="11"/>
  <c r="J192" i="11" s="1"/>
  <c r="K192" i="11" s="1"/>
  <c r="G95" i="11"/>
  <c r="I95" i="11" s="1"/>
  <c r="K95" i="11" s="1"/>
  <c r="G190" i="11"/>
  <c r="I190" i="11" s="1"/>
  <c r="K190" i="11" s="1"/>
  <c r="G205" i="11"/>
  <c r="I205" i="11" s="1"/>
  <c r="K205" i="11" s="1"/>
  <c r="G92" i="11"/>
  <c r="I92" i="11" s="1"/>
  <c r="K92" i="11" s="1"/>
  <c r="G142" i="11"/>
  <c r="I142" i="11" s="1"/>
  <c r="K142" i="11" s="1"/>
  <c r="G187" i="11"/>
  <c r="I187" i="11" s="1"/>
  <c r="K187" i="11" s="1"/>
  <c r="G121" i="11"/>
  <c r="I121" i="11" s="1"/>
  <c r="K121" i="11" s="1"/>
  <c r="G127" i="11"/>
  <c r="I127" i="11" s="1"/>
  <c r="K127" i="11" s="1"/>
  <c r="G198" i="11"/>
  <c r="I198" i="11" s="1"/>
  <c r="K198" i="11" s="1"/>
  <c r="G177" i="11"/>
  <c r="I177" i="11" s="1"/>
  <c r="K177" i="11" s="1"/>
  <c r="L242" i="10"/>
  <c r="L229" i="10"/>
  <c r="N229" i="10" s="1"/>
  <c r="L220" i="10"/>
  <c r="N220" i="10" s="1"/>
  <c r="L137" i="10"/>
  <c r="N137" i="10" s="1"/>
  <c r="L232" i="10"/>
  <c r="N232" i="10" s="1"/>
  <c r="N122" i="10"/>
  <c r="L117" i="10"/>
  <c r="N117" i="10" s="1"/>
  <c r="L128" i="10"/>
  <c r="L228" i="10"/>
  <c r="N228" i="10" s="1"/>
  <c r="L70" i="10"/>
  <c r="N70" i="10" s="1"/>
  <c r="K157" i="81"/>
  <c r="K160" i="81" s="1"/>
  <c r="K161" i="81" s="1"/>
  <c r="K162" i="81" s="1"/>
  <c r="J160" i="81"/>
  <c r="J161" i="81" s="1"/>
  <c r="J162" i="81" s="1"/>
  <c r="G72" i="11"/>
  <c r="I72" i="11" s="1"/>
  <c r="K72" i="11" s="1"/>
  <c r="G26" i="11"/>
  <c r="I26" i="11" s="1"/>
  <c r="K26" i="11" s="1"/>
  <c r="G171" i="11"/>
  <c r="I171" i="11" s="1"/>
  <c r="K171" i="11" s="1"/>
  <c r="G48" i="11"/>
  <c r="I48" i="11" s="1"/>
  <c r="K48" i="11" s="1"/>
  <c r="G83" i="11"/>
  <c r="I83" i="11" s="1"/>
  <c r="K83" i="11" s="1"/>
  <c r="G36" i="11"/>
  <c r="I36" i="11" s="1"/>
  <c r="K36" i="11" s="1"/>
  <c r="G59" i="11"/>
  <c r="I59" i="11" s="1"/>
  <c r="K59" i="11" s="1"/>
  <c r="N1446" i="10"/>
  <c r="L120" i="10"/>
  <c r="N120" i="10" s="1"/>
  <c r="N1468" i="10"/>
  <c r="N105" i="10"/>
  <c r="L146" i="10"/>
  <c r="G76" i="11"/>
  <c r="I76" i="11" s="1"/>
  <c r="K76" i="11" s="1"/>
  <c r="G30" i="11"/>
  <c r="I30" i="11" s="1"/>
  <c r="K30" i="11" s="1"/>
  <c r="G54" i="11"/>
  <c r="I54" i="11" s="1"/>
  <c r="K54" i="11" s="1"/>
  <c r="G68" i="11"/>
  <c r="I68" i="11" s="1"/>
  <c r="K68" i="11" s="1"/>
  <c r="G22" i="11"/>
  <c r="I22" i="11" s="1"/>
  <c r="K22" i="11" s="1"/>
  <c r="G44" i="11"/>
  <c r="I44" i="11" s="1"/>
  <c r="K44" i="11" s="1"/>
  <c r="G79" i="11"/>
  <c r="I79" i="11" s="1"/>
  <c r="K79" i="11" s="1"/>
  <c r="G32" i="11"/>
  <c r="I32" i="11" s="1"/>
  <c r="K32" i="11" s="1"/>
  <c r="G56" i="11"/>
  <c r="I56" i="11" s="1"/>
  <c r="K56" i="11" s="1"/>
  <c r="G69" i="11"/>
  <c r="I69" i="11" s="1"/>
  <c r="K69" i="11" s="1"/>
  <c r="G23" i="11"/>
  <c r="I23" i="11" s="1"/>
  <c r="K23" i="11" s="1"/>
  <c r="G172" i="11"/>
  <c r="I172" i="11" s="1"/>
  <c r="K172" i="11" s="1"/>
  <c r="G45" i="11"/>
  <c r="I45" i="11" s="1"/>
  <c r="K45" i="11" s="1"/>
  <c r="G75" i="11"/>
  <c r="I75" i="11" s="1"/>
  <c r="K75" i="11" s="1"/>
  <c r="G28" i="11"/>
  <c r="I28" i="11" s="1"/>
  <c r="K28" i="11" s="1"/>
  <c r="G156" i="11"/>
  <c r="I156" i="11" s="1"/>
  <c r="K156" i="11" s="1"/>
  <c r="G170" i="11"/>
  <c r="I170" i="11" s="1"/>
  <c r="K170" i="11" s="1"/>
  <c r="G52" i="11"/>
  <c r="I52" i="11" s="1"/>
  <c r="K52" i="11" s="1"/>
  <c r="G84" i="11"/>
  <c r="I84" i="11" s="1"/>
  <c r="K84" i="11" s="1"/>
  <c r="G102" i="11"/>
  <c r="I102" i="11" s="1"/>
  <c r="K102" i="11" s="1"/>
  <c r="G60" i="11"/>
  <c r="I60" i="11" s="1"/>
  <c r="K60" i="11" s="1"/>
  <c r="G78" i="11"/>
  <c r="I78" i="11" s="1"/>
  <c r="K78" i="11" s="1"/>
  <c r="G31" i="11"/>
  <c r="I31" i="11" s="1"/>
  <c r="K31" i="11" s="1"/>
  <c r="G55" i="11"/>
  <c r="I55" i="11" s="1"/>
  <c r="K55" i="11" s="1"/>
  <c r="G70" i="11"/>
  <c r="I70" i="11" s="1"/>
  <c r="K70" i="11" s="1"/>
  <c r="G25" i="11"/>
  <c r="I25" i="11" s="1"/>
  <c r="K25" i="11" s="1"/>
  <c r="G155" i="11"/>
  <c r="I155" i="11" s="1"/>
  <c r="K155" i="11" s="1"/>
  <c r="G47" i="11"/>
  <c r="I47" i="11" s="1"/>
  <c r="K47" i="11" s="1"/>
  <c r="G73" i="11"/>
  <c r="I73" i="11" s="1"/>
  <c r="K73" i="11" s="1"/>
  <c r="G27" i="11"/>
  <c r="I27" i="11" s="1"/>
  <c r="K27" i="11" s="1"/>
  <c r="G50" i="11"/>
  <c r="I50" i="11" s="1"/>
  <c r="K50" i="11" s="1"/>
  <c r="K14" i="29"/>
  <c r="G94" i="11"/>
  <c r="I94" i="11" s="1"/>
  <c r="K94" i="11" s="1"/>
  <c r="G189" i="11"/>
  <c r="I189" i="11" s="1"/>
  <c r="K189" i="11" s="1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17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B31" i="54"/>
  <c r="B32" i="54"/>
  <c r="C9" i="54"/>
  <c r="D9" i="54" s="1"/>
  <c r="H216" i="11"/>
  <c r="I216" i="11"/>
  <c r="J36" i="39"/>
  <c r="I36" i="39"/>
  <c r="H36" i="39"/>
  <c r="J218" i="11"/>
  <c r="I218" i="11"/>
  <c r="C228" i="29" l="1"/>
  <c r="D228" i="29" s="1"/>
  <c r="E228" i="29" s="1"/>
  <c r="B163" i="81"/>
  <c r="D11" i="59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216" i="11"/>
  <c r="K36" i="39"/>
  <c r="K218" i="11"/>
  <c r="F228" i="29"/>
  <c r="L8" i="54" l="1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20" i="11"/>
  <c r="H221" i="11" s="1"/>
  <c r="I220" i="11"/>
  <c r="I221" i="11" s="1"/>
  <c r="F346" i="29"/>
  <c r="F334" i="29"/>
  <c r="F330" i="29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F353" i="29"/>
  <c r="E350" i="29"/>
  <c r="E341" i="29"/>
  <c r="E327" i="29"/>
  <c r="E338" i="29"/>
  <c r="E335" i="29"/>
  <c r="E355" i="29"/>
  <c r="F355" i="29"/>
  <c r="E340" i="29"/>
  <c r="E329" i="29"/>
  <c r="E62" i="39"/>
  <c r="E352" i="29"/>
  <c r="E9" i="54"/>
  <c r="L9" i="54" s="1"/>
  <c r="M9" i="54" s="1"/>
  <c r="I10" i="54"/>
  <c r="H10" i="54"/>
  <c r="C11" i="54"/>
  <c r="D11" i="54" s="1"/>
  <c r="F356" i="29" l="1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22" i="11"/>
  <c r="I222" i="11"/>
  <c r="F364" i="29"/>
  <c r="F69" i="39"/>
  <c r="F72" i="39"/>
  <c r="F367" i="29"/>
  <c r="J217" i="11"/>
  <c r="K217" i="11" s="1"/>
  <c r="K220" i="11" s="1"/>
  <c r="K22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C35" i="29" l="1"/>
  <c r="C36" i="29"/>
  <c r="C34" i="29"/>
  <c r="C37" i="29"/>
  <c r="C38" i="29"/>
  <c r="C31" i="29"/>
  <c r="D12" i="54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20" i="11"/>
  <c r="J221" i="11" s="1"/>
  <c r="K222" i="11"/>
  <c r="B22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77" i="29"/>
  <c r="F132" i="29"/>
  <c r="C99" i="29"/>
  <c r="C76" i="29"/>
  <c r="C82" i="29"/>
  <c r="C157" i="29"/>
  <c r="C149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83" i="29"/>
  <c r="C59" i="29"/>
  <c r="C151" i="29"/>
  <c r="F152" i="29"/>
  <c r="C90" i="29"/>
  <c r="F87" i="29"/>
  <c r="C138" i="29"/>
  <c r="C156" i="29"/>
  <c r="C30" i="29"/>
  <c r="F138" i="29"/>
  <c r="C75" i="29"/>
  <c r="C162" i="29"/>
  <c r="F112" i="29"/>
  <c r="C130" i="29"/>
  <c r="F88" i="29"/>
  <c r="F140" i="29"/>
  <c r="C47" i="29"/>
  <c r="C98" i="29"/>
  <c r="F61" i="29"/>
  <c r="C29" i="29"/>
  <c r="C43" i="29"/>
  <c r="F102" i="29"/>
  <c r="F154" i="29"/>
  <c r="C33" i="29"/>
  <c r="F122" i="29"/>
  <c r="C107" i="29"/>
  <c r="C129" i="29"/>
  <c r="C32" i="29"/>
  <c r="F78" i="29"/>
  <c r="F70" i="29"/>
  <c r="F25" i="29"/>
  <c r="C145" i="29"/>
  <c r="C113" i="29"/>
  <c r="C93" i="29"/>
  <c r="F98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C22" i="29"/>
  <c r="C136" i="29"/>
  <c r="C63" i="29"/>
  <c r="C57" i="29"/>
  <c r="C165" i="29"/>
  <c r="C44" i="29"/>
  <c r="C150" i="29"/>
  <c r="C51" i="29"/>
  <c r="F110" i="29"/>
  <c r="F62" i="29"/>
  <c r="F113" i="29"/>
  <c r="C84" i="29"/>
  <c r="F145" i="29"/>
  <c r="C48" i="29"/>
  <c r="C120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C111" i="29"/>
  <c r="F60" i="29"/>
  <c r="C134" i="29"/>
  <c r="F91" i="29"/>
  <c r="F85" i="29"/>
  <c r="F77" i="29"/>
  <c r="C94" i="29"/>
  <c r="F94" i="29"/>
  <c r="F31" i="29"/>
  <c r="C114" i="29"/>
  <c r="F101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26" i="29"/>
  <c r="F76" i="29"/>
  <c r="F134" i="29"/>
  <c r="F108" i="29"/>
  <c r="C109" i="29"/>
  <c r="C55" i="29"/>
  <c r="F57" i="29"/>
  <c r="F157" i="29"/>
  <c r="C121" i="29"/>
  <c r="C56" i="29"/>
  <c r="C61" i="29"/>
  <c r="F148" i="29"/>
  <c r="C112" i="29"/>
  <c r="F80" i="29"/>
  <c r="C67" i="29"/>
  <c r="C147" i="29"/>
  <c r="C42" i="29"/>
  <c r="F128" i="29"/>
  <c r="C39" i="29"/>
  <c r="F81" i="29"/>
  <c r="C104" i="29"/>
  <c r="C105" i="29"/>
  <c r="C132" i="29"/>
  <c r="F100" i="29"/>
  <c r="C88" i="29"/>
  <c r="C106" i="29"/>
  <c r="F139" i="29"/>
  <c r="F69" i="29"/>
  <c r="F28" i="29"/>
  <c r="C127" i="29"/>
  <c r="F130" i="29"/>
  <c r="F144" i="29"/>
  <c r="C26" i="29"/>
  <c r="F103" i="29"/>
  <c r="C64" i="29"/>
  <c r="C141" i="29"/>
  <c r="F89" i="29"/>
  <c r="C139" i="29"/>
  <c r="C60" i="29"/>
  <c r="F109" i="29"/>
  <c r="F155" i="29"/>
  <c r="F150" i="29"/>
  <c r="F74" i="29"/>
  <c r="F106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B38" i="29" l="1"/>
  <c r="E38" i="29" s="1"/>
  <c r="G38" i="29"/>
  <c r="D38" i="29"/>
  <c r="D37" i="29"/>
  <c r="B37" i="29"/>
  <c r="E37" i="29" s="1"/>
  <c r="G37" i="29"/>
  <c r="B36" i="29"/>
  <c r="E36" i="29" s="1"/>
  <c r="G36" i="29"/>
  <c r="D36" i="29"/>
  <c r="B34" i="29"/>
  <c r="E34" i="29" s="1"/>
  <c r="G34" i="29"/>
  <c r="D34" i="29"/>
  <c r="D35" i="29"/>
  <c r="B35" i="29"/>
  <c r="E35" i="29" s="1"/>
  <c r="G35" i="29"/>
  <c r="J16" i="29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2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J34" i="29" l="1"/>
  <c r="H34" i="29"/>
  <c r="I34" i="29"/>
  <c r="H37" i="29"/>
  <c r="I37" i="29"/>
  <c r="J37" i="29"/>
  <c r="J38" i="29"/>
  <c r="H38" i="29"/>
  <c r="I38" i="29"/>
  <c r="H35" i="29"/>
  <c r="I35" i="29"/>
  <c r="J35" i="29"/>
  <c r="J36" i="29"/>
  <c r="H36" i="29"/>
  <c r="I36" i="29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38" i="29" l="1"/>
  <c r="K37" i="29"/>
  <c r="K36" i="29"/>
  <c r="K34" i="29"/>
  <c r="K35" i="29"/>
  <c r="G7" i="54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<sst xmlns="http://schemas.openxmlformats.org/spreadsheetml/2006/main" count="5083" uniqueCount="1681">
  <si>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</si>
  <si>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</si>
  <si>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</si>
  <si>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</si>
  <si>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</si>
  <si>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</si>
  <si>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</si>
  <si>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</si>
  <si>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</si>
  <si>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</si>
  <si>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</si>
  <si>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</si>
  <si>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</si>
  <si>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</si>
  <si>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</si>
  <si>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</si>
  <si>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</si>
  <si>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</si>
  <si>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</si>
  <si>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</si>
  <si>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</si>
  <si>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</si>
  <si>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</si>
  <si>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</si>
  <si>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</si>
  <si>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</si>
  <si>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</si>
  <si>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</si>
  <si>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</si>
  <si>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</si>
  <si>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</si>
  <si>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</si>
  <si>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</si>
  <si>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</si>
  <si>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</si>
  <si>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</si>
  <si>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</si>
  <si>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</si>
  <si>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</si>
  <si>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</si>
  <si>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</si>
  <si>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</si>
  <si>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</si>
  <si>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</si>
  <si>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</si>
  <si>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</si>
  <si>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</si>
  <si>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</si>
  <si>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</si>
  <si>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</si>
  <si>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</si>
  <si>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</si>
  <si>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</si>
  <si>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</si>
  <si>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</si>
  <si>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</si>
  <si>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</si>
  <si>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</si>
  <si>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</si>
  <si>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</si>
  <si>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</si>
  <si>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</si>
  <si>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</si>
  <si>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</si>
  <si>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</si>
  <si>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</si>
  <si>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</si>
  <si>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</si>
  <si>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</si>
  <si>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</si>
  <si>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</si>
  <si>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</si>
  <si>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</si>
  <si>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</si>
  <si>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</si>
  <si>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</si>
  <si>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</si>
  <si>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</si>
  <si>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</si>
  <si>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</si>
  <si>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</si>
  <si>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</si>
  <si>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</si>
  <si>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</si>
  <si>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</si>
  <si>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</si>
  <si>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</si>
  <si>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</si>
  <si>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</si>
  <si>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</si>
  <si>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</si>
  <si>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</si>
  <si>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</si>
  <si>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</si>
  <si>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</si>
  <si>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</si>
  <si>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</si>
  <si>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</si>
  <si>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</si>
  <si>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</si>
  <si>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</si>
  <si>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</si>
  <si>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</si>
  <si>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</si>
  <si>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</si>
  <si>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</si>
  <si>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</si>
  <si>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</si>
  <si>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</si>
  <si>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</si>
  <si>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</si>
  <si>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</si>
  <si>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</si>
  <si>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</si>
  <si>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</si>
  <si>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</si>
  <si>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</si>
  <si>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</si>
  <si>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</si>
  <si>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</si>
  <si>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</si>
  <si>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</si>
  <si>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</si>
  <si>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</si>
  <si>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</si>
  <si>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</si>
  <si>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</si>
  <si>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</si>
  <si>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</si>
  <si>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</si>
  <si>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</si>
  <si>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</si>
  <si>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</si>
  <si>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</si>
  <si>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</si>
  <si>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</si>
  <si>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</si>
  <si>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</si>
  <si>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</si>
  <si>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</si>
  <si>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</si>
  <si>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</si>
  <si>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</si>
  <si>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</si>
  <si>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</si>
  <si>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</si>
  <si>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</si>
  <si>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</si>
  <si>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</si>
  <si>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</si>
  <si>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</si>
  <si>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</si>
  <si>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</si>
  <si>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</si>
  <si>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</si>
  <si>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</si>
  <si>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</si>
  <si>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</si>
  <si>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</si>
  <si>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</si>
  <si>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</si>
  <si>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</si>
  <si>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</si>
  <si>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</si>
  <si>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</si>
  <si>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</si>
  <si>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</si>
  <si>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</si>
  <si>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</si>
  <si>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</si>
  <si>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</si>
  <si>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</si>
  <si>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</si>
  <si>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</si>
  <si>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</si>
  <si>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</si>
  <si>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</si>
  <si>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</si>
  <si>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</si>
  <si>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</si>
  <si>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</si>
  <si>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</si>
  <si>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</si>
  <si>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</si>
  <si>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</si>
  <si>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</si>
  <si>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</si>
  <si>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</si>
  <si>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</si>
  <si>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</si>
  <si>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</si>
  <si>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</si>
  <si>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</si>
  <si>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</si>
  <si>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</si>
  <si>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</si>
  <si>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</si>
  <si>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</si>
  <si>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</si>
  <si>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</si>
  <si>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</si>
  <si>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</si>
  <si>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</si>
  <si>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</si>
  <si>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</si>
  <si>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</si>
  <si>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</si>
  <si>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</si>
  <si>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</si>
  <si>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</si>
  <si>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</si>
  <si>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</si>
  <si>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</si>
  <si>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</si>
  <si>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</si>
  <si>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</si>
  <si>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</si>
  <si>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</si>
  <si>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</si>
  <si>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</si>
  <si>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</si>
  <si>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</si>
  <si>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</si>
  <si>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</si>
  <si>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</si>
  <si>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</si>
  <si>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</si>
  <si>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</si>
  <si>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</si>
  <si>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</si>
  <si>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</si>
  <si>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</si>
  <si>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</si>
  <si>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</si>
  <si>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</si>
  <si>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</si>
  <si>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</si>
  <si>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</si>
  <si>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</si>
  <si>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</si>
  <si>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</si>
  <si>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</si>
  <si>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</si>
  <si>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</si>
  <si>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</si>
  <si>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</si>
  <si>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</si>
  <si>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</si>
  <si>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</si>
  <si>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</si>
  <si>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</si>
  <si>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</si>
  <si>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</si>
  <si>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</si>
  <si>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</si>
  <si>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</si>
  <si>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</si>
  <si>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</si>
  <si>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</si>
  <si>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</si>
  <si>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</si>
  <si>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</si>
  <si>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</si>
  <si>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</si>
  <si>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</si>
  <si>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</si>
  <si>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</si>
  <si>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</si>
  <si>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</si>
  <si>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</si>
  <si>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</si>
  <si>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</si>
  <si>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</si>
  <si>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</si>
  <si>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</si>
  <si>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</si>
  <si>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</si>
  <si>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</si>
  <si>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</si>
  <si>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</si>
  <si>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</si>
  <si>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</si>
  <si>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</si>
  <si>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</si>
  <si>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</si>
  <si>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</si>
  <si>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</si>
  <si>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</si>
  <si>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</si>
  <si>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</si>
  <si>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</si>
  <si>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</si>
  <si>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</si>
  <si>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</si>
  <si>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</si>
  <si>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</si>
  <si>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</si>
  <si>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</si>
  <si>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</si>
  <si>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</si>
  <si>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</si>
  <si>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</si>
  <si>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</si>
  <si>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</si>
  <si>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</si>
  <si>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</si>
  <si>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</si>
  <si>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</si>
  <si>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</si>
  <si>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</si>
  <si>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</si>
  <si>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</si>
  <si>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</si>
  <si>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</si>
  <si>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</si>
  <si>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</si>
  <si>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</si>
  <si>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</si>
  <si>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</si>
  <si>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</si>
  <si>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</si>
  <si>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</si>
  <si>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</si>
  <si>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</si>
  <si>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</si>
  <si>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</si>
  <si>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</si>
  <si>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</si>
  <si>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</si>
  <si>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</si>
  <si>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</si>
  <si>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</si>
  <si>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</si>
  <si>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</si>
  <si>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</si>
  <si>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</si>
  <si>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</si>
  <si>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</si>
  <si>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</si>
  <si>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</si>
  <si>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</si>
  <si>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</si>
  <si>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</si>
  <si>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</si>
  <si>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</si>
  <si>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</si>
  <si>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</si>
  <si>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</si>
  <si>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</si>
  <si>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</si>
  <si>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</si>
  <si>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</si>
  <si>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</si>
  <si>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</si>
  <si>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</si>
  <si>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</si>
  <si>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</si>
  <si>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</si>
  <si>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</si>
  <si>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</si>
  <si>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</si>
  <si>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</si>
  <si>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</si>
  <si>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</si>
  <si>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</si>
  <si>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</si>
  <si>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</si>
  <si>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</si>
  <si>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</si>
  <si>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</si>
  <si>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</si>
  <si>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</si>
  <si>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</si>
  <si>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</si>
  <si>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</si>
  <si>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</si>
  <si>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</si>
  <si>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</si>
  <si>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</si>
  <si>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</si>
  <si>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</si>
  <si>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</si>
  <si>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</si>
  <si>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</si>
  <si>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</si>
  <si>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</si>
  <si>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</si>
  <si>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</si>
  <si>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</si>
  <si>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</si>
  <si>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</si>
  <si>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</si>
  <si>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</si>
  <si>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</si>
  <si>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</si>
  <si>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</si>
  <si>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</si>
  <si>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</si>
  <si>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</si>
  <si>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</si>
  <si>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</si>
  <si>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</si>
  <si>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</si>
  <si>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</si>
  <si>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</si>
  <si>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</si>
  <si>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</si>
  <si>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</si>
  <si>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</si>
  <si>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</si>
  <si>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</si>
  <si>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</si>
  <si>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</si>
  <si>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</si>
  <si>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</si>
  <si>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</si>
  <si>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</si>
  <si>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</si>
  <si>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</si>
  <si>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</si>
  <si>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</si>
  <si>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</si>
  <si>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</si>
  <si>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</si>
  <si>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</si>
  <si>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</si>
  <si>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</si>
  <si>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</si>
  <si>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</si>
  <si>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</si>
  <si>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</si>
  <si>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</si>
  <si>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</si>
  <si>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</si>
  <si>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</si>
  <si>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</si>
  <si>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</si>
  <si>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</si>
  <si>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</si>
  <si>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</si>
  <si>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</si>
  <si>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</si>
  <si>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</si>
  <si>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</si>
  <si>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</si>
  <si>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</si>
  <si>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</si>
  <si>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</si>
  <si>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</si>
  <si>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</si>
  <si>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</si>
  <si>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</si>
  <si>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</si>
  <si>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</si>
  <si>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</si>
  <si>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</si>
  <si>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</si>
  <si>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</si>
  <si>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</si>
  <si>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</si>
  <si>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</si>
  <si>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</si>
  <si>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</si>
  <si>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</si>
  <si>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</si>
  <si>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</si>
  <si>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</si>
  <si>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</si>
  <si>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</si>
  <si>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</si>
  <si>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</si>
  <si>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</si>
  <si>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</si>
  <si>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</si>
  <si>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</si>
  <si>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</si>
  <si>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</si>
  <si>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</si>
  <si>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</si>
  <si>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</si>
  <si>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</si>
  <si>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</si>
  <si>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</si>
  <si>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</si>
  <si>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</si>
  <si>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</si>
  <si>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</si>
  <si>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</si>
  <si>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</si>
  <si>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</si>
  <si>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</si>
  <si>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</si>
  <si>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</si>
  <si>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</si>
  <si>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</si>
  <si>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</si>
  <si>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</si>
  <si>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</si>
  <si>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</si>
  <si>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</si>
  <si>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</si>
  <si>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</si>
  <si>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</si>
  <si>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</si>
  <si>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</si>
  <si>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</si>
  <si>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</si>
  <si>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</si>
  <si>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</si>
  <si>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</si>
  <si>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</si>
  <si>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</si>
  <si>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</si>
  <si>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</si>
  <si>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</si>
  <si>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</si>
  <si>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</si>
  <si>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</si>
  <si>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</si>
  <si>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</si>
  <si>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</si>
  <si>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</si>
  <si>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</si>
  <si>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</si>
  <si>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</si>
  <si>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</si>
  <si>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</si>
  <si>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</si>
  <si>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</si>
  <si>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</si>
  <si>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</si>
  <si>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</si>
  <si>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</si>
  <si>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</si>
  <si>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</si>
  <si>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</si>
  <si>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</si>
  <si>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</si>
  <si>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</si>
  <si>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</si>
  <si>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</si>
  <si>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</si>
  <si>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</si>
  <si>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</si>
  <si>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</si>
  <si>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</si>
  <si>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</si>
  <si>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</si>
  <si>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</si>
  <si>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</si>
  <si>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</si>
  <si>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</si>
  <si>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</si>
  <si>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</si>
  <si>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</si>
  <si>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</si>
  <si>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</si>
  <si>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</si>
  <si>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</si>
  <si>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</si>
  <si>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</si>
  <si>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</si>
  <si>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</si>
  <si>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</si>
  <si>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</si>
  <si>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</si>
  <si>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</si>
  <si>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</si>
  <si>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</si>
  <si>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</si>
  <si>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</si>
  <si>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</si>
  <si>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</si>
  <si>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</si>
  <si>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</si>
  <si>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</si>
  <si>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</si>
  <si>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</si>
  <si>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</si>
  <si>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</si>
  <si>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</si>
  <si>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</si>
  <si>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</si>
  <si>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</si>
  <si>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</si>
  <si>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</si>
  <si>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</si>
  <si>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</si>
  <si>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</si>
  <si>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</si>
  <si>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</si>
  <si>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</si>
  <si>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</si>
  <si>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</si>
  <si>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</si>
  <si>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</si>
  <si>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</si>
  <si>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</si>
  <si>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</si>
  <si>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</si>
  <si>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</si>
  <si>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</si>
  <si>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</si>
  <si>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</si>
  <si>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</si>
  <si>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</si>
  <si>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</si>
  <si>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</si>
  <si>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</si>
  <si>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</si>
  <si>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</si>
  <si>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</si>
  <si>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</si>
  <si>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</si>
  <si>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</si>
  <si>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</si>
  <si>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</si>
  <si>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</si>
  <si>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</si>
  <si>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</si>
  <si>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</si>
  <si>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</si>
  <si>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</si>
  <si>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</si>
  <si>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</si>
  <si>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</si>
  <si>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</si>
  <si>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</si>
  <si>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</si>
  <si>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</si>
  <si>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</si>
  <si>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</si>
  <si>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</si>
  <si>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</si>
  <si>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</si>
  <si>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</si>
  <si>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</si>
  <si>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</si>
  <si>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</si>
  <si>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</si>
  <si>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</si>
  <si>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</si>
  <si>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</si>
  <si>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</si>
  <si>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</si>
  <si>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</si>
  <si>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</si>
  <si>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</si>
  <si>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</si>
  <si>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</si>
  <si>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</si>
  <si>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</si>
  <si>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</si>
  <si>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</si>
  <si>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</si>
  <si>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</si>
  <si>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</si>
  <si>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</si>
  <si>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</si>
  <si>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</si>
  <si>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</si>
  <si>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</si>
  <si>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</si>
  <si>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</si>
  <si>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</si>
  <si>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</si>
  <si>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</si>
  <si>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</si>
  <si>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</si>
  <si>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</si>
  <si>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</si>
  <si>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</si>
  <si>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</si>
  <si>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</si>
  <si>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</si>
  <si>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</si>
  <si>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</si>
  <si>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</si>
  <si>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</si>
  <si>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</si>
  <si>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</si>
  <si>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</si>
  <si>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</si>
  <si>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</si>
  <si>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</si>
  <si>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</si>
  <si>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</si>
  <si>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</si>
  <si>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</si>
  <si>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</si>
  <si>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</si>
  <si>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</si>
  <si>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</si>
  <si>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</si>
  <si>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</si>
  <si>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</si>
  <si>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</si>
  <si>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</si>
  <si>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</si>
  <si>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</si>
  <si>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</si>
  <si>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</si>
  <si>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</si>
  <si>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</si>
  <si>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</si>
  <si>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</si>
  <si>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</si>
  <si>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</si>
  <si>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</si>
  <si>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</si>
  <si>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</si>
  <si>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</si>
  <si>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</si>
  <si>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</si>
  <si>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</si>
  <si>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</si>
  <si>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</si>
  <si>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</si>
  <si>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</si>
  <si>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</si>
  <si>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</si>
  <si>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</si>
  <si>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</si>
  <si>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</si>
  <si>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</si>
  <si>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</si>
  <si>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</si>
  <si>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</si>
  <si>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</si>
  <si>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</si>
  <si>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</si>
  <si>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</si>
  <si>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</si>
  <si>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</si>
  <si>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</si>
  <si>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</si>
  <si>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</si>
  <si>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</si>
  <si>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</si>
  <si>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</si>
  <si>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</si>
  <si>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</si>
  <si>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</si>
  <si>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</si>
  <si>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</si>
  <si>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</si>
  <si>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</si>
  <si>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</si>
  <si>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</si>
  <si>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</si>
  <si>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</si>
  <si>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</si>
  <si>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</si>
  <si>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</si>
  <si>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</si>
  <si>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</si>
  <si>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</si>
  <si>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</si>
  <si>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</si>
  <si>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</si>
  <si>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</si>
  <si>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</si>
  <si>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</si>
  <si>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</si>
  <si>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</si>
  <si>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</si>
  <si>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</si>
  <si>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</si>
  <si>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</si>
  <si>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</si>
  <si>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</si>
  <si>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</si>
  <si>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</si>
  <si>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</si>
  <si>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</si>
  <si>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</si>
  <si>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</si>
  <si>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</si>
  <si>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</si>
  <si>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</si>
  <si>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</si>
  <si>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</si>
  <si>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</si>
  <si>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</si>
  <si>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</si>
  <si>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</si>
  <si>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</si>
  <si>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</si>
  <si>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</si>
  <si>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</si>
  <si>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</si>
  <si>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</si>
  <si>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</si>
  <si>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</si>
  <si>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</si>
  <si>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</si>
  <si>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</si>
  <si>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</si>
  <si>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</si>
  <si>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</si>
  <si>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</si>
  <si>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</si>
  <si>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</si>
  <si>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</si>
  <si>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</si>
  <si>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</si>
  <si>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</si>
  <si>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</si>
  <si>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</si>
  <si>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</si>
  <si>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</si>
  <si>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</si>
  <si>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</si>
  <si>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</si>
  <si>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</si>
  <si>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</si>
  <si>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</si>
  <si>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</si>
  <si>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</si>
  <si>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</si>
  <si>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</si>
  <si>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</si>
  <si>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</si>
  <si>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</si>
  <si>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</si>
  <si>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</si>
  <si>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</si>
  <si>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</si>
  <si>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</si>
  <si>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</si>
  <si>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</si>
  <si>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</si>
  <si>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</si>
  <si>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</si>
  <si>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</si>
  <si>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</si>
  <si>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</si>
  <si>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</si>
  <si>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</si>
  <si>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</si>
  <si>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</si>
  <si>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</si>
  <si>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</si>
  <si>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</si>
  <si>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</si>
  <si>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</si>
  <si>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</si>
  <si>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</si>
  <si>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</si>
  <si>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</si>
  <si>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</si>
  <si>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</si>
  <si>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</si>
  <si>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</si>
  <si>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</si>
  <si>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</si>
  <si>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</si>
  <si>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</si>
  <si>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</si>
  <si>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</si>
  <si>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</si>
  <si>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</si>
  <si>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</si>
  <si>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</si>
  <si>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</si>
  <si>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</si>
  <si>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</si>
  <si>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</si>
  <si>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</si>
  <si>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</si>
  <si>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</si>
  <si>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</si>
  <si>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</si>
  <si>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</si>
  <si>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</si>
  <si>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</si>
  <si>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</si>
  <si>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</si>
  <si>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</si>
  <si>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</si>
  <si>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</si>
  <si>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</si>
  <si>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</si>
  <si>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</si>
  <si>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</si>
  <si>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</si>
  <si>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</si>
  <si>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</si>
  <si>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</si>
  <si>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</si>
  <si>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</si>
  <si>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</si>
  <si>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</si>
  <si>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</si>
  <si>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</si>
  <si>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</si>
  <si>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</si>
  <si>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</si>
  <si>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</si>
  <si>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</si>
  <si>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</si>
  <si>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</si>
  <si>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</si>
  <si>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</si>
  <si>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</si>
  <si>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</si>
  <si>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</si>
  <si>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</si>
  <si>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</si>
  <si>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</si>
  <si>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</si>
  <si>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</si>
  <si>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</si>
  <si>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</si>
  <si>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</si>
  <si>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</si>
  <si>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</si>
  <si>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</si>
  <si>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</si>
  <si>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</si>
  <si>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</si>
  <si>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</si>
  <si>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</si>
  <si>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</si>
  <si>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</si>
  <si>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</si>
  <si>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</si>
  <si>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</si>
  <si>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</si>
  <si>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</si>
  <si>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</si>
  <si>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</si>
  <si>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</si>
  <si>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</si>
  <si>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</si>
  <si>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</si>
  <si>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</si>
  <si>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</si>
  <si>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</si>
  <si>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</si>
  <si>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</si>
  <si>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</si>
  <si>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</si>
  <si>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</si>
  <si>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</si>
  <si>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</si>
  <si>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</si>
  <si>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</si>
  <si>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</si>
  <si>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</si>
  <si>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</si>
  <si>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</si>
  <si>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</si>
  <si>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</si>
  <si>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</si>
  <si>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</si>
  <si>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</si>
  <si>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</si>
  <si>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</si>
  <si>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</si>
  <si>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</si>
  <si>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</si>
  <si>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</si>
  <si>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</si>
  <si>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</si>
  <si>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</si>
  <si>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</si>
  <si>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</si>
  <si>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</si>
  <si>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</si>
  <si>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</si>
  <si>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</si>
  <si>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</si>
  <si>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</si>
  <si>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</si>
  <si>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</si>
  <si>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</si>
  <si>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</si>
  <si>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</si>
  <si>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</si>
  <si>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</si>
  <si>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</si>
  <si>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</si>
  <si>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</si>
  <si>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</si>
  <si>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</si>
  <si>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</si>
  <si>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</si>
  <si>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</si>
  <si>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</si>
  <si>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</si>
  <si>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</si>
  <si>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</si>
  <si>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</si>
  <si>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</si>
  <si>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</si>
  <si>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</si>
  <si>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</si>
  <si>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</si>
  <si>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</si>
  <si>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</si>
  <si>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</si>
  <si>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</si>
  <si>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</si>
  <si>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</si>
  <si>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</si>
  <si>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</si>
  <si>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</si>
  <si>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</si>
  <si>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</si>
  <si>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</si>
  <si>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</si>
  <si>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</si>
  <si>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</si>
  <si>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</si>
  <si>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</si>
  <si>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</si>
  <si>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</si>
  <si>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</si>
  <si>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</si>
  <si>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</si>
  <si>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</si>
  <si>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</si>
  <si>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</si>
  <si>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</si>
  <si>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</si>
  <si>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</si>
  <si>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</si>
  <si>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</si>
  <si>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</si>
  <si>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</si>
  <si>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</si>
  <si>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</si>
  <si>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</si>
  <si>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</si>
  <si>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</si>
  <si>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</si>
  <si>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</si>
  <si>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</si>
  <si>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</si>
  <si>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</si>
  <si>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</si>
  <si>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</si>
  <si>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</si>
  <si>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</si>
  <si>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</si>
  <si>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</si>
  <si>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</si>
  <si>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</si>
  <si>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</si>
  <si>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</si>
  <si>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</si>
  <si>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</si>
  <si>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</si>
  <si>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</si>
  <si>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</si>
  <si>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</si>
  <si>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</si>
  <si>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</si>
  <si>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</si>
  <si>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</si>
  <si>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</si>
  <si>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</si>
  <si>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</si>
  <si>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</si>
  <si>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</si>
  <si>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</si>
  <si>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</si>
  <si>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</si>
  <si>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</si>
  <si>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</si>
  <si>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</si>
  <si>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</si>
  <si>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</si>
  <si>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</si>
  <si>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</si>
  <si>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</si>
  <si>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</si>
  <si>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</si>
  <si>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</si>
  <si>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</si>
  <si>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</si>
  <si>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</si>
  <si>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</si>
  <si>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</si>
  <si>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</si>
  <si>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</si>
  <si>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</si>
  <si>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</si>
  <si>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</si>
  <si>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</si>
  <si>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</si>
  <si>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</si>
  <si>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</si>
  <si>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</si>
  <si>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</si>
  <si>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</si>
  <si>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</si>
  <si>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</si>
  <si>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</si>
  <si>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</si>
  <si>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</si>
  <si>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</si>
  <si>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</si>
  <si>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</si>
  <si>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</si>
  <si>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</si>
  <si>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</si>
  <si>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</si>
  <si>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</si>
  <si>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</si>
  <si>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</si>
  <si>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</si>
  <si>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</si>
  <si>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</si>
  <si>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</si>
  <si>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</si>
  <si>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</si>
  <si>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</si>
  <si>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</si>
  <si>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</si>
  <si>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</si>
  <si>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</si>
  <si>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</si>
  <si>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</si>
  <si>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</si>
  <si>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</si>
  <si>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</si>
  <si>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</si>
  <si>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</si>
  <si>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</si>
  <si>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</si>
  <si>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</si>
  <si>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</si>
  <si>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</si>
  <si>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</si>
  <si>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</si>
  <si>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</si>
  <si>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</si>
  <si>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</si>
  <si>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</si>
  <si>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</si>
  <si>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</si>
  <si>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</si>
  <si>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</si>
  <si>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</si>
  <si>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</si>
  <si>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</si>
  <si>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</si>
  <si>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</si>
  <si>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</si>
  <si>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</si>
  <si>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</si>
  <si>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</si>
  <si>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</si>
  <si>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</si>
  <si>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</si>
  <si>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</si>
  <si>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</si>
  <si>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</si>
  <si>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</si>
  <si>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</si>
  <si>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</si>
  <si>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</si>
  <si>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</si>
  <si>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</si>
  <si>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</si>
  <si>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</si>
  <si>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</si>
  <si>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</si>
  <si>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</si>
  <si>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</si>
  <si>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</si>
  <si>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</si>
  <si>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</si>
  <si>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</si>
  <si>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</si>
  <si>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</si>
  <si>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</si>
  <si>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</si>
  <si>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</si>
  <si>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</si>
  <si>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</si>
  <si>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</si>
  <si>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</si>
  <si>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</si>
  <si>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</si>
  <si>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</si>
  <si>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</si>
  <si>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</si>
  <si>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</si>
  <si>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</si>
  <si>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</si>
  <si>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</si>
  <si>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</si>
  <si>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</si>
  <si>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</si>
  <si>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</si>
  <si>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</si>
  <si>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</si>
  <si>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</si>
  <si>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</si>
  <si>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</si>
  <si>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</si>
  <si>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</si>
  <si>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</si>
  <si>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</si>
  <si>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</si>
  <si>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</si>
  <si>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</si>
  <si>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</si>
  <si>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</si>
  <si>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</si>
  <si>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</si>
  <si>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</si>
  <si>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</si>
  <si>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</si>
  <si>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</si>
  <si>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</si>
  <si>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</si>
  <si>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</si>
  <si>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</si>
  <si>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</si>
  <si>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</si>
  <si>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</si>
  <si>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</si>
  <si>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</si>
  <si>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</si>
  <si>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</si>
  <si>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</si>
  <si>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</si>
  <si>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</si>
  <si>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</si>
  <si>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</si>
  <si>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</si>
  <si>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</si>
  <si>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</si>
  <si>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</si>
  <si>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</si>
  <si>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</si>
  <si>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</si>
  <si>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</si>
  <si>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</si>
  <si>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</si>
  <si>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</si>
  <si>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</si>
  <si>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</si>
  <si>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</si>
  <si>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</si>
  <si>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</si>
  <si>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</si>
  <si>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</si>
  <si>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</si>
  <si>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</si>
  <si>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</si>
  <si>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</si>
  <si>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</si>
  <si>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</si>
  <si>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</si>
  <si>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</si>
  <si>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</si>
  <si>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</si>
  <si>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</si>
  <si>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</si>
  <si>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</si>
  <si>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</si>
  <si>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</si>
  <si>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</si>
  <si>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</si>
  <si>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</si>
  <si>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</si>
  <si>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</si>
  <si>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</si>
  <si>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</si>
  <si>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</si>
  <si>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</si>
  <si>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</si>
  <si>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</si>
  <si>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</si>
  <si>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</si>
  <si>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</si>
  <si>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</si>
  <si>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</si>
  <si>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</si>
  <si>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</si>
  <si>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</si>
  <si>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</si>
  <si>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</si>
  <si>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</si>
  <si>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</si>
  <si>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</si>
  <si>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</si>
  <si>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</si>
  <si>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</si>
  <si>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</si>
  <si>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</si>
  <si>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</si>
  <si>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</si>
  <si>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</si>
  <si>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</si>
  <si>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</si>
  <si>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</si>
  <si>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</si>
  <si>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</si>
  <si>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</si>
  <si>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</si>
  <si>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</si>
  <si>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</si>
  <si>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</si>
  <si>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</si>
  <si>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</si>
  <si>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</si>
  <si>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</si>
  <si>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</si>
  <si>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</si>
  <si>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</si>
  <si>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</si>
  <si>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</si>
  <si>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</si>
  <si>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</si>
  <si>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</si>
  <si>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</si>
  <si>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</si>
  <si>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</si>
  <si>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</si>
  <si>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</si>
  <si>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</si>
  <si>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</si>
  <si>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</si>
  <si>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</si>
  <si>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</si>
  <si>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</si>
  <si>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</si>
  <si>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</si>
  <si>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</si>
  <si>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</si>
  <si>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</si>
  <si>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</si>
  <si>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</si>
  <si>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</si>
  <si>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</si>
  <si>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</si>
  <si>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</si>
  <si>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</si>
  <si>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</si>
  <si>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</si>
  <si>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</si>
  <si>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</si>
  <si>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</si>
  <si>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</si>
  <si>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</si>
  <si>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</si>
  <si>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</si>
  <si>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</si>
  <si>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</si>
  <si>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</si>
  <si>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</si>
  <si>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</si>
  <si>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</si>
  <si>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</si>
  <si>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</si>
  <si>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</si>
  <si>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</si>
  <si>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</si>
  <si>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</si>
  <si>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</si>
  <si>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</si>
  <si>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</si>
  <si>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</si>
  <si>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</si>
  <si>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</si>
  <si>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</si>
  <si>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</si>
  <si>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</si>
  <si>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</si>
  <si>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</si>
  <si>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</si>
  <si>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</si>
  <si>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</si>
  <si>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</si>
  <si>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</si>
  <si>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</si>
  <si>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</si>
  <si>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</si>
  <si>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</si>
  <si>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</si>
  <si>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</si>
  <si>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</si>
  <si>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</si>
  <si>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</si>
  <si>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</si>
  <si>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</si>
  <si>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</si>
  <si>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</si>
  <si>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</si>
  <si>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</si>
  <si>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</si>
  <si>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</si>
  <si>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</si>
  <si>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</si>
  <si>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</si>
  <si>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</si>
  <si>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</si>
  <si>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</si>
  <si>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</si>
  <si>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</si>
  <si>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</si>
  <si>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</si>
  <si>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</si>
  <si>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</si>
  <si>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</si>
  <si>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</si>
  <si>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</si>
  <si>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</si>
  <si>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</si>
  <si>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</si>
  <si>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</si>
  <si>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</si>
  <si>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</si>
  <si>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</si>
  <si>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</si>
  <si>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</si>
  <si>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</si>
  <si>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</si>
  <si>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</si>
  <si>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</si>
  <si>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</si>
  <si>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</si>
  <si>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</si>
  <si>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</si>
  <si>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</si>
  <si>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</si>
  <si>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</si>
  <si>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</si>
  <si>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</si>
  <si>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</si>
  <si>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</si>
  <si>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</si>
  <si>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</si>
  <si>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</si>
  <si>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</si>
  <si>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</si>
  <si>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</si>
  <si>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</si>
  <si>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</si>
  <si>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</si>
  <si>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</si>
  <si>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</si>
  <si>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</si>
  <si>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</si>
  <si>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</si>
  <si>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</si>
  <si>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</si>
  <si>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</si>
  <si>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</si>
  <si>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</si>
  <si>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</si>
  <si>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</si>
  <si>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</si>
  <si>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</si>
  <si>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</si>
  <si>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</si>
  <si>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</si>
  <si>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</si>
  <si>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</si>
  <si>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</si>
  <si>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</si>
  <si>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</si>
  <si>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</si>
  <si>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</si>
  <si>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</si>
  <si>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</si>
  <si>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</si>
  <si>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</si>
  <si>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</si>
  <si>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</si>
  <si>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</si>
  <si>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</si>
  <si>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</si>
  <si>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</si>
  <si>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</si>
  <si>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</si>
  <si>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</si>
  <si>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</si>
  <si>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</si>
  <si>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</si>
  <si>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</si>
  <si>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</si>
  <si>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</si>
  <si>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</si>
  <si>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</si>
  <si>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</si>
  <si>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</si>
  <si>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</si>
  <si>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</si>
  <si>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</si>
  <si>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</si>
  <si>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</si>
  <si>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</si>
  <si>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</si>
  <si>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</si>
  <si>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</si>
  <si>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</si>
  <si>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</si>
  <si>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</si>
  <si>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</si>
  <si>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</si>
  <si>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</si>
  <si>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</si>
  <si>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</si>
  <si>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</si>
  <si>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</si>
  <si>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</si>
  <si>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</si>
  <si>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</si>
  <si>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</si>
  <si>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</si>
  <si>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</si>
  <si>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</si>
  <si>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</si>
  <si>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</si>
  <si>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</si>
  <si>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</si>
  <si>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</si>
  <si>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</si>
  <si>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</si>
  <si>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</si>
  <si>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</si>
  <si>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</si>
  <si>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</si>
  <si>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</si>
  <si>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</si>
  <si>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</si>
  <si>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</si>
  <si>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</si>
  <si>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</si>
  <si>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</si>
  <si>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</si>
  <si>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</si>
  <si>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</si>
  <si>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</si>
  <si>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</si>
  <si>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</si>
  <si>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</si>
  <si>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</si>
  <si>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</si>
  <si>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</si>
  <si>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</si>
  <si>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</si>
  <si>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</si>
  <si>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</si>
  <si>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</si>
  <si>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</si>
  <si>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</si>
  <si>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</si>
  <si>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</si>
  <si>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</si>
  <si>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</si>
  <si>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</si>
  <si>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</si>
  <si>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</si>
  <si>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</si>
  <si>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</si>
  <si>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</si>
  <si>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</si>
  <si>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</si>
  <si>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</si>
  <si>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</si>
  <si>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</si>
  <si>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</si>
  <si>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</si>
  <si>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</si>
  <si>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</si>
  <si>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</si>
  <si>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</si>
  <si>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</si>
  <si>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</si>
  <si>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</si>
  <si>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</si>
  <si>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</si>
  <si>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</si>
  <si>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</si>
  <si>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</si>
  <si>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</si>
  <si>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</si>
  <si>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</si>
  <si>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</si>
  <si>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</si>
  <si>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</si>
  <si>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</si>
  <si>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</si>
  <si>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</si>
  <si>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</si>
  <si>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</si>
  <si>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</si>
  <si>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</si>
  <si>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</si>
  <si>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</si>
  <si>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</si>
  <si>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</si>
  <si>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</si>
  <si>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</si>
  <si>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</si>
  <si>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</si>
  <si>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</si>
  <si>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</si>
  <si>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</si>
  <si>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</si>
  <si>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</si>
  <si>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</si>
  <si>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</si>
  <si>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</si>
  <si>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</si>
  <si>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</si>
  <si>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</si>
  <si>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</si>
  <si>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</si>
  <si>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</si>
  <si>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</si>
  <si>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</si>
  <si>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PEMASANGAN KONSTRUKSI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</si>
  <si>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</si>
  <si>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</si>
  <si>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</si>
  <si>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</si>
  <si>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</si>
  <si>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III</t>
  </si>
  <si>
    <t>Pemasangan Kabel</t>
  </si>
  <si>
    <t>Pipa Shock PVC</t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</si>
  <si>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</si>
  <si>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</si>
  <si>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</si>
  <si>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</si>
  <si>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</si>
  <si>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</si>
  <si>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</si>
  <si>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</si>
  <si>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</si>
  <si>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</si>
  <si>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</si>
  <si>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</si>
  <si>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</si>
  <si>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</si>
  <si>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</si>
  <si>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</si>
  <si>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</si>
  <si>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</si>
  <si>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</si>
  <si>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</si>
  <si>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RAB  (Rp) ESTETIKA</t>
  </si>
  <si>
    <t>Kabel Power Threecore</t>
  </si>
  <si>
    <t>SINGLE LINE DIAGRAM LOKASI PEKERJAAN PB PLN UP3 GROBOGAN</t>
  </si>
  <si>
    <t>SAR 2024</t>
  </si>
  <si>
    <t>PEMASANGAN KUBIKEL DAN APP</t>
  </si>
  <si>
    <t>Pemasangan Cubicle</t>
  </si>
  <si>
    <t>APP TM dan PS</t>
  </si>
  <si>
    <t>Pemasangan Disconecting Switch</t>
  </si>
  <si>
    <t>Pemasangan Arrester</t>
  </si>
  <si>
    <t>Pemasangan Grounding</t>
  </si>
  <si>
    <t>Stainless Steel Strap 20 X 0.7 mm</t>
  </si>
  <si>
    <t>APP TM 345KVA</t>
  </si>
  <si>
    <t>Kubikel</t>
  </si>
  <si>
    <t>I3</t>
  </si>
  <si>
    <t>-6.912981615902653, 110.61047280359308</t>
  </si>
  <si>
    <t>PEMASANGAN TIANG</t>
  </si>
  <si>
    <t>Trafo 1 Fasa CSP 50 KVA (G105, G106, G136)</t>
  </si>
  <si>
    <t xml:space="preserve">Jumper Wire : </t>
  </si>
  <si>
    <t>Penghantar JTM</t>
  </si>
  <si>
    <t>A3C 240mm</t>
  </si>
  <si>
    <t>A3C 150mm</t>
  </si>
  <si>
    <t>PEKERJAAN PB An. PT NESTA INDONESIA JAYA</t>
  </si>
  <si>
    <t>PETA LOKASI PEKERJAAN PB An. PT NESTA INDONESIA JAYA</t>
  </si>
  <si>
    <t>KATONSARI - DEMAK</t>
  </si>
  <si>
    <t>PB An. PT NESTA INDONESIA JAYA</t>
  </si>
  <si>
    <t>Terminating kabel 3 x 95 mm² ID</t>
  </si>
  <si>
    <t>Terminating kabel 3 x 95 mm² OD</t>
  </si>
  <si>
    <t xml:space="preserve">C14-350 dAN
</t>
  </si>
  <si>
    <t>CC8</t>
  </si>
  <si>
    <t>CC8-A</t>
  </si>
  <si>
    <t>CM2-11M</t>
  </si>
  <si>
    <t>Demak, 7 Februari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</si>
</sst>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indexed="64"/>
      </right>
      <top/>
      <bottom style="thin">
        <color rgb="FFFF0000"/>
      </bottom>
      <diagonal/>
    </border>
    <border>
      <left style="thin">
        <color auto="1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auto="1"/>
      </right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86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32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9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41" fontId="4" fillId="0" borderId="21" xfId="1653" applyNumberFormat="1" applyFont="1" applyBorder="1" applyAlignment="1">
      <alignment horizontal="center" vertical="center"/>
    </xf>
    <xf numFmtId="208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center" vertical="center"/>
    </xf>
    <xf numFmtId="0" fontId="165" fillId="0" borderId="105" xfId="2677" applyFont="1" applyBorder="1" applyAlignment="1">
      <alignment horizontal="left" vertical="center"/>
    </xf>
    <xf numFmtId="0" fontId="165" fillId="0" borderId="115" xfId="2677" applyFont="1" applyBorder="1" applyAlignment="1">
      <alignment horizontal="center" vertical="center"/>
    </xf>
    <xf numFmtId="0" fontId="165" fillId="0" borderId="116" xfId="2677" applyFont="1" applyBorder="1" applyAlignment="1">
      <alignment horizontal="center" vertical="center"/>
    </xf>
    <xf numFmtId="0" fontId="165" fillId="0" borderId="117" xfId="2677" applyFont="1" applyBorder="1" applyAlignment="1">
      <alignment horizontal="left" vertical="center"/>
    </xf>
    <xf numFmtId="0" fontId="165" fillId="0" borderId="118" xfId="2677" applyFont="1" applyBorder="1" applyAlignment="1">
      <alignment horizontal="left" vertical="center"/>
    </xf>
    <xf numFmtId="0" fontId="165" fillId="0" borderId="119" xfId="2677" applyFont="1" applyBorder="1" applyAlignment="1">
      <alignment horizontal="left" vertical="center"/>
    </xf>
    <xf numFmtId="0" fontId="165" fillId="0" borderId="112" xfId="2677" applyFont="1" applyBorder="1" applyAlignment="1">
      <alignment horizontal="left" vertical="center"/>
    </xf>
    <xf numFmtId="0" fontId="165" fillId="0" borderId="120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43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3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4" fillId="0" borderId="109" xfId="2677" applyFont="1" applyBorder="1" applyAlignment="1">
      <alignment horizontal="center" vertical="center"/>
    </xf>
    <xf numFmtId="0" fontId="164" fillId="0" borderId="110" xfId="2677" applyFont="1" applyBorder="1" applyAlignment="1">
      <alignment horizontal="center" vertical="center"/>
    </xf>
    <xf numFmtId="0" fontId="164" fillId="0" borderId="11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5" xfId="2677" applyFont="1" applyBorder="1" applyAlignment="1">
      <alignment horizontal="left" vertical="center"/>
    </xf>
    <xf numFmtId="0" fontId="165" fillId="0" borderId="120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65" fillId="0" borderId="101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63" Type="http://schemas.openxmlformats.org/officeDocument/2006/relationships/externalLink" Target="externalLinks/externalLink48.xml"/><Relationship Id="rId84" Type="http://schemas.openxmlformats.org/officeDocument/2006/relationships/externalLink" Target="externalLinks/externalLink69.xml"/><Relationship Id="rId138" Type="http://schemas.openxmlformats.org/officeDocument/2006/relationships/externalLink" Target="externalLinks/externalLink123.xml"/><Relationship Id="rId159" Type="http://schemas.openxmlformats.org/officeDocument/2006/relationships/externalLink" Target="externalLinks/externalLink144.xml"/><Relationship Id="rId170" Type="http://schemas.openxmlformats.org/officeDocument/2006/relationships/externalLink" Target="externalLinks/externalLink155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53" Type="http://schemas.openxmlformats.org/officeDocument/2006/relationships/externalLink" Target="externalLinks/externalLink38.xml"/><Relationship Id="rId74" Type="http://schemas.openxmlformats.org/officeDocument/2006/relationships/externalLink" Target="externalLinks/externalLink59.xml"/><Relationship Id="rId128" Type="http://schemas.openxmlformats.org/officeDocument/2006/relationships/externalLink" Target="externalLinks/externalLink113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43" Type="http://schemas.openxmlformats.org/officeDocument/2006/relationships/externalLink" Target="externalLinks/externalLink28.xml"/><Relationship Id="rId64" Type="http://schemas.openxmlformats.org/officeDocument/2006/relationships/externalLink" Target="externalLinks/externalLink49.xml"/><Relationship Id="rId118" Type="http://schemas.openxmlformats.org/officeDocument/2006/relationships/externalLink" Target="externalLinks/externalLink103.xml"/><Relationship Id="rId139" Type="http://schemas.openxmlformats.org/officeDocument/2006/relationships/externalLink" Target="externalLinks/externalLink124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71" Type="http://schemas.openxmlformats.org/officeDocument/2006/relationships/externalLink" Target="externalLinks/externalLink156.xml"/><Relationship Id="rId12" Type="http://schemas.openxmlformats.org/officeDocument/2006/relationships/worksheet" Target="worksheets/sheet12.xml"/><Relationship Id="rId33" Type="http://schemas.openxmlformats.org/officeDocument/2006/relationships/externalLink" Target="externalLinks/externalLink18.xml"/><Relationship Id="rId108" Type="http://schemas.openxmlformats.org/officeDocument/2006/relationships/externalLink" Target="externalLinks/externalLink93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5" Type="http://schemas.openxmlformats.org/officeDocument/2006/relationships/externalLink" Target="externalLinks/externalLink60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61" Type="http://schemas.openxmlformats.org/officeDocument/2006/relationships/externalLink" Target="externalLinks/externalLink146.xml"/><Relationship Id="rId182" Type="http://schemas.openxmlformats.org/officeDocument/2006/relationships/sharedStrings" Target="sharedStrings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172" Type="http://schemas.openxmlformats.org/officeDocument/2006/relationships/externalLink" Target="externalLinks/externalLink157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theme" Target="theme/theme1.xml"/><Relationship Id="rId26" Type="http://schemas.openxmlformats.org/officeDocument/2006/relationships/externalLink" Target="externalLinks/externalLink11.xml"/><Relationship Id="rId47" Type="http://schemas.openxmlformats.org/officeDocument/2006/relationships/externalLink" Target="externalLinks/externalLink32.xml"/><Relationship Id="rId68" Type="http://schemas.openxmlformats.org/officeDocument/2006/relationships/externalLink" Target="externalLinks/externalLink53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54" Type="http://schemas.openxmlformats.org/officeDocument/2006/relationships/externalLink" Target="externalLinks/externalLink139.xml"/><Relationship Id="rId175" Type="http://schemas.openxmlformats.org/officeDocument/2006/relationships/externalLink" Target="externalLinks/externalLink160.xml"/><Relationship Id="rId16" Type="http://schemas.openxmlformats.org/officeDocument/2006/relationships/externalLink" Target="externalLinks/externalLink1.xml"/><Relationship Id="rId37" Type="http://schemas.openxmlformats.org/officeDocument/2006/relationships/externalLink" Target="externalLinks/externalLink22.xml"/><Relationship Id="rId58" Type="http://schemas.openxmlformats.org/officeDocument/2006/relationships/externalLink" Target="externalLinks/externalLink43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44" Type="http://schemas.openxmlformats.org/officeDocument/2006/relationships/externalLink" Target="externalLinks/externalLink129.xml"/><Relationship Id="rId90" Type="http://schemas.openxmlformats.org/officeDocument/2006/relationships/externalLink" Target="externalLinks/externalLink75.xml"/><Relationship Id="rId165" Type="http://schemas.openxmlformats.org/officeDocument/2006/relationships/externalLink" Target="externalLinks/externalLink150.xml"/><Relationship Id="rId27" Type="http://schemas.openxmlformats.org/officeDocument/2006/relationships/externalLink" Target="externalLinks/externalLink12.xml"/><Relationship Id="rId48" Type="http://schemas.openxmlformats.org/officeDocument/2006/relationships/externalLink" Target="externalLinks/externalLink33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34" Type="http://schemas.openxmlformats.org/officeDocument/2006/relationships/externalLink" Target="externalLinks/externalLink119.xml"/><Relationship Id="rId80" Type="http://schemas.openxmlformats.org/officeDocument/2006/relationships/externalLink" Target="externalLinks/externalLink65.xml"/><Relationship Id="rId155" Type="http://schemas.openxmlformats.org/officeDocument/2006/relationships/externalLink" Target="externalLinks/externalLink140.xml"/><Relationship Id="rId176" Type="http://schemas.openxmlformats.org/officeDocument/2006/relationships/externalLink" Target="externalLinks/externalLink161.xml"/><Relationship Id="rId17" Type="http://schemas.openxmlformats.org/officeDocument/2006/relationships/externalLink" Target="externalLinks/externalLink2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24" Type="http://schemas.openxmlformats.org/officeDocument/2006/relationships/externalLink" Target="externalLinks/externalLink109.xml"/><Relationship Id="rId70" Type="http://schemas.openxmlformats.org/officeDocument/2006/relationships/externalLink" Target="externalLinks/externalLink55.xml"/><Relationship Id="rId91" Type="http://schemas.openxmlformats.org/officeDocument/2006/relationships/externalLink" Target="externalLinks/externalLink76.xml"/><Relationship Id="rId145" Type="http://schemas.openxmlformats.org/officeDocument/2006/relationships/externalLink" Target="externalLinks/externalLink130.xml"/><Relationship Id="rId166" Type="http://schemas.openxmlformats.org/officeDocument/2006/relationships/externalLink" Target="externalLinks/externalLink151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2.7749999999999999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5" Type="http://schemas.openxmlformats.org/officeDocument/2006/relationships/image" Target="../media/image20.jpeg"/><Relationship Id="rId4" Type="http://schemas.openxmlformats.org/officeDocument/2006/relationships/image" Target="../media/image19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51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51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232</xdr:row>
      <xdr:rowOff>81642</xdr:rowOff>
    </xdr:from>
    <xdr:to>
      <xdr:col>12</xdr:col>
      <xdr:colOff>41108</xdr:colOff>
      <xdr:row>235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7326</xdr:colOff>
      <xdr:row>7</xdr:row>
      <xdr:rowOff>0</xdr:rowOff>
    </xdr:from>
    <xdr:to>
      <xdr:col>20</xdr:col>
      <xdr:colOff>300403</xdr:colOff>
      <xdr:row>53</xdr:row>
      <xdr:rowOff>44219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405E20-A35A-DFCB-7176-7EBE33715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867860" y="1083879"/>
          <a:ext cx="6770077" cy="7132133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56795" y="809070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0106" y="811855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2187" y="2006224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57114" y="2006808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0014" y="2171158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0806" y="2171158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3529" y="1870220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0412" y="1870911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23812</xdr:colOff>
      <xdr:row>30</xdr:row>
      <xdr:rowOff>41672</xdr:rowOff>
    </xdr:from>
    <xdr:to>
      <xdr:col>21</xdr:col>
      <xdr:colOff>125016</xdr:colOff>
      <xdr:row>50</xdr:row>
      <xdr:rowOff>47625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30D49365-ABDB-4A4F-9956-02418A2FF0AA}"/>
            </a:ext>
          </a:extLst>
        </xdr:cNvPr>
        <xdr:cNvCxnSpPr/>
      </xdr:nvCxnSpPr>
      <xdr:spPr>
        <a:xfrm flipV="1">
          <a:off x="500062" y="4702969"/>
          <a:ext cx="7340204" cy="31849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143519</xdr:colOff>
      <xdr:row>21</xdr:row>
      <xdr:rowOff>118244</xdr:rowOff>
    </xdr:from>
    <xdr:to>
      <xdr:col>4</xdr:col>
      <xdr:colOff>256189</xdr:colOff>
      <xdr:row>22</xdr:row>
      <xdr:rowOff>106954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8FC5E180-A0A6-E89B-801D-791157A0DF73}"/>
            </a:ext>
          </a:extLst>
        </xdr:cNvPr>
        <xdr:cNvSpPr/>
      </xdr:nvSpPr>
      <xdr:spPr>
        <a:xfrm rot="5400000">
          <a:off x="1371490" y="3344031"/>
          <a:ext cx="139796" cy="112670"/>
        </a:xfrm>
        <a:prstGeom prst="rect">
          <a:avLst/>
        </a:prstGeom>
        <a:solidFill>
          <a:srgbClr val="C0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206444</xdr:colOff>
      <xdr:row>31</xdr:row>
      <xdr:rowOff>84402</xdr:rowOff>
    </xdr:from>
    <xdr:to>
      <xdr:col>19</xdr:col>
      <xdr:colOff>357206</xdr:colOff>
      <xdr:row>32</xdr:row>
      <xdr:rowOff>91440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2B2FD8-7364-4FA8-83C5-82AD645BDD0B}"/>
            </a:ext>
          </a:extLst>
        </xdr:cNvPr>
        <xdr:cNvGrpSpPr/>
      </xdr:nvGrpSpPr>
      <xdr:grpSpPr>
        <a:xfrm rot="2121658">
          <a:off x="7159694" y="4765259"/>
          <a:ext cx="150762" cy="1567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FAC12172-635D-EA4A-CF48-DFED17B88D7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EC8CA34-64C2-571A-8938-5996BD20B4B4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40110385-9EC9-3A56-94D4-12F2468003B3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174761</xdr:colOff>
      <xdr:row>38</xdr:row>
      <xdr:rowOff>72429</xdr:rowOff>
    </xdr:from>
    <xdr:to>
      <xdr:col>12</xdr:col>
      <xdr:colOff>325523</xdr:colOff>
      <xdr:row>39</xdr:row>
      <xdr:rowOff>66329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7FC3722B-CB05-44CF-A98B-46205C75AD47}"/>
            </a:ext>
          </a:extLst>
        </xdr:cNvPr>
        <xdr:cNvGrpSpPr/>
      </xdr:nvGrpSpPr>
      <xdr:grpSpPr>
        <a:xfrm rot="2121658">
          <a:off x="4461011" y="5882679"/>
          <a:ext cx="150762" cy="157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0358E14-5D67-50E9-D220-CA853E94C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C6DB6B93-0145-B30B-3DEF-0DFEDA75FFA7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25039C11-15FB-1C16-9D9C-B41721963D58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220267</xdr:colOff>
      <xdr:row>34</xdr:row>
      <xdr:rowOff>130774</xdr:rowOff>
    </xdr:from>
    <xdr:to>
      <xdr:col>9</xdr:col>
      <xdr:colOff>371029</xdr:colOff>
      <xdr:row>35</xdr:row>
      <xdr:rowOff>104966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984EF865-3DBB-4926-9BBA-72DD978B9AFC}"/>
            </a:ext>
          </a:extLst>
        </xdr:cNvPr>
        <xdr:cNvGrpSpPr/>
      </xdr:nvGrpSpPr>
      <xdr:grpSpPr>
        <a:xfrm rot="2121658">
          <a:off x="3363517" y="5315095"/>
          <a:ext cx="150762" cy="15108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7A697B09-DFBD-84F2-B0A7-E55287F594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A48C27BA-D9C5-A249-76AE-41DFE61A398B}"/>
              </a:ext>
            </a:extLst>
          </xdr:cNvPr>
          <xdr:cNvCxnSpPr>
            <a:stCxn id="87" idx="1"/>
            <a:endCxn id="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A873E813-BD82-ED76-21AE-F8EBE02FA283}"/>
              </a:ext>
            </a:extLst>
          </xdr:cNvPr>
          <xdr:cNvCxnSpPr>
            <a:stCxn id="87" idx="3"/>
            <a:endCxn id="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354725</xdr:colOff>
      <xdr:row>23</xdr:row>
      <xdr:rowOff>124811</xdr:rowOff>
    </xdr:from>
    <xdr:to>
      <xdr:col>8</xdr:col>
      <xdr:colOff>27035</xdr:colOff>
      <xdr:row>32</xdr:row>
      <xdr:rowOff>137950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18AA9BBD-BD97-4A70-9531-1E67B62FCB96}"/>
            </a:ext>
          </a:extLst>
        </xdr:cNvPr>
        <xdr:cNvSpPr txBox="1"/>
      </xdr:nvSpPr>
      <xdr:spPr>
        <a:xfrm>
          <a:off x="1215259" y="3639208"/>
          <a:ext cx="1577310" cy="137291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SYG10-167/3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Trafo 1 Fasa CSP 50 KVA (G136)</a:t>
          </a:r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4</xdr:col>
      <xdr:colOff>275897</xdr:colOff>
      <xdr:row>22</xdr:row>
      <xdr:rowOff>57386</xdr:rowOff>
    </xdr:from>
    <xdr:to>
      <xdr:col>5</xdr:col>
      <xdr:colOff>5682</xdr:colOff>
      <xdr:row>23</xdr:row>
      <xdr:rowOff>32844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7D72565B-1382-4777-AF0A-CC465254508F}"/>
            </a:ext>
          </a:extLst>
        </xdr:cNvPr>
        <xdr:cNvCxnSpPr>
          <a:stCxn id="7" idx="4"/>
        </xdr:cNvCxnSpPr>
      </xdr:nvCxnSpPr>
      <xdr:spPr>
        <a:xfrm flipH="1">
          <a:off x="1517431" y="3420696"/>
          <a:ext cx="110785" cy="126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346246</xdr:colOff>
      <xdr:row>20</xdr:row>
      <xdr:rowOff>111922</xdr:rowOff>
    </xdr:from>
    <xdr:ext cx="445058" cy="186269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8655BECA-2FBE-79F5-CA11-43B4ADE11E1B}"/>
            </a:ext>
          </a:extLst>
        </xdr:cNvPr>
        <xdr:cNvSpPr txBox="1"/>
      </xdr:nvSpPr>
      <xdr:spPr>
        <a:xfrm>
          <a:off x="1206780" y="3173060"/>
          <a:ext cx="445058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600">
              <a:solidFill>
                <a:srgbClr val="FF0000"/>
              </a:solidFill>
            </a:rPr>
            <a:t>KUBIKEL</a:t>
          </a:r>
        </a:p>
      </xdr:txBody>
    </xdr:sp>
    <xdr:clientData/>
  </xdr:oneCellAnchor>
  <xdr:twoCellAnchor>
    <xdr:from>
      <xdr:col>1</xdr:col>
      <xdr:colOff>159158</xdr:colOff>
      <xdr:row>20</xdr:row>
      <xdr:rowOff>13149</xdr:rowOff>
    </xdr:from>
    <xdr:to>
      <xdr:col>3</xdr:col>
      <xdr:colOff>293077</xdr:colOff>
      <xdr:row>24</xdr:row>
      <xdr:rowOff>138201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B3B45AF-284E-443E-9EF4-2AB16A96DEC4}"/>
            </a:ext>
          </a:extLst>
        </xdr:cNvPr>
        <xdr:cNvSpPr txBox="1"/>
      </xdr:nvSpPr>
      <xdr:spPr>
        <a:xfrm>
          <a:off x="254408" y="3112437"/>
          <a:ext cx="895919" cy="740514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KUBIKEL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APP TM dan PS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KUBIKEL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GROUNDING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9</xdr:col>
      <xdr:colOff>248617</xdr:colOff>
      <xdr:row>18</xdr:row>
      <xdr:rowOff>73725</xdr:rowOff>
    </xdr:from>
    <xdr:to>
      <xdr:col>10</xdr:col>
      <xdr:colOff>18379</xdr:colOff>
      <xdr:row>19</xdr:row>
      <xdr:rowOff>80763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119329A2-5BEF-4A5F-8FA3-74D00AF05C4D}"/>
            </a:ext>
          </a:extLst>
        </xdr:cNvPr>
        <xdr:cNvGrpSpPr/>
      </xdr:nvGrpSpPr>
      <xdr:grpSpPr>
        <a:xfrm rot="2121658">
          <a:off x="3391867" y="2808761"/>
          <a:ext cx="150762" cy="1567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" name="Oval 77">
            <a:extLst>
              <a:ext uri="{FF2B5EF4-FFF2-40B4-BE49-F238E27FC236}">
                <a16:creationId xmlns:a16="http://schemas.microsoft.com/office/drawing/2014/main" id="{58696CBC-F744-CA26-39F8-68555C98B94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A9B7E3F-4EA9-7F55-4B5D-C7715DACE09C}"/>
              </a:ext>
            </a:extLst>
          </xdr:cNvPr>
          <xdr:cNvCxnSpPr>
            <a:stCxn id="78" idx="1"/>
            <a:endCxn id="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1A982E8E-9516-B890-D010-46A821DB9AC6}"/>
              </a:ext>
            </a:extLst>
          </xdr:cNvPr>
          <xdr:cNvCxnSpPr>
            <a:stCxn id="78" idx="3"/>
            <a:endCxn id="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373143</xdr:colOff>
      <xdr:row>47</xdr:row>
      <xdr:rowOff>106586</xdr:rowOff>
    </xdr:from>
    <xdr:to>
      <xdr:col>4</xdr:col>
      <xdr:colOff>142905</xdr:colOff>
      <xdr:row>48</xdr:row>
      <xdr:rowOff>100486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E11085AF-FA2A-4E97-A18B-86B677CD3793}"/>
            </a:ext>
          </a:extLst>
        </xdr:cNvPr>
        <xdr:cNvGrpSpPr/>
      </xdr:nvGrpSpPr>
      <xdr:grpSpPr>
        <a:xfrm rot="2121658">
          <a:off x="1230393" y="7277550"/>
          <a:ext cx="150762" cy="15718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6266FE66-7209-A4A8-A605-CF4F4D468F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67C16A80-0ADE-EF8A-30AF-08CC1B26D397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CAAD752E-9B2E-5D4E-E0DC-530F87C00FA1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278243</xdr:colOff>
      <xdr:row>19</xdr:row>
      <xdr:rowOff>66178</xdr:rowOff>
    </xdr:from>
    <xdr:to>
      <xdr:col>9</xdr:col>
      <xdr:colOff>284533</xdr:colOff>
      <xdr:row>34</xdr:row>
      <xdr:rowOff>133397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6A7DA4B5-1217-45CD-9645-2D5CED9D40EF}"/>
            </a:ext>
          </a:extLst>
        </xdr:cNvPr>
        <xdr:cNvCxnSpPr>
          <a:stCxn id="78" idx="4"/>
          <a:endCxn id="87" idx="1"/>
        </xdr:cNvCxnSpPr>
      </xdr:nvCxnSpPr>
      <xdr:spPr>
        <a:xfrm>
          <a:off x="3424777" y="2976230"/>
          <a:ext cx="6290" cy="23992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143673</xdr:colOff>
      <xdr:row>18</xdr:row>
      <xdr:rowOff>129181</xdr:rowOff>
    </xdr:from>
    <xdr:ext cx="550664" cy="233205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43317022-030F-4442-9A11-CCAE2D102729}"/>
            </a:ext>
          </a:extLst>
        </xdr:cNvPr>
        <xdr:cNvSpPr txBox="1"/>
      </xdr:nvSpPr>
      <xdr:spPr>
        <a:xfrm rot="20570843">
          <a:off x="2147207" y="2888147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6</xdr:col>
      <xdr:colOff>198158</xdr:colOff>
      <xdr:row>35</xdr:row>
      <xdr:rowOff>57298</xdr:rowOff>
    </xdr:from>
    <xdr:to>
      <xdr:col>8</xdr:col>
      <xdr:colOff>374431</xdr:colOff>
      <xdr:row>42</xdr:row>
      <xdr:rowOff>98534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54A2D810-4478-416E-82A9-C06BA7CB7046}"/>
            </a:ext>
          </a:extLst>
        </xdr:cNvPr>
        <xdr:cNvSpPr txBox="1"/>
      </xdr:nvSpPr>
      <xdr:spPr>
        <a:xfrm>
          <a:off x="2201692" y="5483264"/>
          <a:ext cx="938273" cy="11119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SYG10-167/1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CC8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250710</xdr:colOff>
      <xdr:row>40</xdr:row>
      <xdr:rowOff>83574</xdr:rowOff>
    </xdr:from>
    <xdr:to>
      <xdr:col>15</xdr:col>
      <xdr:colOff>53865</xdr:colOff>
      <xdr:row>49</xdr:row>
      <xdr:rowOff>91965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A2B0176-E909-40DC-A9E3-8CE47B58533C}"/>
            </a:ext>
          </a:extLst>
        </xdr:cNvPr>
        <xdr:cNvSpPr txBox="1"/>
      </xdr:nvSpPr>
      <xdr:spPr>
        <a:xfrm>
          <a:off x="4159244" y="6278108"/>
          <a:ext cx="1327155" cy="13813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DC SYG08-222 - SYG10-167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1 DC-C1-1H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CM5-5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</xdr:txBody>
    </xdr:sp>
    <xdr:clientData/>
  </xdr:twoCellAnchor>
  <xdr:oneCellAnchor>
    <xdr:from>
      <xdr:col>9</xdr:col>
      <xdr:colOff>244596</xdr:colOff>
      <xdr:row>25</xdr:row>
      <xdr:rowOff>37457</xdr:rowOff>
    </xdr:from>
    <xdr:ext cx="233205" cy="550664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23F51D8-4B78-4F7F-B715-2EA6DBA99DF8}"/>
            </a:ext>
          </a:extLst>
        </xdr:cNvPr>
        <xdr:cNvSpPr txBox="1"/>
      </xdr:nvSpPr>
      <xdr:spPr>
        <a:xfrm rot="16200000">
          <a:off x="3232401" y="4012755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40 MTR</a:t>
          </a:r>
        </a:p>
      </xdr:txBody>
    </xdr:sp>
    <xdr:clientData/>
  </xdr:oneCellAnchor>
  <xdr:twoCellAnchor>
    <xdr:from>
      <xdr:col>4</xdr:col>
      <xdr:colOff>357056</xdr:colOff>
      <xdr:row>21</xdr:row>
      <xdr:rowOff>64933</xdr:rowOff>
    </xdr:from>
    <xdr:to>
      <xdr:col>5</xdr:col>
      <xdr:colOff>126818</xdr:colOff>
      <xdr:row>22</xdr:row>
      <xdr:rowOff>71971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A8D8DEA-44C4-491D-BE25-A95CC65033D8}"/>
            </a:ext>
          </a:extLst>
        </xdr:cNvPr>
        <xdr:cNvGrpSpPr/>
      </xdr:nvGrpSpPr>
      <xdr:grpSpPr>
        <a:xfrm rot="2121658">
          <a:off x="1595306" y="3249004"/>
          <a:ext cx="150762" cy="1567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85688BBC-91A7-4ED3-BF86-A7CA65350D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BB6C99C-C4C3-4BB9-0727-6EAA928FA2B8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C0518DFF-1CC4-3413-619E-F5E8AD397D11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127828</xdr:colOff>
      <xdr:row>18</xdr:row>
      <xdr:rowOff>110552</xdr:rowOff>
    </xdr:from>
    <xdr:to>
      <xdr:col>9</xdr:col>
      <xdr:colOff>262523</xdr:colOff>
      <xdr:row>21</xdr:row>
      <xdr:rowOff>129839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6EEFD026-1D61-4F9C-9DA9-0FB4DCEC38D1}"/>
            </a:ext>
          </a:extLst>
        </xdr:cNvPr>
        <xdr:cNvCxnSpPr>
          <a:stCxn id="78" idx="2"/>
          <a:endCxn id="7" idx="7"/>
        </xdr:cNvCxnSpPr>
      </xdr:nvCxnSpPr>
      <xdr:spPr>
        <a:xfrm flipH="1">
          <a:off x="1747078" y="2902110"/>
          <a:ext cx="1658695" cy="4808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306763</xdr:colOff>
      <xdr:row>35</xdr:row>
      <xdr:rowOff>102343</xdr:rowOff>
    </xdr:from>
    <xdr:to>
      <xdr:col>12</xdr:col>
      <xdr:colOff>188667</xdr:colOff>
      <xdr:row>38</xdr:row>
      <xdr:rowOff>107866</xdr:rowOff>
    </xdr:to>
    <xdr:cxnSp macro="">
      <xdr:nvCxnSpPr>
        <xdr:cNvPr id="94" name="Straight Connector 93">
          <a:extLst>
            <a:ext uri="{FF2B5EF4-FFF2-40B4-BE49-F238E27FC236}">
              <a16:creationId xmlns:a16="http://schemas.microsoft.com/office/drawing/2014/main" id="{B5AC554E-0E4B-42CE-92DF-5CAA3BF973D4}"/>
            </a:ext>
          </a:extLst>
        </xdr:cNvPr>
        <xdr:cNvCxnSpPr>
          <a:stCxn id="83" idx="2"/>
          <a:endCxn id="87" idx="5"/>
        </xdr:cNvCxnSpPr>
      </xdr:nvCxnSpPr>
      <xdr:spPr>
        <a:xfrm flipH="1" flipV="1">
          <a:off x="3453297" y="5528309"/>
          <a:ext cx="1024904" cy="45878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256190</xdr:colOff>
      <xdr:row>35</xdr:row>
      <xdr:rowOff>102343</xdr:rowOff>
    </xdr:from>
    <xdr:to>
      <xdr:col>9</xdr:col>
      <xdr:colOff>306763</xdr:colOff>
      <xdr:row>37</xdr:row>
      <xdr:rowOff>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1571B67D-F0D7-4E54-9177-8E16A62B6FC5}"/>
            </a:ext>
          </a:extLst>
        </xdr:cNvPr>
        <xdr:cNvCxnSpPr>
          <a:stCxn id="87" idx="5"/>
        </xdr:cNvCxnSpPr>
      </xdr:nvCxnSpPr>
      <xdr:spPr>
        <a:xfrm flipH="1">
          <a:off x="3402724" y="5528309"/>
          <a:ext cx="50573" cy="1998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369753</xdr:colOff>
      <xdr:row>17</xdr:row>
      <xdr:rowOff>137949</xdr:rowOff>
    </xdr:from>
    <xdr:to>
      <xdr:col>10</xdr:col>
      <xdr:colOff>65690</xdr:colOff>
      <xdr:row>18</xdr:row>
      <xdr:rowOff>88310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349CB2CE-5938-4787-8D7B-6744341F9B1D}"/>
            </a:ext>
          </a:extLst>
        </xdr:cNvPr>
        <xdr:cNvCxnSpPr>
          <a:stCxn id="78" idx="0"/>
        </xdr:cNvCxnSpPr>
      </xdr:nvCxnSpPr>
      <xdr:spPr>
        <a:xfrm flipV="1">
          <a:off x="3516287" y="2745828"/>
          <a:ext cx="76937" cy="1014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311617</xdr:colOff>
      <xdr:row>39</xdr:row>
      <xdr:rowOff>30892</xdr:rowOff>
    </xdr:from>
    <xdr:to>
      <xdr:col>13</xdr:col>
      <xdr:colOff>52552</xdr:colOff>
      <xdr:row>39</xdr:row>
      <xdr:rowOff>98535</xdr:rowOff>
    </xdr:to>
    <xdr:cxnSp macro="">
      <xdr:nvCxnSpPr>
        <xdr:cNvPr id="128" name="Straight Arrow Connector 127">
          <a:extLst>
            <a:ext uri="{FF2B5EF4-FFF2-40B4-BE49-F238E27FC236}">
              <a16:creationId xmlns:a16="http://schemas.microsoft.com/office/drawing/2014/main" id="{3C736AF8-D361-4305-8EC0-F3DAD6111CC5}"/>
            </a:ext>
          </a:extLst>
        </xdr:cNvPr>
        <xdr:cNvCxnSpPr>
          <a:stCxn id="83" idx="6"/>
        </xdr:cNvCxnSpPr>
      </xdr:nvCxnSpPr>
      <xdr:spPr>
        <a:xfrm>
          <a:off x="4601151" y="6074340"/>
          <a:ext cx="121935" cy="6764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173196</xdr:colOff>
      <xdr:row>14</xdr:row>
      <xdr:rowOff>137440</xdr:rowOff>
    </xdr:from>
    <xdr:to>
      <xdr:col>12</xdr:col>
      <xdr:colOff>349469</xdr:colOff>
      <xdr:row>22</xdr:row>
      <xdr:rowOff>40728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DE0A5C78-64FA-4CB6-9D15-62CB78CD90B2}"/>
            </a:ext>
          </a:extLst>
        </xdr:cNvPr>
        <xdr:cNvSpPr txBox="1"/>
      </xdr:nvSpPr>
      <xdr:spPr>
        <a:xfrm>
          <a:off x="3700730" y="2292061"/>
          <a:ext cx="938273" cy="111197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SYG10-167/2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CC8-A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</xdr:txBody>
    </xdr:sp>
    <xdr:clientData/>
  </xdr:twoCellAnchor>
  <xdr:oneCellAnchor>
    <xdr:from>
      <xdr:col>10</xdr:col>
      <xdr:colOff>211993</xdr:colOff>
      <xdr:row>35</xdr:row>
      <xdr:rowOff>138378</xdr:rowOff>
    </xdr:from>
    <xdr:ext cx="550664" cy="233205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CB510A56-8DA5-4455-B84C-69C9FF94984E}"/>
            </a:ext>
          </a:extLst>
        </xdr:cNvPr>
        <xdr:cNvSpPr txBox="1"/>
      </xdr:nvSpPr>
      <xdr:spPr>
        <a:xfrm rot="1520359">
          <a:off x="3739527" y="5564344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20 MTR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136072</xdr:colOff>
      <xdr:row>5</xdr:row>
      <xdr:rowOff>122465</xdr:rowOff>
    </xdr:from>
    <xdr:to>
      <xdr:col>11</xdr:col>
      <xdr:colOff>238863</xdr:colOff>
      <xdr:row>51</xdr:row>
      <xdr:rowOff>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2DB87-32EB-A2AF-0EE0-2AF5CEAC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786" y="898072"/>
          <a:ext cx="5287113" cy="7421011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5</xdr:col>
      <xdr:colOff>462643</xdr:colOff>
      <xdr:row>30</xdr:row>
      <xdr:rowOff>40821</xdr:rowOff>
    </xdr:from>
    <xdr:to>
      <xdr:col>5</xdr:col>
      <xdr:colOff>503464</xdr:colOff>
      <xdr:row>40</xdr:row>
      <xdr:rowOff>68036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52962286-B800-223C-72F8-C7224BCE3A82}"/>
            </a:ext>
          </a:extLst>
        </xdr:cNvPr>
        <xdr:cNvCxnSpPr/>
      </xdr:nvCxnSpPr>
      <xdr:spPr>
        <a:xfrm flipH="1">
          <a:off x="2190750" y="4898571"/>
          <a:ext cx="40821" cy="166007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176893</xdr:colOff>
      <xdr:row>6</xdr:row>
      <xdr:rowOff>126546</xdr:rowOff>
    </xdr:from>
    <xdr:to>
      <xdr:col>5</xdr:col>
      <xdr:colOff>62593</xdr:colOff>
      <xdr:row>32</xdr:row>
      <xdr:rowOff>95250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75B83AB7-D3E1-4678-A560-A8B26B91744C}"/>
            </a:ext>
          </a:extLst>
        </xdr:cNvPr>
        <xdr:cNvCxnSpPr/>
      </xdr:nvCxnSpPr>
      <xdr:spPr>
        <a:xfrm flipH="1">
          <a:off x="1292679" y="1065439"/>
          <a:ext cx="498021" cy="421413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35378</xdr:colOff>
      <xdr:row>6</xdr:row>
      <xdr:rowOff>136071</xdr:rowOff>
    </xdr:from>
    <xdr:to>
      <xdr:col>8</xdr:col>
      <xdr:colOff>285750</xdr:colOff>
      <xdr:row>6</xdr:row>
      <xdr:rowOff>140153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B737B657-467B-4A11-AC91-CC95E9B38842}"/>
            </a:ext>
          </a:extLst>
        </xdr:cNvPr>
        <xdr:cNvCxnSpPr/>
      </xdr:nvCxnSpPr>
      <xdr:spPr>
        <a:xfrm flipV="1">
          <a:off x="1763485" y="1074964"/>
          <a:ext cx="2087336" cy="4082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163285</xdr:colOff>
      <xdr:row>30</xdr:row>
      <xdr:rowOff>68036</xdr:rowOff>
    </xdr:from>
    <xdr:to>
      <xdr:col>5</xdr:col>
      <xdr:colOff>517072</xdr:colOff>
      <xdr:row>32</xdr:row>
      <xdr:rowOff>68036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A866A6EA-9B1F-4737-82B5-E8560C84BF54}"/>
            </a:ext>
          </a:extLst>
        </xdr:cNvPr>
        <xdr:cNvCxnSpPr/>
      </xdr:nvCxnSpPr>
      <xdr:spPr>
        <a:xfrm flipV="1">
          <a:off x="1279071" y="4925786"/>
          <a:ext cx="966108" cy="326571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108858</xdr:colOff>
      <xdr:row>6</xdr:row>
      <xdr:rowOff>149678</xdr:rowOff>
    </xdr:from>
    <xdr:to>
      <xdr:col>8</xdr:col>
      <xdr:colOff>285750</xdr:colOff>
      <xdr:row>35</xdr:row>
      <xdr:rowOff>149678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1C5218F-0334-4AE9-A697-5CF65CE69C77}"/>
            </a:ext>
          </a:extLst>
        </xdr:cNvPr>
        <xdr:cNvCxnSpPr/>
      </xdr:nvCxnSpPr>
      <xdr:spPr>
        <a:xfrm flipH="1">
          <a:off x="3673929" y="1088571"/>
          <a:ext cx="176892" cy="4735286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462643</xdr:colOff>
      <xdr:row>36</xdr:row>
      <xdr:rowOff>0</xdr:rowOff>
    </xdr:from>
    <xdr:to>
      <xdr:col>8</xdr:col>
      <xdr:colOff>136072</xdr:colOff>
      <xdr:row>40</xdr:row>
      <xdr:rowOff>68036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2772A4A-30F7-416A-B718-01C6079DA953}"/>
            </a:ext>
          </a:extLst>
        </xdr:cNvPr>
        <xdr:cNvCxnSpPr/>
      </xdr:nvCxnSpPr>
      <xdr:spPr>
        <a:xfrm flipV="1">
          <a:off x="2190750" y="5837464"/>
          <a:ext cx="1510393" cy="721179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95251</xdr:colOff>
      <xdr:row>5</xdr:row>
      <xdr:rowOff>136071</xdr:rowOff>
    </xdr:from>
    <xdr:to>
      <xdr:col>30</xdr:col>
      <xdr:colOff>163286</xdr:colOff>
      <xdr:row>29</xdr:row>
      <xdr:rowOff>54428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6CCEB8-ACD1-8797-A0E4-C50337AB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180" y="911678"/>
          <a:ext cx="5116285" cy="3837214"/>
        </a:xfrm>
        <a:prstGeom prst="rect">
          <a:avLst/>
        </a:prstGeom>
      </xdr:spPr>
    </xdr:pic>
    <xdr:clientData/>
  </xdr:twoCellAnchor>
  <xdr:twoCellAnchor editAs="oneCell">
    <xdr:from>
      <xdr:col>11</xdr:col>
      <xdr:colOff>381643</xdr:colOff>
      <xdr:row>5</xdr:row>
      <xdr:rowOff>150322</xdr:rowOff>
    </xdr:from>
    <xdr:to>
      <xdr:col>19</xdr:col>
      <xdr:colOff>562214</xdr:colOff>
      <xdr:row>29</xdr:row>
      <xdr:rowOff>40821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DC23A8-D12E-FB74-EAFC-A2645BC59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679" y="925929"/>
          <a:ext cx="5079142" cy="3809356"/>
        </a:xfrm>
        <a:prstGeom prst="rect">
          <a:avLst/>
        </a:prstGeom>
      </xdr:spPr>
    </xdr:pic>
    <xdr:clientData/>
  </xdr:twoCellAnchor>
  <xdr:twoCellAnchor editAs="oneCell">
    <xdr:from>
      <xdr:col>20</xdr:col>
      <xdr:colOff>95249</xdr:colOff>
      <xdr:row>29</xdr:row>
      <xdr:rowOff>161472</xdr:rowOff>
    </xdr:from>
    <xdr:to>
      <xdr:col>27</xdr:col>
      <xdr:colOff>151039</xdr:colOff>
      <xdr:row>65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DFB933-4209-CB1F-5142-9C0276847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178" y="4855936"/>
          <a:ext cx="4287611" cy="5716814"/>
        </a:xfrm>
        <a:prstGeom prst="rect">
          <a:avLst/>
        </a:prstGeom>
      </xdr:spPr>
    </xdr:pic>
    <xdr:clientData/>
  </xdr:twoCellAnchor>
  <xdr:twoCellAnchor editAs="oneCell">
    <xdr:from>
      <xdr:col>11</xdr:col>
      <xdr:colOff>394928</xdr:colOff>
      <xdr:row>29</xdr:row>
      <xdr:rowOff>136394</xdr:rowOff>
    </xdr:from>
    <xdr:to>
      <xdr:col>19</xdr:col>
      <xdr:colOff>557785</xdr:colOff>
      <xdr:row>53</xdr:row>
      <xdr:rowOff>13608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CFE85-BAED-174D-7F56-AAA12AA35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964" y="4830858"/>
          <a:ext cx="5061428" cy="379607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pat\Rapat%20Solo%2008042008\Kondisi%20JTM\PMT%20TRIP%2008\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DExp.Lmb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ACUAN"/>
      <sheetName val="SAA"/>
      <sheetName val="A1 pri123"/>
      <sheetName val="JASA"/>
      <sheetName val="Submission Form"/>
      <sheetName val="W-NAD"/>
      <sheetName val="gvl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C233" sqref="C23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27" t="s">
        <v>33</v>
      </c>
      <c r="C2" s="52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28" t="s">
        <v>13</v>
      </c>
      <c r="C4" s="529" t="s">
        <v>986</v>
      </c>
      <c r="D4" s="529" t="s">
        <v>34</v>
      </c>
      <c r="E4" s="528" t="s">
        <v>35</v>
      </c>
      <c r="F4" s="108" t="s">
        <v>1573</v>
      </c>
      <c r="G4" s="108" t="s">
        <v>1572</v>
      </c>
      <c r="H4" s="526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28"/>
      <c r="C5" s="529"/>
      <c r="D5" s="529"/>
      <c r="E5" s="528"/>
      <c r="F5" s="93"/>
      <c r="G5" s="93"/>
      <c r="H5" s="526"/>
      <c r="I5" s="182" t="s">
        <v>1572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1516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1517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1518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1519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1520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1521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1522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1523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1353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1354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1355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1356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1357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1358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1359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1360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1361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1362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1363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1364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1365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1366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1367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1368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1369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1370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1371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1524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1525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1372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1373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1526</v>
      </c>
      <c r="D188" s="202" t="s">
        <v>36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399" t="s">
        <v>1576</v>
      </c>
      <c r="D189" s="202" t="s">
        <v>36</v>
      </c>
      <c r="E189" s="203" t="s">
        <v>14</v>
      </c>
      <c r="F189" s="397">
        <v>8595700</v>
      </c>
      <c r="G189" s="397">
        <v>8703800</v>
      </c>
      <c r="H189" s="174"/>
      <c r="I189" s="88">
        <f>IF($I$5=$G$4,G189,(IF($I$5=$F$4,F189,0)))</f>
        <v>8703800</v>
      </c>
      <c r="J189" s="163">
        <f>IF(D189="MDU-KD",1,0)</f>
        <v>1</v>
      </c>
      <c r="K189" s="155">
        <f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>IF(L189=0,M189,L189)</f>
        <v>108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1527</v>
      </c>
      <c r="D190" s="202" t="s">
        <v>36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1528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8" t="s">
        <v>30</v>
      </c>
      <c r="D216" s="202" t="s">
        <v>36</v>
      </c>
      <c r="E216" s="203" t="s">
        <v>8</v>
      </c>
      <c r="F216" s="397">
        <v>217470</v>
      </c>
      <c r="G216" s="397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>IF(L216=0,M216,L216)</f>
        <v>113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6" t="s">
        <v>27</v>
      </c>
      <c r="D218" s="202" t="s">
        <v>36</v>
      </c>
      <c r="E218" s="203" t="s">
        <v>8</v>
      </c>
      <c r="F218" s="397">
        <v>212320</v>
      </c>
      <c r="G218" s="397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>IF(L218=0,M218,L218)</f>
        <v>115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1529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1530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6" t="s">
        <v>1575</v>
      </c>
      <c r="D221" s="202" t="s">
        <v>36</v>
      </c>
      <c r="E221" s="203" t="s">
        <v>14</v>
      </c>
      <c r="F221" s="397">
        <v>394550</v>
      </c>
      <c r="G221" s="397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>IF(L221=0,M221,L221)</f>
        <v>118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5" t="s">
        <v>65</v>
      </c>
      <c r="D232" s="202" t="s">
        <v>36</v>
      </c>
      <c r="E232" s="203" t="s">
        <v>7</v>
      </c>
      <c r="F232" s="397">
        <v>47850</v>
      </c>
      <c r="G232" s="397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1374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>IF(L233=0,M233,L233)</f>
        <v>126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1375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1428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19"/>
        <v>128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19"/>
        <v>129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19"/>
        <v>130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19"/>
        <v>131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19"/>
        <v>132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1429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19"/>
        <v>134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19"/>
        <v>135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19"/>
        <v>136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19"/>
        <v>137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19"/>
        <v>138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19"/>
        <v>139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19"/>
        <v>140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25"/>
        <v>141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25"/>
        <v>142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1531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1532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1533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6" t="s">
        <v>574</v>
      </c>
      <c r="D283" s="202" t="s">
        <v>37</v>
      </c>
      <c r="E283" s="203" t="s">
        <v>8</v>
      </c>
      <c r="F283" s="397">
        <v>44000</v>
      </c>
      <c r="G283" s="397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1534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1535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1536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1537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1538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1539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1540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1541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1542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1543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6" t="s">
        <v>1578</v>
      </c>
      <c r="D294" s="202" t="s">
        <v>37</v>
      </c>
      <c r="E294" s="203" t="s">
        <v>8</v>
      </c>
      <c r="F294" s="397">
        <v>69100</v>
      </c>
      <c r="G294" s="397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1544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1545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1546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1547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1548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1549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1550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1551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1552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1553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1554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6" t="s">
        <v>1577</v>
      </c>
      <c r="D306" s="202" t="s">
        <v>37</v>
      </c>
      <c r="E306" s="203" t="s">
        <v>8</v>
      </c>
      <c r="F306" s="397">
        <v>23500</v>
      </c>
      <c r="G306" s="397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1555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1556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1557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1558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1559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1560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1561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1562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1563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1564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1565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1566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1567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1430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1431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1432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1433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1434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1435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1376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6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1436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2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2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1437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1438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1439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1440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1441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1442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1443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1444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1445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1446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1447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1448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1449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1450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1451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1452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1453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6" t="s">
        <v>1584</v>
      </c>
      <c r="D582" s="202" t="s">
        <v>37</v>
      </c>
      <c r="E582" s="203" t="s">
        <v>14</v>
      </c>
      <c r="F582" s="397">
        <v>5529300</v>
      </c>
      <c r="G582" s="397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1454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1455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1456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1457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1458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1459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1460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1461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1462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1463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1464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1465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1466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1467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1468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1469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1470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1471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1472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1473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1474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1475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1476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1477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1478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1479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1480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1481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1482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1483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1484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1485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1487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1486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1568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1569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1570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1488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1489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6" t="s">
        <v>1580</v>
      </c>
      <c r="D1045" s="202" t="s">
        <v>39</v>
      </c>
      <c r="E1045" s="203" t="s">
        <v>11</v>
      </c>
      <c r="F1045" s="176"/>
      <c r="G1045" s="397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6" t="s">
        <v>1581</v>
      </c>
      <c r="D1046" s="202" t="s">
        <v>39</v>
      </c>
      <c r="E1046" s="203" t="s">
        <v>11</v>
      </c>
      <c r="F1046" s="176"/>
      <c r="G1046" s="397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6" t="s">
        <v>1582</v>
      </c>
      <c r="D1047" s="202" t="s">
        <v>39</v>
      </c>
      <c r="E1047" s="203" t="s">
        <v>11</v>
      </c>
      <c r="F1047" s="176"/>
      <c r="G1047" s="397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6" t="s">
        <v>1583</v>
      </c>
      <c r="D1048" s="202" t="s">
        <v>39</v>
      </c>
      <c r="E1048" s="203" t="s">
        <v>11</v>
      </c>
      <c r="F1048" s="176"/>
      <c r="G1048" s="397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6" t="s">
        <v>1579</v>
      </c>
      <c r="D1052" s="202" t="s">
        <v>39</v>
      </c>
      <c r="E1052" s="203" t="s">
        <v>290</v>
      </c>
      <c r="F1052" s="397">
        <v>1318750</v>
      </c>
      <c r="G1052" s="397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1490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1491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1492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1493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1494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1495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1571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3">
        <v>2740</v>
      </c>
      <c r="G1448" s="393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0">
        <v>5</v>
      </c>
      <c r="C1457" s="396" t="s">
        <v>1585</v>
      </c>
      <c r="D1457" s="401" t="s">
        <v>39</v>
      </c>
      <c r="E1457" s="402" t="s">
        <v>11</v>
      </c>
      <c r="F1457" s="397"/>
      <c r="G1457" s="403">
        <v>92460</v>
      </c>
      <c r="H1457" s="404"/>
      <c r="I1457" s="403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0">
        <v>6</v>
      </c>
      <c r="C1458" s="396" t="s">
        <v>1586</v>
      </c>
      <c r="D1458" s="401" t="s">
        <v>39</v>
      </c>
      <c r="E1458" s="402" t="s">
        <v>11</v>
      </c>
      <c r="F1458" s="403"/>
      <c r="G1458" s="403">
        <v>92460</v>
      </c>
      <c r="H1458" s="404"/>
      <c r="I1458" s="403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1377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1378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1379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1380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1381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1382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1383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1384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1385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1386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1387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1388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1389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1390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1391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1392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1393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1394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1395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1396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1397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4" t="s">
        <v>1398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4" t="s">
        <v>1399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4" t="s">
        <v>1400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4" t="s">
        <v>1401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1402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1403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4" t="s">
        <v>1403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1404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1405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1406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1407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1408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1409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1410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5" priority="9" operator="equal">
      <formula>0</formula>
    </cfRule>
  </conditionalFormatting>
  <conditionalFormatting sqref="B189 D189:G189">
    <cfRule type="cellIs" dxfId="64" priority="50" operator="equal">
      <formula>0</formula>
    </cfRule>
  </conditionalFormatting>
  <conditionalFormatting sqref="B216 D216:G216">
    <cfRule type="cellIs" dxfId="63" priority="59" operator="equal">
      <formula>0</formula>
    </cfRule>
  </conditionalFormatting>
  <conditionalFormatting sqref="B8:C135">
    <cfRule type="cellIs" dxfId="62" priority="116" operator="equal">
      <formula>0</formula>
    </cfRule>
  </conditionalFormatting>
  <conditionalFormatting sqref="B1045:C1065">
    <cfRule type="cellIs" dxfId="61" priority="17" operator="equal">
      <formula>0</formula>
    </cfRule>
  </conditionalFormatting>
  <conditionalFormatting sqref="B1066:E1510">
    <cfRule type="cellIs" dxfId="60" priority="3" operator="equal">
      <formula>0</formula>
    </cfRule>
  </conditionalFormatting>
  <conditionalFormatting sqref="B217:G231">
    <cfRule type="cellIs" dxfId="59" priority="56" operator="equal">
      <formula>0</formula>
    </cfRule>
  </conditionalFormatting>
  <conditionalFormatting sqref="B233:G1044">
    <cfRule type="cellIs" dxfId="58" priority="10" operator="equal">
      <formula>0</formula>
    </cfRule>
  </conditionalFormatting>
  <conditionalFormatting sqref="C143:G149">
    <cfRule type="cellIs" dxfId="57" priority="70" operator="equal">
      <formula>0</formula>
    </cfRule>
  </conditionalFormatting>
  <conditionalFormatting sqref="D1049:E1065">
    <cfRule type="cellIs" dxfId="56" priority="20" operator="equal">
      <formula>0</formula>
    </cfRule>
  </conditionalFormatting>
  <conditionalFormatting sqref="D1045:F1048">
    <cfRule type="cellIs" dxfId="55" priority="29" operator="equal">
      <formula>0</formula>
    </cfRule>
  </conditionalFormatting>
  <conditionalFormatting sqref="D9:G142">
    <cfRule type="cellIs" dxfId="54" priority="76" operator="equal">
      <formula>0</formula>
    </cfRule>
  </conditionalFormatting>
  <conditionalFormatting sqref="D1:IV5 A1:C7 D6:K6 H1459:IV1474 H1475:XFD1502 H1503:H1510 I1503:XFD1511 A1511:H1511 A1512:XFD65553">
    <cfRule type="cellIs" dxfId="53" priority="228" operator="equal">
      <formula>0</formula>
    </cfRule>
  </conditionalFormatting>
  <conditionalFormatting sqref="D7:IV8 C136:C142 B136:B149 B150:G188 B190:G215 B232 D232:G232">
    <cfRule type="cellIs" dxfId="52" priority="127" operator="equal">
      <formula>0</formula>
    </cfRule>
  </conditionalFormatting>
  <conditionalFormatting sqref="F1049:F1510">
    <cfRule type="cellIs" dxfId="51" priority="2" operator="equal">
      <formula>0</formula>
    </cfRule>
  </conditionalFormatting>
  <conditionalFormatting sqref="G1045:G1510">
    <cfRule type="cellIs" dxfId="50" priority="1" operator="equal">
      <formula>0</formula>
    </cfRule>
  </conditionalFormatting>
  <conditionalFormatting sqref="H9:H1433">
    <cfRule type="cellIs" dxfId="49" priority="11" operator="equal">
      <formula>0</formula>
    </cfRule>
  </conditionalFormatting>
  <conditionalFormatting sqref="H1434:I1458">
    <cfRule type="cellIs" dxfId="48" priority="5" operator="equal">
      <formula>0</formula>
    </cfRule>
  </conditionalFormatting>
  <conditionalFormatting sqref="I1053:I1433">
    <cfRule type="cellIs" dxfId="47" priority="190" operator="equal">
      <formula>0</formula>
    </cfRule>
  </conditionalFormatting>
  <conditionalFormatting sqref="I9:IV1052">
    <cfRule type="cellIs" dxfId="46" priority="12" operator="equal">
      <formula>0</formula>
    </cfRule>
  </conditionalFormatting>
  <conditionalFormatting sqref="M6:IV6">
    <cfRule type="cellIs" dxfId="45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7" zoomScale="85" zoomScaleNormal="100" zoomScaleSheetLayoutView="85" workbookViewId="0">
      <selection activeCell="A12" sqref="A12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7" t="s">
        <v>1107</v>
      </c>
      <c r="C4" s="537"/>
      <c r="D4" s="537"/>
      <c r="E4" s="537"/>
      <c r="F4" s="537"/>
      <c r="G4" s="537"/>
      <c r="H4" s="53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8" t="s">
        <v>0</v>
      </c>
      <c r="C7" s="538" t="s">
        <v>1</v>
      </c>
      <c r="D7" s="539" t="s">
        <v>34</v>
      </c>
      <c r="E7" s="539" t="s">
        <v>35</v>
      </c>
      <c r="F7" s="539" t="s">
        <v>1108</v>
      </c>
      <c r="G7" s="540" t="s">
        <v>33</v>
      </c>
      <c r="H7" s="536" t="s">
        <v>1015</v>
      </c>
      <c r="I7" s="536" t="s">
        <v>1110</v>
      </c>
      <c r="J7" s="536" t="s">
        <v>999</v>
      </c>
      <c r="K7" s="530" t="s">
        <v>997</v>
      </c>
      <c r="L7" s="531"/>
    </row>
    <row r="8" spans="1:12" ht="15" customHeight="1">
      <c r="B8" s="538"/>
      <c r="C8" s="538"/>
      <c r="D8" s="539"/>
      <c r="E8" s="539"/>
      <c r="F8" s="539"/>
      <c r="G8" s="540"/>
      <c r="H8" s="536"/>
      <c r="I8" s="536"/>
      <c r="J8" s="536"/>
      <c r="K8" s="532"/>
      <c r="L8" s="533"/>
    </row>
    <row r="9" spans="1:12" ht="15" customHeight="1">
      <c r="B9" s="538"/>
      <c r="C9" s="538"/>
      <c r="D9" s="539"/>
      <c r="E9" s="539"/>
      <c r="F9" s="539"/>
      <c r="G9" s="540"/>
      <c r="H9" s="536"/>
      <c r="I9" s="536"/>
      <c r="J9" s="536"/>
      <c r="K9" s="534"/>
      <c r="L9" s="53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Disconnecting Switch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Set</v>
      </c>
      <c r="F19" s="138">
        <f t="shared" ca="1" si="2"/>
        <v>1</v>
      </c>
      <c r="G19" s="41">
        <f ca="1">IF(ISERROR(OFFSET('HARGA SATUAN'!$I$6,MATCH(C19,'HARGA SATUAN'!$C$7:$C$1509,0),0)),"",OFFSET('HARGA SATUAN'!$I$6,MATCH(C19,'HARGA SATUAN'!$C$7:$C$1509,0),0))</f>
        <v>8703800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Lightning Arester (Polymer) 21 KV, 10 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38">
        <f t="shared" ca="1" si="2"/>
        <v>3</v>
      </c>
      <c r="G20" s="41">
        <f ca="1">IF(ISERROR(OFFSET('HARGA SATUAN'!$I$6,MATCH(C20,'HARGA SATUAN'!$C$7:$C$1509,0),0)),"",OFFSET('HARGA SATUAN'!$I$6,MATCH(C20,'HARGA SATUAN'!$C$7:$C$1509,0),0))</f>
        <v>725900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Tumpu ( Pin Post ) 20 KV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Bh</v>
      </c>
      <c r="F21" s="138">
        <f t="shared" ca="1" si="2"/>
        <v>4</v>
      </c>
      <c r="G21" s="41">
        <f ca="1">IF(ISERROR(OFFSET('HARGA SATUAN'!$I$6,MATCH(C21,'HARGA SATUAN'!$C$7:$C$1509,0),0)),"",OFFSET('HARGA SATUAN'!$I$6,MATCH(C21,'HARGA SATUAN'!$C$7:$C$1509,0),0))</f>
        <v>235900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Isolator Tumpu ( Line Post ) 20 KV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38">
        <f t="shared" ca="1" si="2"/>
        <v>2</v>
      </c>
      <c r="G22" s="41">
        <f ca="1">IF(ISERROR(OFFSET('HARGA SATUAN'!$I$6,MATCH(C22,'HARGA SATUAN'!$C$7:$C$1509,0),0)),"",OFFSET('HARGA SATUAN'!$I$6,MATCH(C22,'HARGA SATUAN'!$C$7:$C$1509,0),0))</f>
        <v>176900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 ht="30">
      <c r="A23" s="112">
        <v>12</v>
      </c>
      <c r="B23" s="134">
        <f t="shared" ca="1" si="0"/>
        <v>12</v>
      </c>
      <c r="C23" s="109" t="str">
        <f t="shared" ca="1" si="1"/>
        <v>Isolator Tarik ( Porcelain ) 20 KV + Primary Dead End Clamp 150-240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Set</v>
      </c>
      <c r="F23" s="138">
        <f t="shared" ca="1" si="2"/>
        <v>18</v>
      </c>
      <c r="G23" s="41">
        <f ca="1">IF(ISERROR(OFFSET('HARGA SATUAN'!$I$6,MATCH(C23,'HARGA SATUAN'!$C$7:$C$1509,0),0)),"",OFFSET('HARGA SATUAN'!$I$6,MATCH(C23,'HARGA SATUAN'!$C$7:$C$1509,0),0))</f>
        <v>430000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70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38">
        <f t="shared" ca="1" si="2"/>
        <v>18</v>
      </c>
      <c r="G24" s="41">
        <f ca="1">IF(ISERROR(OFFSET('HARGA SATUAN'!$I$6,MATCH(C24,'HARGA SATUAN'!$C$7:$C$1509,0),0)),"",OFFSET('HARGA SATUAN'!$I$6,MATCH(C24,'HARGA SATUAN'!$C$7:$C$1509,0),0))</f>
        <v>14200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AAAC 150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38">
        <f t="shared" ca="1" si="2"/>
        <v>90</v>
      </c>
      <c r="G25" s="41">
        <f ca="1">IF(ISERROR(OFFSET('HARGA SATUAN'!$I$6,MATCH(C25,'HARGA SATUAN'!$C$7:$C$1509,0),0)),"",OFFSET('HARGA SATUAN'!$I$6,MATCH(C25,'HARGA SATUAN'!$C$7:$C$1509,0),0))</f>
        <v>25300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AAAC 240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38">
        <f t="shared" ca="1" si="2"/>
        <v>270</v>
      </c>
      <c r="G26" s="41">
        <f ca="1">IF(ISERROR(OFFSET('HARGA SATUAN'!$I$6,MATCH(C26,'HARGA SATUAN'!$C$7:$C$1509,0),0)),"",OFFSET('HARGA SATUAN'!$I$6,MATCH(C26,'HARGA SATUAN'!$C$7:$C$1509,0),0))</f>
        <v>36900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NFA2X-T 2 x 70 + N 70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38">
        <f t="shared" ca="1" si="2"/>
        <v>2</v>
      </c>
      <c r="G27" s="41">
        <f ca="1">IF(ISERROR(OFFSET('HARGA SATUAN'!$I$6,MATCH(C27,'HARGA SATUAN'!$C$7:$C$1509,0),0)),"",OFFSET('HARGA SATUAN'!$I$6,MATCH(C27,'HARGA SATUAN'!$C$7:$C$1509,0),0))</f>
        <v>53300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NFA2X 2 x 10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38">
        <f t="shared" ca="1" si="2"/>
        <v>35</v>
      </c>
      <c r="G28" s="41">
        <f ca="1">IF(ISERROR(OFFSET('HARGA SATUAN'!$I$6,MATCH(C28,'HARGA SATUAN'!$C$7:$C$1509,0),0)),"",OFFSET('HARGA SATUAN'!$I$6,MATCH(C28,'HARGA SATUAN'!$C$7:$C$1509,0),0))</f>
        <v>4300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Kabel NYY 1 x 70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38">
        <f t="shared" ca="1" si="2"/>
        <v>25</v>
      </c>
      <c r="G29" s="41">
        <f ca="1">IF(ISERROR(OFFSET('HARGA SATUAN'!$I$6,MATCH(C29,'HARGA SATUAN'!$C$7:$C$1509,0),0)),"",OFFSET('HARGA SATUAN'!$I$6,MATCH(C29,'HARGA SATUAN'!$C$7:$C$1509,0),0))</f>
        <v>94700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>
        <f t="shared" ca="1" si="0"/>
        <v>19</v>
      </c>
      <c r="C30" s="109" t="str">
        <f t="shared" ca="1" si="1"/>
        <v>Modem 3G/4G</v>
      </c>
      <c r="D30" s="101" t="str">
        <f ca="1">IF(ISERROR(OFFSET('HARGA SATUAN'!$D$6,MATCH(C30,'HARGA SATUAN'!$C$7:$C$1509,0),0)),"",OFFSET('HARGA SATUAN'!$D$6,MATCH(C30,'HARGA SATUAN'!$C$7:$C$1509,0),0))</f>
        <v>HDW</v>
      </c>
      <c r="E30" s="101" t="str">
        <f ca="1">IF(B30="+","Unit",IF(ISERROR(OFFSET('HARGA SATUAN'!$E$6,MATCH(C30,'HARGA SATUAN'!$C$7:$C$1509,0),0)),"",OFFSET('HARGA SATUAN'!$E$6,MATCH(C30,'HARGA SATUAN'!$C$7:$C$1509,0),0)))</f>
        <v>Unit</v>
      </c>
      <c r="F30" s="138">
        <f t="shared" ca="1" si="2"/>
        <v>1</v>
      </c>
      <c r="G30" s="41">
        <f ca="1">IF(ISERROR(OFFSET('HARGA SATUAN'!$I$6,MATCH(C30,'HARGA SATUAN'!$C$7:$C$1509,0),0)),"",OFFSET('HARGA SATUAN'!$I$6,MATCH(C30,'HARGA SATUAN'!$C$7:$C$1509,0),0))</f>
        <v>1113900</v>
      </c>
      <c r="H30" s="136" t="e">
        <f ca="1">IF(B30="","",#REF!)</f>
        <v>#REF!</v>
      </c>
      <c r="I30" s="136" t="e">
        <f ca="1">IF(B30="","",#REF!)</f>
        <v>#REF!</v>
      </c>
      <c r="J30" s="136" t="e">
        <f ca="1">IF(B30="","",#REF!)</f>
        <v>#REF!</v>
      </c>
      <c r="K30" s="136" t="e">
        <f ca="1">IF(B30="","",#REF!)</f>
        <v>#REF!</v>
      </c>
      <c r="L30" s="136" t="e">
        <f ca="1">IF(C30="","",#REF!)</f>
        <v>#REF!</v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>
        <f t="shared" ca="1" si="2"/>
        <v>1</v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>
        <f t="shared" ca="1" si="2"/>
        <v>1</v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>
        <f t="shared" ca="1" si="2"/>
        <v>1</v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>
        <f t="shared" ca="1" si="2"/>
        <v>1</v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>
        <f t="shared" ca="1" si="2"/>
        <v>1</v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>
        <f t="shared" ca="1" si="2"/>
        <v>1</v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>
        <f t="shared" ca="1" si="2"/>
        <v>1</v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>
        <f t="shared" ca="1" si="2"/>
        <v>1</v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>
        <f t="shared" ca="1" si="2"/>
        <v>1</v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>
        <f t="shared" ca="1" si="2"/>
        <v>1</v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>
        <f t="shared" ca="1" si="2"/>
        <v>1</v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>
        <f t="shared" ca="1" si="2"/>
        <v>1</v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>
        <f t="shared" ca="1" si="2"/>
        <v>1</v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>
        <f t="shared" ca="1" si="2"/>
        <v>1</v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>
        <f t="shared" ca="1" si="2"/>
        <v>1</v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>
        <f t="shared" ca="1" si="2"/>
        <v>1</v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>
        <f t="shared" ca="1" si="2"/>
        <v>1</v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>
        <f t="shared" ca="1" si="2"/>
        <v>1</v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>
        <f t="shared" ca="1" si="2"/>
        <v>1</v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>
        <f t="shared" ca="1" si="2"/>
        <v>1</v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>
        <f t="shared" ca="1" si="2"/>
        <v>1</v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>
        <f t="shared" ca="1" si="2"/>
        <v>1</v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>
        <f t="shared" ca="1" si="2"/>
        <v>1</v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>
        <f t="shared" ca="1" si="2"/>
        <v>1</v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>
        <f t="shared" ca="1" si="2"/>
        <v>1</v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>
        <f t="shared" ca="1" si="2"/>
        <v>1</v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>
        <f t="shared" ca="1" si="2"/>
        <v>1</v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>
        <f t="shared" ca="1" si="2"/>
        <v>1</v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>
        <f t="shared" ca="1" si="2"/>
        <v>1</v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>
        <f t="shared" ca="1" si="2"/>
        <v>1</v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>
        <f t="shared" ca="1" si="2"/>
        <v>1</v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>
        <f t="shared" ca="1" si="2"/>
        <v>1</v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>
        <f t="shared" ca="1" si="2"/>
        <v>1</v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>
        <f t="shared" ca="1" si="2"/>
        <v>1</v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>
        <f t="shared" ca="1" si="2"/>
        <v>1</v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>
        <f t="shared" ca="1" si="2"/>
        <v>1</v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>
        <f t="shared" ca="1" si="2"/>
        <v>1</v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>
        <f t="shared" ca="1" si="2"/>
        <v>1</v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>
        <f t="shared" ca="1" si="2"/>
        <v>1</v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>
        <f t="shared" ca="1" si="2"/>
        <v>1</v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>
        <f t="shared" ca="1" si="2"/>
        <v>1</v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>
        <f t="shared" ca="1" si="2"/>
        <v>1</v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>
        <f t="shared" ca="1" si="2"/>
        <v>1</v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>
        <f t="shared" ca="1" si="2"/>
        <v>1</v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>
        <f t="shared" ca="1" si="2"/>
        <v>1</v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>
        <f t="shared" ca="1" si="2"/>
        <v>1</v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>
        <f t="shared" ref="F77:F140" ca="1" si="5">IF(ISERROR(OFFSET($D$713,MATCH(A77,$F$714:$F$1320,0),0)),"",OFFSET($D$713,MATCH(A77,$F$714:$F$1320,0),0))</f>
        <v>1</v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>
        <f t="shared" ca="1" si="5"/>
        <v>1</v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>
        <f t="shared" ca="1" si="5"/>
        <v>1</v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>
        <f t="shared" ca="1" si="5"/>
        <v>1</v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>
        <f t="shared" ca="1" si="5"/>
        <v>1</v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>
        <f t="shared" ca="1" si="5"/>
        <v>1</v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>
        <f t="shared" ca="1" si="5"/>
        <v>1</v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>
        <f t="shared" ca="1" si="5"/>
        <v>1</v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>
        <f t="shared" ca="1" si="5"/>
        <v>1</v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>
        <f t="shared" ca="1" si="5"/>
        <v>1</v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>
        <f t="shared" ca="1" si="5"/>
        <v>1</v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>
        <f t="shared" ca="1" si="5"/>
        <v>1</v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>
        <f t="shared" ca="1" si="5"/>
        <v>1</v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>
        <f t="shared" ca="1" si="5"/>
        <v>1</v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>
        <f t="shared" ca="1" si="5"/>
        <v>1</v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>
        <f t="shared" ca="1" si="5"/>
        <v>1</v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>
        <f t="shared" ca="1" si="5"/>
        <v>1</v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>
        <f t="shared" ca="1" si="5"/>
        <v>1</v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>
        <f t="shared" ca="1" si="5"/>
        <v>1</v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>
        <f t="shared" ca="1" si="5"/>
        <v>1</v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>
        <f t="shared" ca="1" si="5"/>
        <v>1</v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>
        <f t="shared" ca="1" si="5"/>
        <v>1</v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>
        <f t="shared" ca="1" si="5"/>
        <v>1</v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>
        <f t="shared" ca="1" si="5"/>
        <v>1</v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>
        <f t="shared" ca="1" si="5"/>
        <v>1</v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>
        <f t="shared" ca="1" si="5"/>
        <v>1</v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>
        <f t="shared" ca="1" si="5"/>
        <v>1</v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>
        <f t="shared" ca="1" si="5"/>
        <v>1</v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>
        <f t="shared" ca="1" si="5"/>
        <v>1</v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>
        <f t="shared" ca="1" si="5"/>
        <v>1</v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>
        <f t="shared" ca="1" si="5"/>
        <v>1</v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>
        <f t="shared" ca="1" si="5"/>
        <v>1</v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>
        <f t="shared" ca="1" si="5"/>
        <v>1</v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>
        <f t="shared" ca="1" si="5"/>
        <v>1</v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>
        <f t="shared" ca="1" si="5"/>
        <v>1</v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>
        <f t="shared" ca="1" si="5"/>
        <v>1</v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>
        <f t="shared" ca="1" si="5"/>
        <v>1</v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>
        <f t="shared" ca="1" si="5"/>
        <v>1</v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>
        <f t="shared" ca="1" si="5"/>
        <v>1</v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>
        <f t="shared" ca="1" si="5"/>
        <v>1</v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>
        <f t="shared" ca="1" si="5"/>
        <v>1</v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>
        <f t="shared" ca="1" si="5"/>
        <v>1</v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>
        <f t="shared" ca="1" si="5"/>
        <v>1</v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>
        <f t="shared" ca="1" si="5"/>
        <v>1</v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>
        <f t="shared" ca="1" si="5"/>
        <v>1</v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>
        <f t="shared" ca="1" si="5"/>
        <v>1</v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>
        <f t="shared" ca="1" si="5"/>
        <v>1</v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>
        <f t="shared" ca="1" si="5"/>
        <v>1</v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>
        <f t="shared" ca="1" si="5"/>
        <v>1</v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>
        <f t="shared" ca="1" si="5"/>
        <v>1</v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>
        <f t="shared" ca="1" si="5"/>
        <v>1</v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>
        <f t="shared" ca="1" si="5"/>
        <v>1</v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>
        <f t="shared" ca="1" si="5"/>
        <v>1</v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>
        <f t="shared" ca="1" si="5"/>
        <v>1</v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>
        <f t="shared" ca="1" si="5"/>
        <v>1</v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>
        <f t="shared" ca="1" si="5"/>
        <v>1</v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>
        <f t="shared" ca="1" si="5"/>
        <v>1</v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>
        <f t="shared" ca="1" si="5"/>
        <v>1</v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>
        <f t="shared" ca="1" si="5"/>
        <v>1</v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>
        <f t="shared" ca="1" si="5"/>
        <v>1</v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>
        <f t="shared" ca="1" si="5"/>
        <v>1</v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>
        <f t="shared" ca="1" si="5"/>
        <v>1</v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>
        <f t="shared" ca="1" si="5"/>
        <v>1</v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>
        <f t="shared" ca="1" si="5"/>
        <v>1</v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>
        <f t="shared" ref="F141:F204" ca="1" si="8">IF(ISERROR(OFFSET($D$713,MATCH(A141,$F$714:$F$1320,0),0)),"",OFFSET($D$713,MATCH(A141,$F$714:$F$1320,0),0))</f>
        <v>1</v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>
        <f t="shared" ca="1" si="8"/>
        <v>1</v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>
        <f t="shared" ca="1" si="8"/>
        <v>1</v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>
        <f t="shared" ca="1" si="8"/>
        <v>1</v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>
        <f t="shared" ca="1" si="8"/>
        <v>1</v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>
        <f t="shared" ca="1" si="8"/>
        <v>1</v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>
        <f t="shared" ca="1" si="8"/>
        <v>1</v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>
        <f t="shared" ca="1" si="8"/>
        <v>1</v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>
        <f t="shared" ca="1" si="8"/>
        <v>1</v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>
        <f t="shared" ca="1" si="8"/>
        <v>1</v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>
        <f t="shared" ca="1" si="8"/>
        <v>1</v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>
        <f t="shared" ca="1" si="8"/>
        <v>1</v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>
        <f t="shared" ca="1" si="8"/>
        <v>1</v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>
        <f t="shared" ca="1" si="8"/>
        <v>1</v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>
        <f t="shared" ca="1" si="8"/>
        <v>1</v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>
        <f t="shared" ca="1" si="8"/>
        <v>1</v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>
        <f t="shared" ca="1" si="8"/>
        <v>1</v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>
        <f t="shared" ca="1" si="8"/>
        <v>1</v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>
        <f t="shared" ca="1" si="8"/>
        <v>1</v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>
        <f t="shared" ca="1" si="8"/>
        <v>1</v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>
        <f t="shared" ca="1" si="8"/>
        <v>1</v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>
        <f t="shared" ca="1" si="8"/>
        <v>1</v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>
        <f t="shared" ca="1" si="8"/>
        <v>1</v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>
        <f t="shared" ca="1" si="8"/>
        <v>1</v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>
        <f t="shared" ca="1" si="8"/>
        <v>1</v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>
        <f t="shared" ca="1" si="8"/>
        <v>1</v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>
        <f t="shared" ca="1" si="8"/>
        <v>1</v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>
        <f t="shared" ca="1" si="8"/>
        <v>1</v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>
        <f t="shared" ca="1" si="8"/>
        <v>1</v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>
        <f t="shared" ca="1" si="8"/>
        <v>1</v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>
        <f t="shared" ca="1" si="8"/>
        <v>1</v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>
        <f t="shared" ca="1" si="8"/>
        <v>1</v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>
        <f t="shared" ca="1" si="8"/>
        <v>1</v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>
        <f t="shared" ca="1" si="8"/>
        <v>1</v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>
        <f t="shared" ca="1" si="8"/>
        <v>1</v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>
        <f t="shared" ca="1" si="8"/>
        <v>1</v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>
        <f t="shared" ca="1" si="8"/>
        <v>1</v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>
        <f t="shared" ca="1" si="8"/>
        <v>1</v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>
        <f t="shared" ca="1" si="8"/>
        <v>1</v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>
        <f t="shared" ca="1" si="8"/>
        <v>1</v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>
        <f t="shared" ca="1" si="8"/>
        <v>1</v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>
        <f t="shared" ca="1" si="8"/>
        <v>1</v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>
        <f t="shared" ca="1" si="8"/>
        <v>1</v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>
        <f t="shared" ca="1" si="8"/>
        <v>1</v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>
        <f t="shared" ca="1" si="8"/>
        <v>1</v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>
        <f t="shared" ca="1" si="8"/>
        <v>1</v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>
        <f t="shared" ca="1" si="8"/>
        <v>1</v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>
        <f t="shared" ca="1" si="8"/>
        <v>1</v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>
        <f t="shared" ca="1" si="8"/>
        <v>1</v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>
        <f t="shared" ca="1" si="8"/>
        <v>1</v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>
        <f t="shared" ca="1" si="8"/>
        <v>1</v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>
        <f t="shared" ca="1" si="8"/>
        <v>1</v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>
        <f t="shared" ca="1" si="8"/>
        <v>1</v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>
        <f t="shared" ca="1" si="8"/>
        <v>1</v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>
        <f t="shared" ca="1" si="8"/>
        <v>1</v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>
        <f t="shared" ca="1" si="8"/>
        <v>1</v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>
        <f t="shared" ca="1" si="8"/>
        <v>1</v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>
        <f t="shared" ca="1" si="8"/>
        <v>1</v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>
        <f t="shared" ca="1" si="8"/>
        <v>1</v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>
        <f t="shared" ca="1" si="8"/>
        <v>1</v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>
        <f t="shared" ca="1" si="8"/>
        <v>1</v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>
        <f t="shared" ca="1" si="8"/>
        <v>1</v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>
        <f t="shared" ca="1" si="8"/>
        <v>1</v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>
        <f t="shared" ca="1" si="8"/>
        <v>1</v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>
        <f t="shared" ref="F205:F268" ca="1" si="11">IF(ISERROR(OFFSET($D$713,MATCH(A205,$F$714:$F$1320,0),0)),"",OFFSET($D$713,MATCH(A205,$F$714:$F$1320,0),0))</f>
        <v>1</v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>
        <f t="shared" ca="1" si="11"/>
        <v>1</v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>
        <f t="shared" ca="1" si="11"/>
        <v>1</v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>
        <f t="shared" ca="1" si="11"/>
        <v>1</v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>
        <f t="shared" ca="1" si="11"/>
        <v>1</v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>
        <f t="shared" ca="1" si="11"/>
        <v>1</v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>
        <f t="shared" ca="1" si="11"/>
        <v>1</v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>
        <f t="shared" ca="1" si="11"/>
        <v>1</v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>
        <f t="shared" ca="1" si="11"/>
        <v>1</v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>
        <f t="shared" ca="1" si="11"/>
        <v>1</v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>
        <f t="shared" ca="1" si="11"/>
        <v>1</v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>
        <f t="shared" ca="1" si="11"/>
        <v>1</v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>
        <f t="shared" ca="1" si="11"/>
        <v>1</v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>
        <f t="shared" ca="1" si="11"/>
        <v>1</v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>
        <f t="shared" ca="1" si="11"/>
        <v>1</v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>
        <f t="shared" ca="1" si="11"/>
        <v>1</v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>
        <f t="shared" ca="1" si="11"/>
        <v>1</v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>
        <f t="shared" ca="1" si="11"/>
        <v>1</v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>
        <f t="shared" ca="1" si="11"/>
        <v>1</v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>
        <f t="shared" ca="1" si="11"/>
        <v>1</v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>
        <f t="shared" ca="1" si="11"/>
        <v>1</v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>
        <f t="shared" ca="1" si="11"/>
        <v>1</v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>
        <f t="shared" ca="1" si="11"/>
        <v>1</v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>
        <f t="shared" ca="1" si="11"/>
        <v>1</v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>
        <f t="shared" ca="1" si="11"/>
        <v>1</v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>
        <f t="shared" ca="1" si="11"/>
        <v>1</v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>
        <f t="shared" ca="1" si="11"/>
        <v>1</v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>
        <f t="shared" ca="1" si="11"/>
        <v>1</v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>
        <f t="shared" ca="1" si="11"/>
        <v>1</v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>
        <f t="shared" ca="1" si="11"/>
        <v>1</v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>
        <f t="shared" ca="1" si="11"/>
        <v>1</v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>
        <f t="shared" ca="1" si="11"/>
        <v>1</v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>
        <f t="shared" ca="1" si="11"/>
        <v>1</v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>
        <f t="shared" ca="1" si="11"/>
        <v>1</v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>
        <f t="shared" ca="1" si="11"/>
        <v>1</v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>
        <f t="shared" ca="1" si="11"/>
        <v>1</v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>
        <f t="shared" ca="1" si="11"/>
        <v>1</v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>
        <f t="shared" ca="1" si="11"/>
        <v>1</v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>
        <f t="shared" ca="1" si="11"/>
        <v>1</v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>
        <f t="shared" ca="1" si="11"/>
        <v>1</v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>
        <f t="shared" ca="1" si="11"/>
        <v>1</v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>
        <f t="shared" ca="1" si="11"/>
        <v>1</v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>
        <f t="shared" ca="1" si="11"/>
        <v>1</v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>
        <f t="shared" ca="1" si="11"/>
        <v>1</v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>
        <f t="shared" ca="1" si="11"/>
        <v>1</v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>
        <f t="shared" ca="1" si="11"/>
        <v>1</v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>
        <f t="shared" ca="1" si="11"/>
        <v>1</v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>
        <f t="shared" ca="1" si="11"/>
        <v>1</v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>
        <f t="shared" ca="1" si="11"/>
        <v>1</v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>
        <f t="shared" ca="1" si="11"/>
        <v>1</v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>
        <f t="shared" ca="1" si="11"/>
        <v>1</v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>
        <f t="shared" ca="1" si="11"/>
        <v>1</v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>
        <f t="shared" ca="1" si="11"/>
        <v>1</v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>
        <f t="shared" ca="1" si="11"/>
        <v>1</v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>
        <f t="shared" ca="1" si="11"/>
        <v>1</v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>
        <f t="shared" ca="1" si="11"/>
        <v>1</v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>
        <f t="shared" ca="1" si="11"/>
        <v>1</v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>
        <f t="shared" ca="1" si="11"/>
        <v>1</v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>
        <f t="shared" ca="1" si="11"/>
        <v>1</v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>
        <f t="shared" ca="1" si="11"/>
        <v>1</v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>
        <f t="shared" ca="1" si="11"/>
        <v>1</v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>
        <f t="shared" ca="1" si="11"/>
        <v>1</v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>
        <f t="shared" ca="1" si="11"/>
        <v>1</v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>
        <f t="shared" ca="1" si="11"/>
        <v>1</v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>
        <f t="shared" ref="F269:F332" ca="1" si="14">IF(ISERROR(OFFSET($D$713,MATCH(A269,$F$714:$F$1320,0),0)),"",OFFSET($D$713,MATCH(A269,$F$714:$F$1320,0),0))</f>
        <v>1</v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>
        <f t="shared" ca="1" si="14"/>
        <v>1</v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>
        <f t="shared" ca="1" si="14"/>
        <v>1</v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>
        <f t="shared" ca="1" si="14"/>
        <v>1</v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>
        <f t="shared" ca="1" si="14"/>
        <v>1</v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>
        <f t="shared" ca="1" si="14"/>
        <v>1</v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>
        <f t="shared" ca="1" si="14"/>
        <v>1</v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>
        <f t="shared" ca="1" si="14"/>
        <v>1</v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>
        <f t="shared" ca="1" si="14"/>
        <v>1</v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>
        <f t="shared" ca="1" si="14"/>
        <v>1</v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>
        <f t="shared" ca="1" si="14"/>
        <v>1</v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>
        <f t="shared" ca="1" si="14"/>
        <v>1</v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>
        <f t="shared" ca="1" si="14"/>
        <v>1</v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>
        <f t="shared" ca="1" si="14"/>
        <v>1</v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>
        <f t="shared" ca="1" si="14"/>
        <v>1</v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>
        <f t="shared" ca="1" si="14"/>
        <v>1</v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>
        <f t="shared" ca="1" si="14"/>
        <v>1</v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>
        <f t="shared" ca="1" si="14"/>
        <v>1</v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>
        <f t="shared" ca="1" si="14"/>
        <v>1</v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>
        <f t="shared" ca="1" si="14"/>
        <v>1</v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>
        <f t="shared" ca="1" si="14"/>
        <v>1</v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>
        <f t="shared" ca="1" si="14"/>
        <v>1</v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>
        <f t="shared" ca="1" si="14"/>
        <v>1</v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>
        <f t="shared" ca="1" si="14"/>
        <v>1</v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>
        <f t="shared" ca="1" si="14"/>
        <v>1</v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>
        <f t="shared" ca="1" si="14"/>
        <v>1</v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>
        <f t="shared" ca="1" si="14"/>
        <v>1</v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>
        <f t="shared" ca="1" si="14"/>
        <v>1</v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>
        <f t="shared" ca="1" si="14"/>
        <v>1</v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>
        <f t="shared" ca="1" si="14"/>
        <v>1</v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>
        <f t="shared" ca="1" si="14"/>
        <v>1</v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>
        <f t="shared" ca="1" si="14"/>
        <v>1</v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>
        <f t="shared" ca="1" si="14"/>
        <v>1</v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>
        <f t="shared" ca="1" si="14"/>
        <v>1</v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>
        <f t="shared" ca="1" si="14"/>
        <v>1</v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>
        <f t="shared" ca="1" si="14"/>
        <v>1</v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>
        <f t="shared" ca="1" si="14"/>
        <v>1</v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>
        <f t="shared" ca="1" si="14"/>
        <v>1</v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>
        <f t="shared" ca="1" si="14"/>
        <v>1</v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>
        <f t="shared" ca="1" si="14"/>
        <v>1</v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>
        <f t="shared" ca="1" si="14"/>
        <v>1</v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>
        <f t="shared" ca="1" si="14"/>
        <v>1</v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>
        <f t="shared" ca="1" si="14"/>
        <v>1</v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>
        <f t="shared" ca="1" si="14"/>
        <v>1</v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>
        <f t="shared" ca="1" si="14"/>
        <v>1</v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>
        <f t="shared" ca="1" si="14"/>
        <v>1</v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>
        <f t="shared" ca="1" si="14"/>
        <v>1</v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>
        <f t="shared" ca="1" si="14"/>
        <v>1</v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>
        <f t="shared" ca="1" si="14"/>
        <v>1</v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>
        <f t="shared" ca="1" si="14"/>
        <v>1</v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>
        <f t="shared" ca="1" si="14"/>
        <v>1</v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>
        <f t="shared" ca="1" si="14"/>
        <v>1</v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>
        <f t="shared" ca="1" si="14"/>
        <v>1</v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>
        <f t="shared" ca="1" si="14"/>
        <v>1</v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>
        <f t="shared" ca="1" si="14"/>
        <v>1</v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>
        <f t="shared" ca="1" si="14"/>
        <v>1</v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>
        <f t="shared" ca="1" si="14"/>
        <v>1</v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>
        <f t="shared" ca="1" si="14"/>
        <v>1</v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>
        <f t="shared" ca="1" si="14"/>
        <v>1</v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>
        <f t="shared" ca="1" si="14"/>
        <v>1</v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>
        <f t="shared" ca="1" si="14"/>
        <v>1</v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>
        <f t="shared" ca="1" si="14"/>
        <v>1</v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>
        <f t="shared" ca="1" si="14"/>
        <v>1</v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>
        <f t="shared" ca="1" si="14"/>
        <v>1</v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>
        <f t="shared" ref="F333:F396" ca="1" si="17">IF(ISERROR(OFFSET($D$713,MATCH(A333,$F$714:$F$1320,0),0)),"",OFFSET($D$713,MATCH(A333,$F$714:$F$1320,0),0))</f>
        <v>1</v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>
        <f t="shared" ca="1" si="17"/>
        <v>1</v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>
        <f t="shared" ca="1" si="17"/>
        <v>1</v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>
        <f t="shared" ca="1" si="17"/>
        <v>1</v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>
        <f t="shared" ca="1" si="17"/>
        <v>1</v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>
        <f t="shared" ca="1" si="17"/>
        <v>1</v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>
        <f t="shared" ca="1" si="17"/>
        <v>1</v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>
        <f t="shared" ca="1" si="17"/>
        <v>1</v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>
        <f t="shared" ca="1" si="17"/>
        <v>1</v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>
        <f t="shared" ca="1" si="17"/>
        <v>1</v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>
        <f t="shared" ca="1" si="17"/>
        <v>1</v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>
        <f t="shared" ca="1" si="17"/>
        <v>1</v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>
        <f t="shared" ca="1" si="17"/>
        <v>1</v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>
        <f t="shared" ca="1" si="17"/>
        <v>1</v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>
        <f t="shared" ca="1" si="17"/>
        <v>1</v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>
        <f t="shared" ca="1" si="17"/>
        <v>1</v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>
        <f t="shared" ca="1" si="17"/>
        <v>1</v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>
        <f t="shared" ca="1" si="17"/>
        <v>1</v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>
        <f t="shared" ca="1" si="17"/>
        <v>1</v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>
        <f t="shared" ca="1" si="17"/>
        <v>1</v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>
        <f t="shared" ca="1" si="17"/>
        <v>1</v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>
        <f t="shared" ca="1" si="17"/>
        <v>1</v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>
        <f t="shared" ca="1" si="17"/>
        <v>1</v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>
        <f t="shared" ca="1" si="17"/>
        <v>1</v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>
        <f t="shared" ca="1" si="17"/>
        <v>1</v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>
        <f t="shared" ca="1" si="17"/>
        <v>1</v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>
        <f t="shared" ca="1" si="17"/>
        <v>1</v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>
        <f t="shared" ca="1" si="17"/>
        <v>1</v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>
        <f t="shared" ca="1" si="17"/>
        <v>1</v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>
        <f t="shared" ca="1" si="17"/>
        <v>1</v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>
        <f t="shared" ca="1" si="17"/>
        <v>1</v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>
        <f t="shared" ca="1" si="17"/>
        <v>1</v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>
        <f t="shared" ca="1" si="17"/>
        <v>1</v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>
        <f t="shared" ca="1" si="17"/>
        <v>1</v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>
        <f t="shared" ca="1" si="17"/>
        <v>1</v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>
        <f t="shared" ca="1" si="17"/>
        <v>1</v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>
        <f t="shared" ca="1" si="17"/>
        <v>1</v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>
        <f t="shared" ca="1" si="17"/>
        <v>1</v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>
        <f t="shared" ca="1" si="17"/>
        <v>1</v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>
        <f t="shared" ca="1" si="17"/>
        <v>1</v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>
        <f t="shared" ca="1" si="17"/>
        <v>1</v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>
        <f t="shared" ca="1" si="17"/>
        <v>1</v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>
        <f t="shared" ca="1" si="17"/>
        <v>1</v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>
        <f t="shared" ca="1" si="17"/>
        <v>1</v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>
        <f t="shared" ca="1" si="17"/>
        <v>1</v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>
        <f t="shared" ca="1" si="17"/>
        <v>1</v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>
        <f t="shared" ca="1" si="17"/>
        <v>1</v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>
        <f t="shared" ca="1" si="17"/>
        <v>1</v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>
        <f t="shared" ca="1" si="17"/>
        <v>1</v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>
        <f t="shared" ca="1" si="17"/>
        <v>1</v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>
        <f t="shared" ca="1" si="17"/>
        <v>1</v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>
        <f t="shared" ca="1" si="17"/>
        <v>1</v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>
        <f t="shared" ca="1" si="17"/>
        <v>1</v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>
        <f t="shared" ca="1" si="17"/>
        <v>1</v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>
        <f t="shared" ca="1" si="17"/>
        <v>1</v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>
        <f t="shared" ca="1" si="17"/>
        <v>1</v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>
        <f t="shared" ca="1" si="17"/>
        <v>1</v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>
        <f t="shared" ca="1" si="17"/>
        <v>1</v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>
        <f t="shared" ca="1" si="17"/>
        <v>1</v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>
        <f t="shared" ca="1" si="17"/>
        <v>1</v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>
        <f t="shared" ca="1" si="17"/>
        <v>1</v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>
        <f t="shared" ca="1" si="17"/>
        <v>1</v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>
        <f t="shared" ca="1" si="17"/>
        <v>1</v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>
        <f t="shared" ca="1" si="17"/>
        <v>1</v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>
        <f t="shared" ref="F397:F460" ca="1" si="20">IF(ISERROR(OFFSET($D$713,MATCH(A397,$F$714:$F$1320,0),0)),"",OFFSET($D$713,MATCH(A397,$F$714:$F$1320,0),0))</f>
        <v>1</v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>
        <f t="shared" ca="1" si="20"/>
        <v>1</v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>
        <f t="shared" ca="1" si="20"/>
        <v>1</v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>
        <f t="shared" ca="1" si="20"/>
        <v>1</v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>
        <f t="shared" ca="1" si="20"/>
        <v>1</v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>
        <f t="shared" ca="1" si="20"/>
        <v>1</v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>
        <f t="shared" ca="1" si="20"/>
        <v>1</v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>
        <f t="shared" ca="1" si="20"/>
        <v>1</v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>
        <f t="shared" ca="1" si="20"/>
        <v>1</v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>
        <f t="shared" ca="1" si="20"/>
        <v>1</v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>
        <f t="shared" ca="1" si="20"/>
        <v>1</v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>
        <f t="shared" ca="1" si="20"/>
        <v>1</v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>
        <f t="shared" ca="1" si="20"/>
        <v>1</v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>
        <f t="shared" ca="1" si="20"/>
        <v>1</v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>
        <f t="shared" ca="1" si="20"/>
        <v>1</v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>
        <f t="shared" ca="1" si="20"/>
        <v>1</v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>
        <f t="shared" ca="1" si="20"/>
        <v>1</v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>
        <f t="shared" ca="1" si="20"/>
        <v>1</v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>
        <f t="shared" ca="1" si="20"/>
        <v>1</v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>
        <f t="shared" ca="1" si="20"/>
        <v>1</v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>
        <f t="shared" ca="1" si="20"/>
        <v>1</v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>
        <f t="shared" ca="1" si="20"/>
        <v>1</v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>
        <f t="shared" ca="1" si="20"/>
        <v>1</v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>
        <f t="shared" ca="1" si="20"/>
        <v>1</v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>
        <f t="shared" ca="1" si="20"/>
        <v>1</v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>
        <f t="shared" ca="1" si="20"/>
        <v>1</v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>
        <f t="shared" ca="1" si="20"/>
        <v>1</v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>
        <f t="shared" ca="1" si="20"/>
        <v>1</v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>
        <f t="shared" ca="1" si="20"/>
        <v>1</v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>
        <f t="shared" ca="1" si="20"/>
        <v>1</v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>
        <f t="shared" ca="1" si="20"/>
        <v>1</v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>
        <f t="shared" ca="1" si="20"/>
        <v>1</v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>
        <f t="shared" ca="1" si="20"/>
        <v>1</v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>
        <f t="shared" ca="1" si="20"/>
        <v>1</v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>
        <f t="shared" ca="1" si="20"/>
        <v>1</v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>
        <f t="shared" ca="1" si="20"/>
        <v>1</v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>
        <f t="shared" ca="1" si="20"/>
        <v>1</v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>
        <f t="shared" ca="1" si="20"/>
        <v>1</v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>
        <f t="shared" ca="1" si="20"/>
        <v>1</v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>
        <f t="shared" ca="1" si="20"/>
        <v>1</v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>
        <f t="shared" ca="1" si="20"/>
        <v>1</v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>
        <f t="shared" ca="1" si="20"/>
        <v>1</v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>
        <f t="shared" ca="1" si="20"/>
        <v>1</v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>
        <f t="shared" ca="1" si="20"/>
        <v>1</v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>
        <f t="shared" ca="1" si="20"/>
        <v>1</v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>
        <f t="shared" ca="1" si="20"/>
        <v>1</v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>
        <f t="shared" ca="1" si="20"/>
        <v>1</v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>
        <f t="shared" ca="1" si="20"/>
        <v>1</v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>
        <f t="shared" ca="1" si="20"/>
        <v>1</v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>
        <f t="shared" ca="1" si="20"/>
        <v>1</v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>
        <f t="shared" ca="1" si="20"/>
        <v>1</v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>
        <f t="shared" ca="1" si="20"/>
        <v>1</v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>
        <f t="shared" ca="1" si="20"/>
        <v>1</v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>
        <f t="shared" ca="1" si="20"/>
        <v>1</v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>
        <f t="shared" ca="1" si="20"/>
        <v>1</v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>
        <f t="shared" ca="1" si="20"/>
        <v>1</v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>
        <f t="shared" ca="1" si="20"/>
        <v>1</v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>
        <f t="shared" ca="1" si="20"/>
        <v>1</v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>
        <f t="shared" ca="1" si="20"/>
        <v>1</v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>
        <f t="shared" ca="1" si="20"/>
        <v>1</v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>
        <f t="shared" ca="1" si="20"/>
        <v>1</v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>
        <f t="shared" ca="1" si="20"/>
        <v>1</v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>
        <f t="shared" ca="1" si="20"/>
        <v>1</v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>
        <f t="shared" ca="1" si="20"/>
        <v>1</v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>
        <f t="shared" ref="F461:F524" ca="1" si="23">IF(ISERROR(OFFSET($D$713,MATCH(A461,$F$714:$F$1320,0),0)),"",OFFSET($D$713,MATCH(A461,$F$714:$F$1320,0),0))</f>
        <v>1</v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>
        <f t="shared" ca="1" si="23"/>
        <v>1</v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>
        <f t="shared" ca="1" si="23"/>
        <v>1</v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>
        <f t="shared" ca="1" si="23"/>
        <v>1</v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>
        <f t="shared" ca="1" si="23"/>
        <v>1</v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>
        <f t="shared" ca="1" si="23"/>
        <v>1</v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>
        <f t="shared" ca="1" si="23"/>
        <v>1</v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>
        <f t="shared" ca="1" si="23"/>
        <v>1</v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>
        <f t="shared" ca="1" si="23"/>
        <v>1</v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>
        <f t="shared" ca="1" si="23"/>
        <v>1</v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>
        <f t="shared" ca="1" si="23"/>
        <v>1</v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>
        <f t="shared" ca="1" si="23"/>
        <v>1</v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>
        <f t="shared" ca="1" si="23"/>
        <v>1</v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>
        <f t="shared" ca="1" si="23"/>
        <v>1</v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>
        <f t="shared" ca="1" si="23"/>
        <v>1</v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>
        <f t="shared" ca="1" si="23"/>
        <v>1</v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>
        <f t="shared" ca="1" si="23"/>
        <v>1</v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>
        <f t="shared" ca="1" si="23"/>
        <v>1</v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>
        <f t="shared" ca="1" si="23"/>
        <v>1</v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Standart'!$F$14:$F$216,'RAB Standart'!$C$14:$C$216,C714)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Standart'!$F$14:$F$216,'RAB Standart'!$C$14:$C$216,C715)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Standart'!$F$14:$F$216,'RAB Standart'!$C$14:$C$216,C716)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Standart'!$F$14:$F$216,'RAB Standart'!$C$14:$C$216,C717)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Standart'!$F$14:$F$216,'RAB Standart'!$C$14:$C$216,C718)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Standart'!$F$14:$F$216,'RAB Standart'!$C$14:$C$216,C719)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Standart'!$F$14:$F$216,'RAB Standart'!$C$14:$C$216,C720)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Standart'!$F$14:$F$216,'RAB Standart'!$C$14:$C$216,C721)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Standart'!$F$14:$F$216,'RAB Standart'!$C$14:$C$216,C722)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Standart'!$F$14:$F$216,'RAB Standart'!$C$14:$C$216,C723)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Standart'!$F$14:$F$216,'RAB Standart'!$C$14:$C$216,C724)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Standart'!$F$14:$F$216,'RAB Standart'!$C$14:$C$216,C725)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Standart'!$F$14:$F$216,'RAB Standart'!$C$14:$C$216,C726)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Standart'!$F$14:$F$216,'RAB Standart'!$C$14:$C$216,C727)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Standart'!$F$14:$F$216,'RAB Standart'!$C$14:$C$216,C728)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Standart'!$F$14:$F$216,'RAB Standart'!$C$14:$C$216,C729)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Standart'!$F$14:$F$216,'RAB Standart'!$C$14:$C$216,C730)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Standart'!$F$14:$F$216,'RAB Standart'!$C$14:$C$216,C731)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Standart'!$F$14:$F$216,'RAB Standart'!$C$14:$C$216,C732)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Standart'!$F$14:$F$216,'RAB Standart'!$C$14:$C$216,C733)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Standart'!$F$14:$F$216,'RAB Standart'!$C$14:$C$216,C734)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Standart'!$F$14:$F$216,'RAB Standart'!$C$14:$C$216,C735)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Standart'!$F$14:$F$216,'RAB Standart'!$C$14:$C$216,C736)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Standart'!$F$14:$F$216,'RAB Standart'!$C$14:$C$216,C737)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Standart'!$F$14:$F$216,'RAB Standart'!$C$14:$C$216,C738)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Standart'!$F$14:$F$216,'RAB Standart'!$C$14:$C$216,C739)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Standart'!$F$14:$F$216,'RAB Standart'!$C$14:$C$216,C740)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Standart'!$F$14:$F$216,'RAB Standart'!$C$14:$C$216,C741)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Standart'!$F$14:$F$216,'RAB Standart'!$C$14:$C$216,C742)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Standart'!$F$14:$F$216,'RAB Standart'!$C$14:$C$216,C743)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Standart'!$F$14:$F$216,'RAB Standart'!$C$14:$C$216,C744)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Standart'!$F$14:$F$216,'RAB Standart'!$C$14:$C$216,C745)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Standart'!$F$14:$F$216,'RAB Standart'!$C$14:$C$216,C746)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Standart'!$F$14:$F$216,'RAB Standart'!$C$14:$C$216,C747)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Standart'!$F$14:$F$216,'RAB Standart'!$C$14:$C$216,C748)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Standart'!$F$14:$F$216,'RAB Standart'!$C$14:$C$216,C749)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Standart'!$F$14:$F$216,'RAB Standart'!$C$14:$C$216,C750)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Standart'!$F$14:$F$216,'RAB Standart'!$C$14:$C$216,C751)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Standart'!$F$14:$F$216,'RAB Standart'!$C$14:$C$216,C752)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Standart'!$F$14:$F$216,'RAB Standart'!$C$14:$C$216,C753)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Standart'!$F$14:$F$216,'RAB Standart'!$C$14:$C$216,C754)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Standart'!$F$14:$F$216,'RAB Standart'!$C$14:$C$216,C755)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Standart'!$F$14:$F$216,'RAB Standart'!$C$14:$C$216,C756)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Standart'!$F$14:$F$216,'RAB Standart'!$C$14:$C$216,C757)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Standart'!$F$14:$F$216,'RAB Standart'!$C$14:$C$216,C758)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Standart'!$F$14:$F$216,'RAB Standart'!$C$14:$C$216,C759)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Standart'!$F$14:$F$216,'RAB Standart'!$C$14:$C$216,C760)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Standart'!$F$14:$F$216,'RAB Standart'!$C$14:$C$216,C761)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Standart'!$F$14:$F$216,'RAB Standart'!$C$14:$C$216,C762)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Standart'!$F$14:$F$216,'RAB Standart'!$C$14:$C$216,C763)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Standart'!$F$14:$F$216,'RAB Standart'!$C$14:$C$216,C764)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Standart'!$F$14:$F$216,'RAB Standart'!$C$14:$C$216,C765)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Standart'!$F$14:$F$216,'RAB Standart'!$C$14:$C$216,C766)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Standart'!$F$14:$F$216,'RAB Standart'!$C$14:$C$216,C767)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Standart'!$F$14:$F$216,'RAB Standart'!$C$14:$C$216,C768)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Standart'!$F$14:$F$216,'RAB Standart'!$C$14:$C$216,C769)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Standart'!$F$14:$F$216,'RAB Standart'!$C$14:$C$216,C770)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Standart'!$F$14:$F$216,'RAB Standart'!$C$14:$C$216,C771)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Standart'!$F$14:$F$216,'RAB Standart'!$C$14:$C$216,C772)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Standart'!$F$14:$F$216,'RAB Standart'!$C$14:$C$216,C773)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Standart'!$F$14:$F$216,'RAB Standart'!$C$14:$C$216,C774)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Standart'!$F$14:$F$216,'RAB Standart'!$C$14:$C$216,C775)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Standart'!$F$14:$F$216,'RAB Standart'!$C$14:$C$216,C776)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Standart'!$F$14:$F$216,'RAB Standart'!$C$14:$C$216,C777)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Standart'!$F$14:$F$216,'RAB Standart'!$C$14:$C$216,C778)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Standart'!$F$14:$F$216,'RAB Standart'!$C$14:$C$216,C779)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Standart'!$F$14:$F$216,'RAB Standart'!$C$14:$C$216,C780)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Standart'!$F$14:$F$216,'RAB Standart'!$C$14:$C$216,C781)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Standart'!$F$14:$F$216,'RAB Standart'!$C$14:$C$216,C782)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Standart'!$F$14:$F$216,'RAB Standart'!$C$14:$C$216,C783)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Standart'!$F$14:$F$216,'RAB Standart'!$C$14:$C$216,C784)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Standart'!$F$14:$F$216,'RAB Standart'!$C$14:$C$216,C785)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Standart'!$F$14:$F$216,'RAB Standart'!$C$14:$C$216,C786)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Standart'!$F$14:$F$216,'RAB Standart'!$C$14:$C$216,C787)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Standart'!$F$14:$F$216,'RAB Standart'!$C$14:$C$216,C788)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Standart'!$F$14:$F$216,'RAB Standart'!$C$14:$C$216,C789)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Standart'!$F$14:$F$216,'RAB Standart'!$C$14:$C$216,C790)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Standart'!$F$14:$F$216,'RAB Standart'!$C$14:$C$216,C791)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Standart'!$F$14:$F$216,'RAB Standart'!$C$14:$C$216,C792)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Standart'!$F$14:$F$216,'RAB Standart'!$C$14:$C$216,C793)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Standart'!$F$14:$F$216,'RAB Standart'!$C$14:$C$216,C794)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Standart'!$F$14:$F$216,'RAB Standart'!$C$14:$C$216,C795)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Standart'!$F$14:$F$216,'RAB Standart'!$C$14:$C$216,C796)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Standart'!$F$14:$F$216,'RAB Standart'!$C$14:$C$216,C797)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Standart'!$F$14:$F$216,'RAB Standart'!$C$14:$C$216,C798)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Standart'!$F$14:$F$216,'RAB Standart'!$C$14:$C$216,C799)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Standart'!$F$14:$F$216,'RAB Standart'!$C$14:$C$216,C800)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Standart'!$F$14:$F$216,'RAB Standart'!$C$14:$C$216,C801)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Standart'!$F$14:$F$216,'RAB Standart'!$C$14:$C$216,C802)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Standart'!$F$14:$F$216,'RAB Standart'!$C$14:$C$216,C803)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Standart'!$F$14:$F$216,'RAB Standart'!$C$14:$C$216,C804)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Standart'!$F$14:$F$216,'RAB Standart'!$C$14:$C$216,C805)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Standart'!$F$14:$F$216,'RAB Standart'!$C$14:$C$216,C806)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Standart'!$F$14:$F$216,'RAB Standart'!$C$14:$C$216,C807)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Standart'!$F$14:$F$216,'RAB Standart'!$C$14:$C$216,C808)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Standart'!$F$14:$F$216,'RAB Standart'!$C$14:$C$216,C809)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Standart'!$F$14:$F$216,'RAB Standart'!$C$14:$C$216,C810)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Standart'!$F$14:$F$216,'RAB Standart'!$C$14:$C$216,C811)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Standart'!$F$14:$F$216,'RAB Standart'!$C$14:$C$216,C812)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Standart'!$F$14:$F$216,'RAB Standart'!$C$14:$C$216,C813)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Standart'!$F$14:$F$216,'RAB Standart'!$C$14:$C$216,C814)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Standart'!$F$14:$F$216,'RAB Standart'!$C$14:$C$216,C815)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Standart'!$F$14:$F$216,'RAB Standart'!$C$14:$C$216,C816)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Standart'!$F$14:$F$216,'RAB Standart'!$C$14:$C$216,C817)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Standart'!$F$14:$F$216,'RAB Standart'!$C$14:$C$216,C818)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Standart'!$F$14:$F$216,'RAB Standart'!$C$14:$C$216,C819)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SUMIFS('RAB Standart'!$F$14:$F$216,'RAB Standart'!$C$14:$C$216,C820)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SUMIFS('RAB Standart'!$F$14:$F$216,'RAB Standart'!$C$14:$C$216,C821)</f>
        <v>1</v>
      </c>
      <c r="E821" s="26">
        <f t="shared" ca="1" si="34"/>
        <v>1</v>
      </c>
      <c r="F821" s="26">
        <f ca="1">IF(D821=0,0,SUM($E$713:E821))</f>
        <v>8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SUMIFS('RAB Standart'!$F$14:$F$216,'RAB Standart'!$C$14:$C$216,C822)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SUMIFS('RAB Standart'!$F$14:$F$216,'RAB Standart'!$C$14:$C$216,C823)</f>
        <v>3</v>
      </c>
      <c r="E823" s="26">
        <f t="shared" ca="1" si="34"/>
        <v>1</v>
      </c>
      <c r="F823" s="26">
        <f ca="1">IF(D823=0,0,SUM($E$713:E823))</f>
        <v>9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SUMIFS('RAB Standart'!$F$14:$F$216,'RAB Standart'!$C$14:$C$216,C824)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SUMIFS('RAB Standart'!$F$14:$F$216,'RAB Standart'!$C$14:$C$216,C825)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SUMIFS('RAB Standart'!$F$14:$F$216,'RAB Standart'!$C$14:$C$216,C826)</f>
        <v>4</v>
      </c>
      <c r="E826" s="26">
        <f t="shared" ca="1" si="34"/>
        <v>1</v>
      </c>
      <c r="F826" s="26">
        <f ca="1">IF(D826=0,0,SUM($E$713:E826))</f>
        <v>10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SUMIFS('RAB Standart'!$F$14:$F$216,'RAB Standart'!$C$14:$C$216,C827)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SUMIFS('RAB Standart'!$F$14:$F$216,'RAB Standart'!$C$14:$C$216,C828)</f>
        <v>2</v>
      </c>
      <c r="E828" s="26">
        <f t="shared" ca="1" si="34"/>
        <v>1</v>
      </c>
      <c r="F828" s="26">
        <f ca="1">IF(D828=0,0,SUM($E$713:E828))</f>
        <v>11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SUMIFS('RAB Standart'!$F$14:$F$216,'RAB Standart'!$C$14:$C$216,C829)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SUMIFS('RAB Standart'!$F$14:$F$216,'RAB Standart'!$C$14:$C$216,C830)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SUMIFS('RAB Standart'!$F$14:$F$216,'RAB Standart'!$C$14:$C$216,C831)</f>
        <v>18</v>
      </c>
      <c r="E831" s="26">
        <f t="shared" ca="1" si="34"/>
        <v>1</v>
      </c>
      <c r="F831" s="26">
        <f ca="1">IF(D831=0,0,SUM($E$713:E831))</f>
        <v>12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SUMIFS('RAB Standart'!$F$14:$F$216,'RAB Standart'!$C$14:$C$216,C832)</f>
        <v>18</v>
      </c>
      <c r="E832" s="26">
        <f t="shared" ca="1" si="34"/>
        <v>1</v>
      </c>
      <c r="F832" s="26">
        <f ca="1">IF(D832=0,0,SUM($E$713:E832))</f>
        <v>13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SUMIFS('RAB Standart'!$F$14:$F$216,'RAB Standart'!$C$14:$C$216,C833)</f>
        <v>90</v>
      </c>
      <c r="E833" s="26">
        <f t="shared" ca="1" si="34"/>
        <v>1</v>
      </c>
      <c r="F833" s="26">
        <f ca="1">IF(D833=0,0,SUM($E$713:E833))</f>
        <v>14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SUMIFS('RAB Standart'!$F$14:$F$216,'RAB Standart'!$C$14:$C$216,C834)</f>
        <v>270</v>
      </c>
      <c r="E834" s="26">
        <f t="shared" ca="1" si="34"/>
        <v>1</v>
      </c>
      <c r="F834" s="26">
        <f ca="1">IF(D834=0,0,SUM($E$713:E834))</f>
        <v>15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SUMIFS('RAB Standart'!$F$14:$F$216,'RAB Standart'!$C$14:$C$216,C835)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SUMIFS('RAB Standart'!$F$14:$F$216,'RAB Standart'!$C$14:$C$216,C836)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SUMIFS('RAB Standart'!$F$14:$F$216,'RAB Standart'!$C$14:$C$216,C837)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SUMIFS('RAB Standart'!$F$14:$F$216,'RAB Standart'!$C$14:$C$216,C838)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SUMIFS('RAB Standart'!$F$14:$F$216,'RAB Standart'!$C$14:$C$216,C839)</f>
        <v>2</v>
      </c>
      <c r="E839" s="26">
        <f t="shared" ca="1" si="34"/>
        <v>1</v>
      </c>
      <c r="F839" s="26">
        <f ca="1">IF(D839=0,0,SUM($E$713:E839))</f>
        <v>16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SUMIFS('RAB Standart'!$F$14:$F$216,'RAB Standart'!$C$14:$C$216,C840)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SUMIFS('RAB Standart'!$F$14:$F$216,'RAB Standart'!$C$14:$C$216,C841)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SUMIFS('RAB Standart'!$F$14:$F$216,'RAB Standart'!$C$14:$C$216,C842)</f>
        <v>35</v>
      </c>
      <c r="E842" s="26">
        <f t="shared" ca="1" si="34"/>
        <v>1</v>
      </c>
      <c r="F842" s="26">
        <f ca="1">IF(D842=0,0,SUM($E$713:E842))</f>
        <v>17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SUMIFS('RAB Standart'!$F$14:$F$216,'RAB Standart'!$C$14:$C$216,C843)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SUMIFS('RAB Standart'!$F$14:$F$216,'RAB Standart'!$C$14:$C$216,C844)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SUMIFS('RAB Standart'!$F$14:$F$216,'RAB Standart'!$C$14:$C$216,C845)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SUMIFS('RAB Standart'!$F$14:$F$216,'RAB Standart'!$C$14:$C$216,C846)</f>
        <v>25</v>
      </c>
      <c r="E846" s="26">
        <f t="shared" ca="1" si="35"/>
        <v>1</v>
      </c>
      <c r="F846" s="26">
        <f ca="1">IF(D846=0,0,SUM($E$713:E846))</f>
        <v>18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SUMIFS('RAB Standart'!$F$14:$F$216,'RAB Standart'!$C$14:$C$216,C847)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SUMIFS('RAB Standart'!$F$14:$F$216,'RAB Standart'!$C$14:$C$216,C848)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SUMIFS('RAB Standart'!$F$14:$F$216,'RAB Standart'!$C$14:$C$216,C849)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SUMIFS('RAB Standart'!$F$14:$F$216,'RAB Standart'!$C$14:$C$216,C850)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SUMIFS('RAB Standart'!$F$14:$F$216,'RAB Standart'!$C$14:$C$216,C851)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SUMIFS('RAB Standart'!$F$14:$F$216,'RAB Standart'!$C$14:$C$216,C852)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SUMIFS('RAB Standart'!$F$14:$F$216,'RAB Standart'!$C$14:$C$216,C853)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SUMIFS('RAB Standart'!$F$14:$F$216,'RAB Standart'!$C$14:$C$216,C854)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SUMIFS('RAB Standart'!$F$14:$F$216,'RAB Standart'!$C$14:$C$216,C855)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SUMIFS('RAB Standart'!$F$14:$F$216,'RAB Standart'!$C$14:$C$216,C856)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SUMIFS('RAB Standart'!$F$14:$F$216,'RAB Standart'!$C$14:$C$216,C857)</f>
        <v>1</v>
      </c>
      <c r="E857" s="26">
        <f t="shared" ca="1" si="35"/>
        <v>1</v>
      </c>
      <c r="F857" s="26">
        <f ca="1">IF(D857=0,0,SUM($E$713:E857))</f>
        <v>19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SUMIFS('RAB Standart'!$F$14:$F$216,'RAB Standart'!$C$14:$C$216,C858)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SUMIFS('RAB Standart'!$F$14:$F$216,'RAB Standart'!$C$14:$C$216,C859)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SUMIFS('RAB Standart'!$F$14:$F$216,'RAB Standart'!$C$14:$C$216,C860)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SUMIFS('RAB Standart'!$F$14:$F$216,'RAB Standart'!$C$14:$C$216,C861)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SUMIFS('RAB Standart'!$F$14:$F$216,'RAB Standart'!$C$14:$C$216,C862)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SUMIFS('RAB Standart'!$F$14:$F$216,'RAB Standart'!$C$14:$C$216,C863)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SUMIFS('RAB Standart'!$F$14:$F$216,'RAB Standart'!$C$14:$C$216,C864)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SUMIFS('RAB Standart'!$F$14:$F$216,'RAB Standart'!$C$14:$C$216,C865)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SUMIFS('RAB Standart'!$F$14:$F$216,'RAB Standart'!$C$14:$C$216,C866)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SUMIFS('RAB Standart'!$F$14:$F$216,'RAB Standart'!$C$14:$C$216,C867)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SUMIFS('RAB Standart'!$F$14:$F$216,'RAB Standart'!$C$14:$C$216,C868)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SUMIFS('RAB Standart'!$F$14:$F$216,'RAB Standart'!$C$14:$C$216,C869)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SUMIFS('RAB Standart'!$F$14:$F$216,'RAB Standart'!$C$14:$C$216,C870)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SUMIFS('RAB Standart'!$F$14:$F$216,'RAB Standart'!$C$14:$C$216,C871)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Standart'!$F$14:$F$216,'RAB Standart'!$C$14:$C$216,C872)</f>
        <v>1</v>
      </c>
      <c r="E872" s="26">
        <f t="shared" ca="1" si="35"/>
        <v>1</v>
      </c>
      <c r="F872" s="26">
        <f ca="1">IF(D872=0,0,SUM($E$713:E872))</f>
        <v>20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Standart'!$F$14:$F$216,'RAB Standart'!$C$14:$C$216,C873)</f>
        <v>1</v>
      </c>
      <c r="E873" s="26">
        <f t="shared" ca="1" si="35"/>
        <v>1</v>
      </c>
      <c r="F873" s="26">
        <f ca="1">IF(D873=0,0,SUM($E$713:E873))</f>
        <v>21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Standart'!$F$14:$F$216,'RAB Standart'!$C$14:$C$216,C874)</f>
        <v>1</v>
      </c>
      <c r="E874" s="26">
        <f t="shared" ca="1" si="35"/>
        <v>1</v>
      </c>
      <c r="F874" s="26">
        <f ca="1">IF(D874=0,0,SUM($E$713:E874))</f>
        <v>22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Standart'!$F$14:$F$216,'RAB Standart'!$C$14:$C$216,C875)</f>
        <v>1</v>
      </c>
      <c r="E875" s="26">
        <f t="shared" ca="1" si="35"/>
        <v>1</v>
      </c>
      <c r="F875" s="26">
        <f ca="1">IF(D875=0,0,SUM($E$713:E875))</f>
        <v>23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Standart'!$F$14:$F$216,'RAB Standart'!$C$14:$C$216,C876)</f>
        <v>1</v>
      </c>
      <c r="E876" s="26">
        <f t="shared" ca="1" si="35"/>
        <v>1</v>
      </c>
      <c r="F876" s="26">
        <f ca="1">IF(D876=0,0,SUM($E$713:E876))</f>
        <v>24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Standart'!$F$14:$F$216,'RAB Standart'!$C$14:$C$216,C877)</f>
        <v>1</v>
      </c>
      <c r="E877" s="26">
        <f t="shared" ca="1" si="35"/>
        <v>1</v>
      </c>
      <c r="F877" s="26">
        <f ca="1">IF(D877=0,0,SUM($E$713:E877))</f>
        <v>25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Standart'!$F$14:$F$216,'RAB Standart'!$C$14:$C$216,C878)</f>
        <v>1</v>
      </c>
      <c r="E878" s="26">
        <f t="shared" ca="1" si="35"/>
        <v>1</v>
      </c>
      <c r="F878" s="26">
        <f ca="1">IF(D878=0,0,SUM($E$713:E878))</f>
        <v>26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Standart'!$F$14:$F$216,'RAB Standart'!$C$14:$C$216,C879)</f>
        <v>1</v>
      </c>
      <c r="E879" s="26">
        <f t="shared" ca="1" si="35"/>
        <v>1</v>
      </c>
      <c r="F879" s="26">
        <f ca="1">IF(D879=0,0,SUM($E$713:E879))</f>
        <v>27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Standart'!$F$14:$F$216,'RAB Standart'!$C$14:$C$216,C880)</f>
        <v>1</v>
      </c>
      <c r="E880" s="26">
        <f t="shared" ca="1" si="35"/>
        <v>1</v>
      </c>
      <c r="F880" s="26">
        <f ca="1">IF(D880=0,0,SUM($E$713:E880))</f>
        <v>28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Standart'!$F$14:$F$216,'RAB Standart'!$C$14:$C$216,C881)</f>
        <v>1</v>
      </c>
      <c r="E881" s="26">
        <f t="shared" ca="1" si="35"/>
        <v>1</v>
      </c>
      <c r="F881" s="26">
        <f ca="1">IF(D881=0,0,SUM($E$713:E881))</f>
        <v>29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Standart'!$F$14:$F$216,'RAB Standart'!$C$14:$C$216,C882)</f>
        <v>1</v>
      </c>
      <c r="E882" s="26">
        <f t="shared" ca="1" si="35"/>
        <v>1</v>
      </c>
      <c r="F882" s="26">
        <f ca="1">IF(D882=0,0,SUM($E$713:E882))</f>
        <v>30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Standart'!$F$14:$F$216,'RAB Standart'!$C$14:$C$216,C883)</f>
        <v>1</v>
      </c>
      <c r="E883" s="26">
        <f t="shared" ca="1" si="35"/>
        <v>1</v>
      </c>
      <c r="F883" s="26">
        <f ca="1">IF(D883=0,0,SUM($E$713:E883))</f>
        <v>31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Standart'!$F$14:$F$216,'RAB Standart'!$C$14:$C$216,C884)</f>
        <v>1</v>
      </c>
      <c r="E884" s="26">
        <f t="shared" ca="1" si="35"/>
        <v>1</v>
      </c>
      <c r="F884" s="26">
        <f ca="1">IF(D884=0,0,SUM($E$713:E884))</f>
        <v>32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Standart'!$F$14:$F$216,'RAB Standart'!$C$14:$C$216,C885)</f>
        <v>1</v>
      </c>
      <c r="E885" s="26">
        <f t="shared" ca="1" si="35"/>
        <v>1</v>
      </c>
      <c r="F885" s="26">
        <f ca="1">IF(D885=0,0,SUM($E$713:E885))</f>
        <v>33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Standart'!$F$14:$F$216,'RAB Standart'!$C$14:$C$216,C886)</f>
        <v>1</v>
      </c>
      <c r="E886" s="26">
        <f t="shared" ca="1" si="35"/>
        <v>1</v>
      </c>
      <c r="F886" s="26">
        <f ca="1">IF(D886=0,0,SUM($E$713:E886))</f>
        <v>34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Standart'!$F$14:$F$216,'RAB Standart'!$C$14:$C$216,C887)</f>
        <v>1</v>
      </c>
      <c r="E887" s="26">
        <f t="shared" ca="1" si="35"/>
        <v>1</v>
      </c>
      <c r="F887" s="26">
        <f ca="1">IF(D887=0,0,SUM($E$713:E887))</f>
        <v>35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Standart'!$F$14:$F$216,'RAB Standart'!$C$14:$C$216,C888)</f>
        <v>1</v>
      </c>
      <c r="E888" s="26">
        <f t="shared" ca="1" si="35"/>
        <v>1</v>
      </c>
      <c r="F888" s="26">
        <f ca="1">IF(D888=0,0,SUM($E$713:E888))</f>
        <v>36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Standart'!$F$14:$F$216,'RAB Standart'!$C$14:$C$216,C889)</f>
        <v>1</v>
      </c>
      <c r="E889" s="26">
        <f t="shared" ca="1" si="35"/>
        <v>1</v>
      </c>
      <c r="F889" s="26">
        <f ca="1">IF(D889=0,0,SUM($E$713:E889))</f>
        <v>37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Standart'!$F$14:$F$216,'RAB Standart'!$C$14:$C$216,C890)</f>
        <v>1</v>
      </c>
      <c r="E890" s="26">
        <f t="shared" ca="1" si="35"/>
        <v>1</v>
      </c>
      <c r="F890" s="26">
        <f ca="1">IF(D890=0,0,SUM($E$713:E890))</f>
        <v>38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Standart'!$F$14:$F$216,'RAB Standart'!$C$14:$C$216,C891)</f>
        <v>1</v>
      </c>
      <c r="E891" s="26">
        <f t="shared" ca="1" si="35"/>
        <v>1</v>
      </c>
      <c r="F891" s="26">
        <f ca="1">IF(D891=0,0,SUM($E$713:E891))</f>
        <v>39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Standart'!$F$14:$F$216,'RAB Standart'!$C$14:$C$216,C892)</f>
        <v>1</v>
      </c>
      <c r="E892" s="26">
        <f t="shared" ca="1" si="35"/>
        <v>1</v>
      </c>
      <c r="F892" s="26">
        <f ca="1">IF(D892=0,0,SUM($E$713:E892))</f>
        <v>40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Standart'!$F$14:$F$216,'RAB Standart'!$C$14:$C$216,C893)</f>
        <v>1</v>
      </c>
      <c r="E893" s="26">
        <f t="shared" ca="1" si="35"/>
        <v>1</v>
      </c>
      <c r="F893" s="26">
        <f ca="1">IF(D893=0,0,SUM($E$713:E893))</f>
        <v>41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Standart'!$F$14:$F$216,'RAB Standart'!$C$14:$C$216,C894)</f>
        <v>1</v>
      </c>
      <c r="E894" s="26">
        <f t="shared" ca="1" si="35"/>
        <v>1</v>
      </c>
      <c r="F894" s="26">
        <f ca="1">IF(D894=0,0,SUM($E$713:E894))</f>
        <v>42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Standart'!$F$14:$F$216,'RAB Standart'!$C$14:$C$216,C895)</f>
        <v>1</v>
      </c>
      <c r="E895" s="26">
        <f t="shared" ca="1" si="35"/>
        <v>1</v>
      </c>
      <c r="F895" s="26">
        <f ca="1">IF(D895=0,0,SUM($E$713:E895))</f>
        <v>43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Standart'!$F$14:$F$216,'RAB Standart'!$C$14:$C$216,C896)</f>
        <v>1</v>
      </c>
      <c r="E896" s="26">
        <f t="shared" ca="1" si="35"/>
        <v>1</v>
      </c>
      <c r="F896" s="26">
        <f ca="1">IF(D896=0,0,SUM($E$713:E896))</f>
        <v>44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Standart'!$F$14:$F$216,'RAB Standart'!$C$14:$C$216,C897)</f>
        <v>1</v>
      </c>
      <c r="E897" s="26">
        <f t="shared" ca="1" si="35"/>
        <v>1</v>
      </c>
      <c r="F897" s="26">
        <f ca="1">IF(D897=0,0,SUM($E$713:E897))</f>
        <v>45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Standart'!$F$14:$F$216,'RAB Standart'!$C$14:$C$216,C898)</f>
        <v>1</v>
      </c>
      <c r="E898" s="26">
        <f t="shared" ca="1" si="35"/>
        <v>1</v>
      </c>
      <c r="F898" s="26">
        <f ca="1">IF(D898=0,0,SUM($E$713:E898))</f>
        <v>46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Standart'!$F$14:$F$216,'RAB Standart'!$C$14:$C$216,C899)</f>
        <v>1</v>
      </c>
      <c r="E899" s="26">
        <f t="shared" ca="1" si="35"/>
        <v>1</v>
      </c>
      <c r="F899" s="26">
        <f ca="1">IF(D899=0,0,SUM($E$713:E899))</f>
        <v>47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Standart'!$F$14:$F$216,'RAB Standart'!$C$14:$C$216,C900)</f>
        <v>1</v>
      </c>
      <c r="E900" s="26">
        <f t="shared" ca="1" si="35"/>
        <v>1</v>
      </c>
      <c r="F900" s="26">
        <f ca="1">IF(D900=0,0,SUM($E$713:E900))</f>
        <v>48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Standart'!$F$14:$F$216,'RAB Standart'!$C$14:$C$216,C901)</f>
        <v>1</v>
      </c>
      <c r="E901" s="26">
        <f t="shared" ca="1" si="35"/>
        <v>1</v>
      </c>
      <c r="F901" s="26">
        <f ca="1">IF(D901=0,0,SUM($E$713:E901))</f>
        <v>49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Standart'!$F$14:$F$216,'RAB Standart'!$C$14:$C$216,C902)</f>
        <v>1</v>
      </c>
      <c r="E902" s="26">
        <f t="shared" ca="1" si="35"/>
        <v>1</v>
      </c>
      <c r="F902" s="26">
        <f ca="1">IF(D902=0,0,SUM($E$713:E902))</f>
        <v>50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Standart'!$F$14:$F$216,'RAB Standart'!$C$14:$C$216,C903)</f>
        <v>1</v>
      </c>
      <c r="E903" s="26">
        <f t="shared" ca="1" si="35"/>
        <v>1</v>
      </c>
      <c r="F903" s="26">
        <f ca="1">IF(D903=0,0,SUM($E$713:E903))</f>
        <v>51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Standart'!$F$14:$F$216,'RAB Standart'!$C$14:$C$216,C904)</f>
        <v>1</v>
      </c>
      <c r="E904" s="26">
        <f t="shared" ca="1" si="35"/>
        <v>1</v>
      </c>
      <c r="F904" s="26">
        <f ca="1">IF(D904=0,0,SUM($E$713:E904))</f>
        <v>52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Standart'!$F$14:$F$216,'RAB Standart'!$C$14:$C$216,C905)</f>
        <v>1</v>
      </c>
      <c r="E905" s="26">
        <f t="shared" ca="1" si="35"/>
        <v>1</v>
      </c>
      <c r="F905" s="26">
        <f ca="1">IF(D905=0,0,SUM($E$713:E905))</f>
        <v>53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Standart'!$F$14:$F$216,'RAB Standart'!$C$14:$C$216,C906)</f>
        <v>1</v>
      </c>
      <c r="E906" s="26">
        <f t="shared" ca="1" si="35"/>
        <v>1</v>
      </c>
      <c r="F906" s="26">
        <f ca="1">IF(D906=0,0,SUM($E$713:E906))</f>
        <v>54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Standart'!$F$14:$F$216,'RAB Standart'!$C$14:$C$216,C907)</f>
        <v>1</v>
      </c>
      <c r="E907" s="26">
        <f t="shared" ref="E907:E970" ca="1" si="36">IF(D907=0,0,1)</f>
        <v>1</v>
      </c>
      <c r="F907" s="26">
        <f ca="1">IF(D907=0,0,SUM($E$713:E907))</f>
        <v>55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Standart'!$F$14:$F$216,'RAB Standart'!$C$14:$C$216,C908)</f>
        <v>1</v>
      </c>
      <c r="E908" s="26">
        <f t="shared" ca="1" si="36"/>
        <v>1</v>
      </c>
      <c r="F908" s="26">
        <f ca="1">IF(D908=0,0,SUM($E$713:E908))</f>
        <v>56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Standart'!$F$14:$F$216,'RAB Standart'!$C$14:$C$216,C909)</f>
        <v>1</v>
      </c>
      <c r="E909" s="26">
        <f t="shared" ca="1" si="36"/>
        <v>1</v>
      </c>
      <c r="F909" s="26">
        <f ca="1">IF(D909=0,0,SUM($E$713:E909))</f>
        <v>57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Standart'!$F$14:$F$216,'RAB Standart'!$C$14:$C$216,C910)</f>
        <v>1</v>
      </c>
      <c r="E910" s="26">
        <f t="shared" ca="1" si="36"/>
        <v>1</v>
      </c>
      <c r="F910" s="26">
        <f ca="1">IF(D910=0,0,SUM($E$713:E910))</f>
        <v>58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Standart'!$F$14:$F$216,'RAB Standart'!$C$14:$C$216,C911)</f>
        <v>1</v>
      </c>
      <c r="E911" s="26">
        <f t="shared" ca="1" si="36"/>
        <v>1</v>
      </c>
      <c r="F911" s="26">
        <f ca="1">IF(D911=0,0,SUM($E$713:E911))</f>
        <v>59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Standart'!$F$14:$F$216,'RAB Standart'!$C$14:$C$216,C912)</f>
        <v>1</v>
      </c>
      <c r="E912" s="26">
        <f t="shared" ca="1" si="36"/>
        <v>1</v>
      </c>
      <c r="F912" s="26">
        <f ca="1">IF(D912=0,0,SUM($E$713:E912))</f>
        <v>60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Standart'!$F$14:$F$216,'RAB Standart'!$C$14:$C$216,C913)</f>
        <v>1</v>
      </c>
      <c r="E913" s="26">
        <f t="shared" ca="1" si="36"/>
        <v>1</v>
      </c>
      <c r="F913" s="26">
        <f ca="1">IF(D913=0,0,SUM($E$713:E913))</f>
        <v>61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Standart'!$F$14:$F$216,'RAB Standart'!$C$14:$C$216,C914)</f>
        <v>1</v>
      </c>
      <c r="E914" s="26">
        <f t="shared" ca="1" si="36"/>
        <v>1</v>
      </c>
      <c r="F914" s="26">
        <f ca="1">IF(D914=0,0,SUM($E$713:E914))</f>
        <v>62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Standart'!$F$14:$F$216,'RAB Standart'!$C$14:$C$216,C915)</f>
        <v>1</v>
      </c>
      <c r="E915" s="26">
        <f t="shared" ca="1" si="36"/>
        <v>1</v>
      </c>
      <c r="F915" s="26">
        <f ca="1">IF(D915=0,0,SUM($E$713:E915))</f>
        <v>63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Standart'!$F$14:$F$216,'RAB Standart'!$C$14:$C$216,C916)</f>
        <v>1</v>
      </c>
      <c r="E916" s="26">
        <f t="shared" ca="1" si="36"/>
        <v>1</v>
      </c>
      <c r="F916" s="26">
        <f ca="1">IF(D916=0,0,SUM($E$713:E916))</f>
        <v>64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Standart'!$F$14:$F$216,'RAB Standart'!$C$14:$C$216,C917)</f>
        <v>1</v>
      </c>
      <c r="E917" s="26">
        <f t="shared" ca="1" si="36"/>
        <v>1</v>
      </c>
      <c r="F917" s="26">
        <f ca="1">IF(D917=0,0,SUM($E$713:E917))</f>
        <v>65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Standart'!$F$14:$F$216,'RAB Standart'!$C$14:$C$216,C918)</f>
        <v>1</v>
      </c>
      <c r="E918" s="26">
        <f t="shared" ca="1" si="36"/>
        <v>1</v>
      </c>
      <c r="F918" s="26">
        <f ca="1">IF(D918=0,0,SUM($E$713:E918))</f>
        <v>66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Standart'!$F$14:$F$216,'RAB Standart'!$C$14:$C$216,C919)</f>
        <v>1</v>
      </c>
      <c r="E919" s="26">
        <f t="shared" ca="1" si="36"/>
        <v>1</v>
      </c>
      <c r="F919" s="26">
        <f ca="1">IF(D919=0,0,SUM($E$713:E919))</f>
        <v>67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Standart'!$F$14:$F$216,'RAB Standart'!$C$14:$C$216,C920)</f>
        <v>1</v>
      </c>
      <c r="E920" s="26">
        <f t="shared" ca="1" si="36"/>
        <v>1</v>
      </c>
      <c r="F920" s="26">
        <f ca="1">IF(D920=0,0,SUM($E$713:E920))</f>
        <v>68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Standart'!$F$14:$F$216,'RAB Standart'!$C$14:$C$216,C921)</f>
        <v>1</v>
      </c>
      <c r="E921" s="26">
        <f t="shared" ca="1" si="36"/>
        <v>1</v>
      </c>
      <c r="F921" s="26">
        <f ca="1">IF(D921=0,0,SUM($E$713:E921))</f>
        <v>69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Standart'!$F$14:$F$216,'RAB Standart'!$C$14:$C$216,C922)</f>
        <v>1</v>
      </c>
      <c r="E922" s="26">
        <f t="shared" ca="1" si="36"/>
        <v>1</v>
      </c>
      <c r="F922" s="26">
        <f ca="1">IF(D922=0,0,SUM($E$713:E922))</f>
        <v>70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Standart'!$F$14:$F$216,'RAB Standart'!$C$14:$C$216,C923)</f>
        <v>1</v>
      </c>
      <c r="E923" s="26">
        <f t="shared" ca="1" si="36"/>
        <v>1</v>
      </c>
      <c r="F923" s="26">
        <f ca="1">IF(D923=0,0,SUM($E$713:E923))</f>
        <v>71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Standart'!$F$14:$F$216,'RAB Standart'!$C$14:$C$216,C924)</f>
        <v>1</v>
      </c>
      <c r="E924" s="26">
        <f t="shared" ca="1" si="36"/>
        <v>1</v>
      </c>
      <c r="F924" s="26">
        <f ca="1">IF(D924=0,0,SUM($E$713:E924))</f>
        <v>72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Standart'!$F$14:$F$216,'RAB Standart'!$C$14:$C$216,C925)</f>
        <v>1</v>
      </c>
      <c r="E925" s="26">
        <f t="shared" ca="1" si="36"/>
        <v>1</v>
      </c>
      <c r="F925" s="26">
        <f ca="1">IF(D925=0,0,SUM($E$713:E925))</f>
        <v>73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Standart'!$F$14:$F$216,'RAB Standart'!$C$14:$C$216,C926)</f>
        <v>1</v>
      </c>
      <c r="E926" s="26">
        <f t="shared" ca="1" si="36"/>
        <v>1</v>
      </c>
      <c r="F926" s="26">
        <f ca="1">IF(D926=0,0,SUM($E$713:E926))</f>
        <v>74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Standart'!$F$14:$F$216,'RAB Standart'!$C$14:$C$216,C927)</f>
        <v>1</v>
      </c>
      <c r="E927" s="26">
        <f t="shared" ca="1" si="36"/>
        <v>1</v>
      </c>
      <c r="F927" s="26">
        <f ca="1">IF(D927=0,0,SUM($E$713:E927))</f>
        <v>75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Standart'!$F$14:$F$216,'RAB Standart'!$C$14:$C$216,C928)</f>
        <v>1</v>
      </c>
      <c r="E928" s="26">
        <f t="shared" ca="1" si="36"/>
        <v>1</v>
      </c>
      <c r="F928" s="26">
        <f ca="1">IF(D928=0,0,SUM($E$713:E928))</f>
        <v>76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Standart'!$F$14:$F$216,'RAB Standart'!$C$14:$C$216,C929)</f>
        <v>1</v>
      </c>
      <c r="E929" s="26">
        <f t="shared" ca="1" si="36"/>
        <v>1</v>
      </c>
      <c r="F929" s="26">
        <f ca="1">IF(D929=0,0,SUM($E$713:E929))</f>
        <v>77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Standart'!$F$14:$F$216,'RAB Standart'!$C$14:$C$216,C930)</f>
        <v>1</v>
      </c>
      <c r="E930" s="26">
        <f t="shared" ca="1" si="36"/>
        <v>1</v>
      </c>
      <c r="F930" s="26">
        <f ca="1">IF(D930=0,0,SUM($E$713:E930))</f>
        <v>78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Standart'!$F$14:$F$216,'RAB Standart'!$C$14:$C$216,C931)</f>
        <v>1</v>
      </c>
      <c r="E931" s="26">
        <f t="shared" ca="1" si="36"/>
        <v>1</v>
      </c>
      <c r="F931" s="26">
        <f ca="1">IF(D931=0,0,SUM($E$713:E931))</f>
        <v>79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Standart'!$F$14:$F$216,'RAB Standart'!$C$14:$C$216,C932)</f>
        <v>1</v>
      </c>
      <c r="E932" s="26">
        <f t="shared" ca="1" si="36"/>
        <v>1</v>
      </c>
      <c r="F932" s="26">
        <f ca="1">IF(D932=0,0,SUM($E$713:E932))</f>
        <v>80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Standart'!$F$14:$F$216,'RAB Standart'!$C$14:$C$216,C933)</f>
        <v>1</v>
      </c>
      <c r="E933" s="26">
        <f t="shared" ca="1" si="36"/>
        <v>1</v>
      </c>
      <c r="F933" s="26">
        <f ca="1">IF(D933=0,0,SUM($E$713:E933))</f>
        <v>81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Standart'!$F$14:$F$216,'RAB Standart'!$C$14:$C$216,C934)</f>
        <v>1</v>
      </c>
      <c r="E934" s="26">
        <f t="shared" ca="1" si="36"/>
        <v>1</v>
      </c>
      <c r="F934" s="26">
        <f ca="1">IF(D934=0,0,SUM($E$713:E934))</f>
        <v>82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Standart'!$F$14:$F$216,'RAB Standart'!$C$14:$C$216,C935)</f>
        <v>1</v>
      </c>
      <c r="E935" s="26">
        <f t="shared" ca="1" si="36"/>
        <v>1</v>
      </c>
      <c r="F935" s="26">
        <f ca="1">IF(D935=0,0,SUM($E$713:E935))</f>
        <v>83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Standart'!$F$14:$F$216,'RAB Standart'!$C$14:$C$216,C936)</f>
        <v>1</v>
      </c>
      <c r="E936" s="26">
        <f t="shared" ca="1" si="36"/>
        <v>1</v>
      </c>
      <c r="F936" s="26">
        <f ca="1">IF(D936=0,0,SUM($E$713:E936))</f>
        <v>84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Standart'!$F$14:$F$216,'RAB Standart'!$C$14:$C$216,C937)</f>
        <v>1</v>
      </c>
      <c r="E937" s="26">
        <f t="shared" ca="1" si="36"/>
        <v>1</v>
      </c>
      <c r="F937" s="26">
        <f ca="1">IF(D937=0,0,SUM($E$713:E937))</f>
        <v>85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Standart'!$F$14:$F$216,'RAB Standart'!$C$14:$C$216,C938)</f>
        <v>1</v>
      </c>
      <c r="E938" s="26">
        <f t="shared" ca="1" si="36"/>
        <v>1</v>
      </c>
      <c r="F938" s="26">
        <f ca="1">IF(D938=0,0,SUM($E$713:E938))</f>
        <v>86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Standart'!$F$14:$F$216,'RAB Standart'!$C$14:$C$216,C939)</f>
        <v>1</v>
      </c>
      <c r="E939" s="26">
        <f t="shared" ca="1" si="36"/>
        <v>1</v>
      </c>
      <c r="F939" s="26">
        <f ca="1">IF(D939=0,0,SUM($E$713:E939))</f>
        <v>87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Standart'!$F$14:$F$216,'RAB Standart'!$C$14:$C$216,C940)</f>
        <v>1</v>
      </c>
      <c r="E940" s="26">
        <f t="shared" ca="1" si="36"/>
        <v>1</v>
      </c>
      <c r="F940" s="26">
        <f ca="1">IF(D940=0,0,SUM($E$713:E940))</f>
        <v>88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Standart'!$F$14:$F$216,'RAB Standart'!$C$14:$C$216,C941)</f>
        <v>1</v>
      </c>
      <c r="E941" s="26">
        <f t="shared" ca="1" si="36"/>
        <v>1</v>
      </c>
      <c r="F941" s="26">
        <f ca="1">IF(D941=0,0,SUM($E$713:E941))</f>
        <v>89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Standart'!$F$14:$F$216,'RAB Standart'!$C$14:$C$216,C942)</f>
        <v>1</v>
      </c>
      <c r="E942" s="26">
        <f t="shared" ca="1" si="36"/>
        <v>1</v>
      </c>
      <c r="F942" s="26">
        <f ca="1">IF(D942=0,0,SUM($E$713:E942))</f>
        <v>90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Standart'!$F$14:$F$216,'RAB Standart'!$C$14:$C$216,C943)</f>
        <v>1</v>
      </c>
      <c r="E943" s="26">
        <f t="shared" ca="1" si="36"/>
        <v>1</v>
      </c>
      <c r="F943" s="26">
        <f ca="1">IF(D943=0,0,SUM($E$713:E943))</f>
        <v>91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Standart'!$F$14:$F$216,'RAB Standart'!$C$14:$C$216,C944)</f>
        <v>1</v>
      </c>
      <c r="E944" s="26">
        <f t="shared" ca="1" si="36"/>
        <v>1</v>
      </c>
      <c r="F944" s="26">
        <f ca="1">IF(D944=0,0,SUM($E$713:E944))</f>
        <v>92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Standart'!$F$14:$F$216,'RAB Standart'!$C$14:$C$216,C945)</f>
        <v>1</v>
      </c>
      <c r="E945" s="26">
        <f t="shared" ca="1" si="36"/>
        <v>1</v>
      </c>
      <c r="F945" s="26">
        <f ca="1">IF(D945=0,0,SUM($E$713:E945))</f>
        <v>93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Standart'!$F$14:$F$216,'RAB Standart'!$C$14:$C$216,C946)</f>
        <v>1</v>
      </c>
      <c r="E946" s="26">
        <f t="shared" ca="1" si="36"/>
        <v>1</v>
      </c>
      <c r="F946" s="26">
        <f ca="1">IF(D946=0,0,SUM($E$713:E946))</f>
        <v>94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Standart'!$F$14:$F$216,'RAB Standart'!$C$14:$C$216,C947)</f>
        <v>1</v>
      </c>
      <c r="E947" s="26">
        <f t="shared" ca="1" si="36"/>
        <v>1</v>
      </c>
      <c r="F947" s="26">
        <f ca="1">IF(D947=0,0,SUM($E$713:E947))</f>
        <v>95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Standart'!$F$14:$F$216,'RAB Standart'!$C$14:$C$216,C948)</f>
        <v>1</v>
      </c>
      <c r="E948" s="26">
        <f t="shared" ca="1" si="36"/>
        <v>1</v>
      </c>
      <c r="F948" s="26">
        <f ca="1">IF(D948=0,0,SUM($E$713:E948))</f>
        <v>96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Standart'!$F$14:$F$216,'RAB Standart'!$C$14:$C$216,C949)</f>
        <v>1</v>
      </c>
      <c r="E949" s="26">
        <f t="shared" ca="1" si="36"/>
        <v>1</v>
      </c>
      <c r="F949" s="26">
        <f ca="1">IF(D949=0,0,SUM($E$713:E949))</f>
        <v>97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Standart'!$F$14:$F$216,'RAB Standart'!$C$14:$C$216,C950)</f>
        <v>1</v>
      </c>
      <c r="E950" s="26">
        <f t="shared" ca="1" si="36"/>
        <v>1</v>
      </c>
      <c r="F950" s="26">
        <f ca="1">IF(D950=0,0,SUM($E$713:E950))</f>
        <v>98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Standart'!$F$14:$F$216,'RAB Standart'!$C$14:$C$216,C951)</f>
        <v>1</v>
      </c>
      <c r="E951" s="26">
        <f t="shared" ca="1" si="36"/>
        <v>1</v>
      </c>
      <c r="F951" s="26">
        <f ca="1">IF(D951=0,0,SUM($E$713:E951))</f>
        <v>99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Standart'!$F$14:$F$216,'RAB Standart'!$C$14:$C$216,C952)</f>
        <v>1</v>
      </c>
      <c r="E952" s="26">
        <f t="shared" ca="1" si="36"/>
        <v>1</v>
      </c>
      <c r="F952" s="26">
        <f ca="1">IF(D952=0,0,SUM($E$713:E952))</f>
        <v>100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Standart'!$F$14:$F$216,'RAB Standart'!$C$14:$C$216,C953)</f>
        <v>1</v>
      </c>
      <c r="E953" s="26">
        <f t="shared" ca="1" si="36"/>
        <v>1</v>
      </c>
      <c r="F953" s="26">
        <f ca="1">IF(D953=0,0,SUM($E$713:E953))</f>
        <v>101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Standart'!$F$14:$F$216,'RAB Standart'!$C$14:$C$216,C954)</f>
        <v>1</v>
      </c>
      <c r="E954" s="26">
        <f t="shared" ca="1" si="36"/>
        <v>1</v>
      </c>
      <c r="F954" s="26">
        <f ca="1">IF(D954=0,0,SUM($E$713:E954))</f>
        <v>102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Standart'!$F$14:$F$216,'RAB Standart'!$C$14:$C$216,C955)</f>
        <v>1</v>
      </c>
      <c r="E955" s="26">
        <f t="shared" ca="1" si="36"/>
        <v>1</v>
      </c>
      <c r="F955" s="26">
        <f ca="1">IF(D955=0,0,SUM($E$713:E955))</f>
        <v>103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Standart'!$F$14:$F$216,'RAB Standart'!$C$14:$C$216,C956)</f>
        <v>1</v>
      </c>
      <c r="E956" s="26">
        <f t="shared" ca="1" si="36"/>
        <v>1</v>
      </c>
      <c r="F956" s="26">
        <f ca="1">IF(D956=0,0,SUM($E$713:E956))</f>
        <v>104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Standart'!$F$14:$F$216,'RAB Standart'!$C$14:$C$216,C957)</f>
        <v>1</v>
      </c>
      <c r="E957" s="26">
        <f t="shared" ca="1" si="36"/>
        <v>1</v>
      </c>
      <c r="F957" s="26">
        <f ca="1">IF(D957=0,0,SUM($E$713:E957))</f>
        <v>105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Standart'!$F$14:$F$216,'RAB Standart'!$C$14:$C$216,C958)</f>
        <v>1</v>
      </c>
      <c r="E958" s="26">
        <f t="shared" ca="1" si="36"/>
        <v>1</v>
      </c>
      <c r="F958" s="26">
        <f ca="1">IF(D958=0,0,SUM($E$713:E958))</f>
        <v>106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Standart'!$F$14:$F$216,'RAB Standart'!$C$14:$C$216,C959)</f>
        <v>1</v>
      </c>
      <c r="E959" s="26">
        <f t="shared" ca="1" si="36"/>
        <v>1</v>
      </c>
      <c r="F959" s="26">
        <f ca="1">IF(D959=0,0,SUM($E$713:E959))</f>
        <v>107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Standart'!$F$14:$F$216,'RAB Standart'!$C$14:$C$216,C960)</f>
        <v>1</v>
      </c>
      <c r="E960" s="26">
        <f t="shared" ca="1" si="36"/>
        <v>1</v>
      </c>
      <c r="F960" s="26">
        <f ca="1">IF(D960=0,0,SUM($E$713:E960))</f>
        <v>108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Standart'!$F$14:$F$216,'RAB Standart'!$C$14:$C$216,C961)</f>
        <v>1</v>
      </c>
      <c r="E961" s="26">
        <f t="shared" ca="1" si="36"/>
        <v>1</v>
      </c>
      <c r="F961" s="26">
        <f ca="1">IF(D961=0,0,SUM($E$713:E961))</f>
        <v>109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Standart'!$F$14:$F$216,'RAB Standart'!$C$14:$C$216,C962)</f>
        <v>1</v>
      </c>
      <c r="E962" s="26">
        <f t="shared" ca="1" si="36"/>
        <v>1</v>
      </c>
      <c r="F962" s="26">
        <f ca="1">IF(D962=0,0,SUM($E$713:E962))</f>
        <v>110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Standart'!$F$14:$F$216,'RAB Standart'!$C$14:$C$216,C963)</f>
        <v>1</v>
      </c>
      <c r="E963" s="26">
        <f t="shared" ca="1" si="36"/>
        <v>1</v>
      </c>
      <c r="F963" s="26">
        <f ca="1">IF(D963=0,0,SUM($E$713:E963))</f>
        <v>111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Standart'!$F$14:$F$216,'RAB Standart'!$C$14:$C$216,C964)</f>
        <v>1</v>
      </c>
      <c r="E964" s="26">
        <f t="shared" ca="1" si="36"/>
        <v>1</v>
      </c>
      <c r="F964" s="26">
        <f ca="1">IF(D964=0,0,SUM($E$713:E964))</f>
        <v>112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Standart'!$F$14:$F$216,'RAB Standart'!$C$14:$C$216,C965)</f>
        <v>1</v>
      </c>
      <c r="E965" s="26">
        <f t="shared" ca="1" si="36"/>
        <v>1</v>
      </c>
      <c r="F965" s="26">
        <f ca="1">IF(D965=0,0,SUM($E$713:E965))</f>
        <v>113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Standart'!$F$14:$F$216,'RAB Standart'!$C$14:$C$216,C966)</f>
        <v>1</v>
      </c>
      <c r="E966" s="26">
        <f t="shared" ca="1" si="36"/>
        <v>1</v>
      </c>
      <c r="F966" s="26">
        <f ca="1">IF(D966=0,0,SUM($E$713:E966))</f>
        <v>114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Standart'!$F$14:$F$216,'RAB Standart'!$C$14:$C$216,C967)</f>
        <v>1</v>
      </c>
      <c r="E967" s="26">
        <f t="shared" ca="1" si="36"/>
        <v>1</v>
      </c>
      <c r="F967" s="26">
        <f ca="1">IF(D967=0,0,SUM($E$713:E967))</f>
        <v>115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Standart'!$F$14:$F$216,'RAB Standart'!$C$14:$C$216,C968)</f>
        <v>1</v>
      </c>
      <c r="E968" s="26">
        <f t="shared" ca="1" si="36"/>
        <v>1</v>
      </c>
      <c r="F968" s="26">
        <f ca="1">IF(D968=0,0,SUM($E$713:E968))</f>
        <v>116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Standart'!$F$14:$F$216,'RAB Standart'!$C$14:$C$216,C969)</f>
        <v>1</v>
      </c>
      <c r="E969" s="26">
        <f t="shared" ca="1" si="36"/>
        <v>1</v>
      </c>
      <c r="F969" s="26">
        <f ca="1">IF(D969=0,0,SUM($E$713:E969))</f>
        <v>117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Standart'!$F$14:$F$216,'RAB Standart'!$C$14:$C$216,C970)</f>
        <v>1</v>
      </c>
      <c r="E970" s="26">
        <f t="shared" ca="1" si="36"/>
        <v>1</v>
      </c>
      <c r="F970" s="26">
        <f ca="1">IF(D970=0,0,SUM($E$713:E970))</f>
        <v>118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Standart'!$F$14:$F$216,'RAB Standart'!$C$14:$C$216,C971)</f>
        <v>1</v>
      </c>
      <c r="E971" s="26">
        <f t="shared" ref="E971:E1034" ca="1" si="37">IF(D971=0,0,1)</f>
        <v>1</v>
      </c>
      <c r="F971" s="26">
        <f ca="1">IF(D971=0,0,SUM($E$713:E971))</f>
        <v>119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Standart'!$F$14:$F$216,'RAB Standart'!$C$14:$C$216,C972)</f>
        <v>1</v>
      </c>
      <c r="E972" s="26">
        <f t="shared" ca="1" si="37"/>
        <v>1</v>
      </c>
      <c r="F972" s="26">
        <f ca="1">IF(D972=0,0,SUM($E$713:E972))</f>
        <v>120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Standart'!$F$14:$F$216,'RAB Standart'!$C$14:$C$216,C973)</f>
        <v>1</v>
      </c>
      <c r="E973" s="26">
        <f t="shared" ca="1" si="37"/>
        <v>1</v>
      </c>
      <c r="F973" s="26">
        <f ca="1">IF(D973=0,0,SUM($E$713:E973))</f>
        <v>121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Standart'!$F$14:$F$216,'RAB Standart'!$C$14:$C$216,C974)</f>
        <v>1</v>
      </c>
      <c r="E974" s="26">
        <f t="shared" ca="1" si="37"/>
        <v>1</v>
      </c>
      <c r="F974" s="26">
        <f ca="1">IF(D974=0,0,SUM($E$713:E974))</f>
        <v>122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Standart'!$F$14:$F$216,'RAB Standart'!$C$14:$C$216,C975)</f>
        <v>1</v>
      </c>
      <c r="E975" s="26">
        <f t="shared" ca="1" si="37"/>
        <v>1</v>
      </c>
      <c r="F975" s="26">
        <f ca="1">IF(D975=0,0,SUM($E$713:E975))</f>
        <v>123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Standart'!$F$14:$F$216,'RAB Standart'!$C$14:$C$216,C976)</f>
        <v>1</v>
      </c>
      <c r="E976" s="26">
        <f t="shared" ca="1" si="37"/>
        <v>1</v>
      </c>
      <c r="F976" s="26">
        <f ca="1">IF(D976=0,0,SUM($E$713:E976))</f>
        <v>124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Standart'!$F$14:$F$216,'RAB Standart'!$C$14:$C$216,C977)</f>
        <v>1</v>
      </c>
      <c r="E977" s="26">
        <f t="shared" ca="1" si="37"/>
        <v>1</v>
      </c>
      <c r="F977" s="26">
        <f ca="1">IF(D977=0,0,SUM($E$713:E977))</f>
        <v>125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Standart'!$F$14:$F$216,'RAB Standart'!$C$14:$C$216,C978)</f>
        <v>1</v>
      </c>
      <c r="E978" s="26">
        <f t="shared" ca="1" si="37"/>
        <v>1</v>
      </c>
      <c r="F978" s="26">
        <f ca="1">IF(D978=0,0,SUM($E$713:E978))</f>
        <v>126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Standart'!$F$14:$F$216,'RAB Standart'!$C$14:$C$216,C979)</f>
        <v>1</v>
      </c>
      <c r="E979" s="26">
        <f t="shared" ca="1" si="37"/>
        <v>1</v>
      </c>
      <c r="F979" s="26">
        <f ca="1">IF(D979=0,0,SUM($E$713:E979))</f>
        <v>127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Standart'!$F$14:$F$216,'RAB Standart'!$C$14:$C$216,C980)</f>
        <v>1</v>
      </c>
      <c r="E980" s="26">
        <f t="shared" ca="1" si="37"/>
        <v>1</v>
      </c>
      <c r="F980" s="26">
        <f ca="1">IF(D980=0,0,SUM($E$713:E980))</f>
        <v>128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Standart'!$F$14:$F$216,'RAB Standart'!$C$14:$C$216,C981)</f>
        <v>1</v>
      </c>
      <c r="E981" s="26">
        <f t="shared" ca="1" si="37"/>
        <v>1</v>
      </c>
      <c r="F981" s="26">
        <f ca="1">IF(D981=0,0,SUM($E$713:E981))</f>
        <v>129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Standart'!$F$14:$F$216,'RAB Standart'!$C$14:$C$216,C982)</f>
        <v>1</v>
      </c>
      <c r="E982" s="26">
        <f t="shared" ca="1" si="37"/>
        <v>1</v>
      </c>
      <c r="F982" s="26">
        <f ca="1">IF(D982=0,0,SUM($E$713:E982))</f>
        <v>130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Standart'!$F$14:$F$216,'RAB Standart'!$C$14:$C$216,C983)</f>
        <v>1</v>
      </c>
      <c r="E983" s="26">
        <f t="shared" ca="1" si="37"/>
        <v>1</v>
      </c>
      <c r="F983" s="26">
        <f ca="1">IF(D983=0,0,SUM($E$713:E983))</f>
        <v>131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Standart'!$F$14:$F$216,'RAB Standart'!$C$14:$C$216,C984)</f>
        <v>1</v>
      </c>
      <c r="E984" s="26">
        <f t="shared" ca="1" si="37"/>
        <v>1</v>
      </c>
      <c r="F984" s="26">
        <f ca="1">IF(D984=0,0,SUM($E$713:E984))</f>
        <v>132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Standart'!$F$14:$F$216,'RAB Standart'!$C$14:$C$216,C985)</f>
        <v>1</v>
      </c>
      <c r="E985" s="26">
        <f t="shared" ca="1" si="37"/>
        <v>1</v>
      </c>
      <c r="F985" s="26">
        <f ca="1">IF(D985=0,0,SUM($E$713:E985))</f>
        <v>133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Standart'!$F$14:$F$216,'RAB Standart'!$C$14:$C$216,C986)</f>
        <v>1</v>
      </c>
      <c r="E986" s="26">
        <f t="shared" ca="1" si="37"/>
        <v>1</v>
      </c>
      <c r="F986" s="26">
        <f ca="1">IF(D986=0,0,SUM($E$713:E986))</f>
        <v>134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Standart'!$F$14:$F$216,'RAB Standart'!$C$14:$C$216,C987)</f>
        <v>1</v>
      </c>
      <c r="E987" s="26">
        <f t="shared" ca="1" si="37"/>
        <v>1</v>
      </c>
      <c r="F987" s="26">
        <f ca="1">IF(D987=0,0,SUM($E$713:E987))</f>
        <v>135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Standart'!$F$14:$F$216,'RAB Standart'!$C$14:$C$216,C988)</f>
        <v>1</v>
      </c>
      <c r="E988" s="26">
        <f t="shared" ca="1" si="37"/>
        <v>1</v>
      </c>
      <c r="F988" s="26">
        <f ca="1">IF(D988=0,0,SUM($E$713:E988))</f>
        <v>136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Standart'!$F$14:$F$216,'RAB Standart'!$C$14:$C$216,C989)</f>
        <v>1</v>
      </c>
      <c r="E989" s="26">
        <f t="shared" ca="1" si="37"/>
        <v>1</v>
      </c>
      <c r="F989" s="26">
        <f ca="1">IF(D989=0,0,SUM($E$713:E989))</f>
        <v>137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Standart'!$F$14:$F$216,'RAB Standart'!$C$14:$C$216,C990)</f>
        <v>1</v>
      </c>
      <c r="E990" s="26">
        <f t="shared" ca="1" si="37"/>
        <v>1</v>
      </c>
      <c r="F990" s="26">
        <f ca="1">IF(D990=0,0,SUM($E$713:E990))</f>
        <v>138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Standart'!$F$14:$F$216,'RAB Standart'!$C$14:$C$216,C991)</f>
        <v>1</v>
      </c>
      <c r="E991" s="26">
        <f t="shared" ca="1" si="37"/>
        <v>1</v>
      </c>
      <c r="F991" s="26">
        <f ca="1">IF(D991=0,0,SUM($E$713:E991))</f>
        <v>139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Standart'!$F$14:$F$216,'RAB Standart'!$C$14:$C$216,C992)</f>
        <v>1</v>
      </c>
      <c r="E992" s="26">
        <f t="shared" ca="1" si="37"/>
        <v>1</v>
      </c>
      <c r="F992" s="26">
        <f ca="1">IF(D992=0,0,SUM($E$713:E992))</f>
        <v>140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Standart'!$F$14:$F$216,'RAB Standart'!$C$14:$C$216,C993)</f>
        <v>1</v>
      </c>
      <c r="E993" s="26">
        <f t="shared" ca="1" si="37"/>
        <v>1</v>
      </c>
      <c r="F993" s="26">
        <f ca="1">IF(D993=0,0,SUM($E$713:E993))</f>
        <v>141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Standart'!$F$14:$F$216,'RAB Standart'!$C$14:$C$216,C994)</f>
        <v>1</v>
      </c>
      <c r="E994" s="26">
        <f t="shared" ca="1" si="37"/>
        <v>1</v>
      </c>
      <c r="F994" s="26">
        <f ca="1">IF(D994=0,0,SUM($E$713:E994))</f>
        <v>142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Standart'!$F$14:$F$216,'RAB Standart'!$C$14:$C$216,C995)</f>
        <v>1</v>
      </c>
      <c r="E995" s="26">
        <f t="shared" ca="1" si="37"/>
        <v>1</v>
      </c>
      <c r="F995" s="26">
        <f ca="1">IF(D995=0,0,SUM($E$713:E995))</f>
        <v>143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Standart'!$F$14:$F$216,'RAB Standart'!$C$14:$C$216,C996)</f>
        <v>1</v>
      </c>
      <c r="E996" s="26">
        <f t="shared" ca="1" si="37"/>
        <v>1</v>
      </c>
      <c r="F996" s="26">
        <f ca="1">IF(D996=0,0,SUM($E$713:E996))</f>
        <v>144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Standart'!$F$14:$F$216,'RAB Standart'!$C$14:$C$216,C997)</f>
        <v>1</v>
      </c>
      <c r="E997" s="26">
        <f t="shared" ca="1" si="37"/>
        <v>1</v>
      </c>
      <c r="F997" s="26">
        <f ca="1">IF(D997=0,0,SUM($E$713:E997))</f>
        <v>145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Standart'!$F$14:$F$216,'RAB Standart'!$C$14:$C$216,C998)</f>
        <v>1</v>
      </c>
      <c r="E998" s="26">
        <f t="shared" ca="1" si="37"/>
        <v>1</v>
      </c>
      <c r="F998" s="26">
        <f ca="1">IF(D998=0,0,SUM($E$713:E998))</f>
        <v>146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Standart'!$F$14:$F$216,'RAB Standart'!$C$14:$C$216,C999)</f>
        <v>1</v>
      </c>
      <c r="E999" s="26">
        <f t="shared" ca="1" si="37"/>
        <v>1</v>
      </c>
      <c r="F999" s="26">
        <f ca="1">IF(D999=0,0,SUM($E$713:E999))</f>
        <v>147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Standart'!$F$14:$F$216,'RAB Standart'!$C$14:$C$216,C1000)</f>
        <v>1</v>
      </c>
      <c r="E1000" s="26">
        <f t="shared" ca="1" si="37"/>
        <v>1</v>
      </c>
      <c r="F1000" s="26">
        <f ca="1">IF(D1000=0,0,SUM($E$713:E1000))</f>
        <v>148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Standart'!$F$14:$F$216,'RAB Standart'!$C$14:$C$216,C1001)</f>
        <v>1</v>
      </c>
      <c r="E1001" s="26">
        <f t="shared" ca="1" si="37"/>
        <v>1</v>
      </c>
      <c r="F1001" s="26">
        <f ca="1">IF(D1001=0,0,SUM($E$713:E1001))</f>
        <v>149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Standart'!$F$14:$F$216,'RAB Standart'!$C$14:$C$216,C1002)</f>
        <v>1</v>
      </c>
      <c r="E1002" s="26">
        <f t="shared" ca="1" si="37"/>
        <v>1</v>
      </c>
      <c r="F1002" s="26">
        <f ca="1">IF(D1002=0,0,SUM($E$713:E1002))</f>
        <v>150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Standart'!$F$14:$F$216,'RAB Standart'!$C$14:$C$216,C1003)</f>
        <v>1</v>
      </c>
      <c r="E1003" s="26">
        <f t="shared" ca="1" si="37"/>
        <v>1</v>
      </c>
      <c r="F1003" s="26">
        <f ca="1">IF(D1003=0,0,SUM($E$713:E1003))</f>
        <v>151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Standart'!$F$14:$F$216,'RAB Standart'!$C$14:$C$216,C1004)</f>
        <v>1</v>
      </c>
      <c r="E1004" s="26">
        <f t="shared" ca="1" si="37"/>
        <v>1</v>
      </c>
      <c r="F1004" s="26">
        <f ca="1">IF(D1004=0,0,SUM($E$713:E1004))</f>
        <v>152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Standart'!$F$14:$F$216,'RAB Standart'!$C$14:$C$216,C1005)</f>
        <v>1</v>
      </c>
      <c r="E1005" s="26">
        <f t="shared" ca="1" si="37"/>
        <v>1</v>
      </c>
      <c r="F1005" s="26">
        <f ca="1">IF(D1005=0,0,SUM($E$713:E1005))</f>
        <v>153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Standart'!$F$14:$F$216,'RAB Standart'!$C$14:$C$216,C1006)</f>
        <v>1</v>
      </c>
      <c r="E1006" s="26">
        <f t="shared" ca="1" si="37"/>
        <v>1</v>
      </c>
      <c r="F1006" s="26">
        <f ca="1">IF(D1006=0,0,SUM($E$713:E1006))</f>
        <v>154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Standart'!$F$14:$F$216,'RAB Standart'!$C$14:$C$216,C1007)</f>
        <v>1</v>
      </c>
      <c r="E1007" s="26">
        <f t="shared" ca="1" si="37"/>
        <v>1</v>
      </c>
      <c r="F1007" s="26">
        <f ca="1">IF(D1007=0,0,SUM($E$713:E1007))</f>
        <v>155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Standart'!$F$14:$F$216,'RAB Standart'!$C$14:$C$216,C1008)</f>
        <v>1</v>
      </c>
      <c r="E1008" s="26">
        <f t="shared" ca="1" si="37"/>
        <v>1</v>
      </c>
      <c r="F1008" s="26">
        <f ca="1">IF(D1008=0,0,SUM($E$713:E1008))</f>
        <v>156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Standart'!$F$14:$F$216,'RAB Standart'!$C$14:$C$216,C1009)</f>
        <v>1</v>
      </c>
      <c r="E1009" s="26">
        <f t="shared" ca="1" si="37"/>
        <v>1</v>
      </c>
      <c r="F1009" s="26">
        <f ca="1">IF(D1009=0,0,SUM($E$713:E1009))</f>
        <v>157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Standart'!$F$14:$F$216,'RAB Standart'!$C$14:$C$216,C1010)</f>
        <v>1</v>
      </c>
      <c r="E1010" s="26">
        <f t="shared" ca="1" si="37"/>
        <v>1</v>
      </c>
      <c r="F1010" s="26">
        <f ca="1">IF(D1010=0,0,SUM($E$713:E1010))</f>
        <v>158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Standart'!$F$14:$F$216,'RAB Standart'!$C$14:$C$216,C1011)</f>
        <v>1</v>
      </c>
      <c r="E1011" s="26">
        <f t="shared" ca="1" si="37"/>
        <v>1</v>
      </c>
      <c r="F1011" s="26">
        <f ca="1">IF(D1011=0,0,SUM($E$713:E1011))</f>
        <v>159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Standart'!$F$14:$F$216,'RAB Standart'!$C$14:$C$216,C1012)</f>
        <v>1</v>
      </c>
      <c r="E1012" s="26">
        <f t="shared" ca="1" si="37"/>
        <v>1</v>
      </c>
      <c r="F1012" s="26">
        <f ca="1">IF(D1012=0,0,SUM($E$713:E1012))</f>
        <v>160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Standart'!$F$14:$F$216,'RAB Standart'!$C$14:$C$216,C1013)</f>
        <v>1</v>
      </c>
      <c r="E1013" s="26">
        <f t="shared" ca="1" si="37"/>
        <v>1</v>
      </c>
      <c r="F1013" s="26">
        <f ca="1">IF(D1013=0,0,SUM($E$713:E1013))</f>
        <v>161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Standart'!$F$14:$F$216,'RAB Standart'!$C$14:$C$216,C1014)</f>
        <v>1</v>
      </c>
      <c r="E1014" s="26">
        <f t="shared" ca="1" si="37"/>
        <v>1</v>
      </c>
      <c r="F1014" s="26">
        <f ca="1">IF(D1014=0,0,SUM($E$713:E1014))</f>
        <v>162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Standart'!$F$14:$F$216,'RAB Standart'!$C$14:$C$216,C1015)</f>
        <v>1</v>
      </c>
      <c r="E1015" s="26">
        <f t="shared" ca="1" si="37"/>
        <v>1</v>
      </c>
      <c r="F1015" s="26">
        <f ca="1">IF(D1015=0,0,SUM($E$713:E1015))</f>
        <v>163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Standart'!$F$14:$F$216,'RAB Standart'!$C$14:$C$216,C1016)</f>
        <v>1</v>
      </c>
      <c r="E1016" s="26">
        <f t="shared" ca="1" si="37"/>
        <v>1</v>
      </c>
      <c r="F1016" s="26">
        <f ca="1">IF(D1016=0,0,SUM($E$713:E1016))</f>
        <v>164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Standart'!$F$14:$F$216,'RAB Standart'!$C$14:$C$216,C1017)</f>
        <v>1</v>
      </c>
      <c r="E1017" s="26">
        <f t="shared" ca="1" si="37"/>
        <v>1</v>
      </c>
      <c r="F1017" s="26">
        <f ca="1">IF(D1017=0,0,SUM($E$713:E1017))</f>
        <v>165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Standart'!$F$14:$F$216,'RAB Standart'!$C$14:$C$216,C1018)</f>
        <v>1</v>
      </c>
      <c r="E1018" s="26">
        <f t="shared" ca="1" si="37"/>
        <v>1</v>
      </c>
      <c r="F1018" s="26">
        <f ca="1">IF(D1018=0,0,SUM($E$713:E1018))</f>
        <v>166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Standart'!$F$14:$F$216,'RAB Standart'!$C$14:$C$216,C1019)</f>
        <v>1</v>
      </c>
      <c r="E1019" s="26">
        <f t="shared" ca="1" si="37"/>
        <v>1</v>
      </c>
      <c r="F1019" s="26">
        <f ca="1">IF(D1019=0,0,SUM($E$713:E1019))</f>
        <v>167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Standart'!$F$14:$F$216,'RAB Standart'!$C$14:$C$216,C1020)</f>
        <v>1</v>
      </c>
      <c r="E1020" s="26">
        <f t="shared" ca="1" si="37"/>
        <v>1</v>
      </c>
      <c r="F1020" s="26">
        <f ca="1">IF(D1020=0,0,SUM($E$713:E1020))</f>
        <v>168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Standart'!$F$14:$F$216,'RAB Standart'!$C$14:$C$216,C1021)</f>
        <v>1</v>
      </c>
      <c r="E1021" s="26">
        <f t="shared" ca="1" si="37"/>
        <v>1</v>
      </c>
      <c r="F1021" s="26">
        <f ca="1">IF(D1021=0,0,SUM($E$713:E1021))</f>
        <v>169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Standart'!$F$14:$F$216,'RAB Standart'!$C$14:$C$216,C1022)</f>
        <v>1</v>
      </c>
      <c r="E1022" s="26">
        <f t="shared" ca="1" si="37"/>
        <v>1</v>
      </c>
      <c r="F1022" s="26">
        <f ca="1">IF(D1022=0,0,SUM($E$713:E1022))</f>
        <v>170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Standart'!$F$14:$F$216,'RAB Standart'!$C$14:$C$216,C1023)</f>
        <v>1</v>
      </c>
      <c r="E1023" s="26">
        <f t="shared" ca="1" si="37"/>
        <v>1</v>
      </c>
      <c r="F1023" s="26">
        <f ca="1">IF(D1023=0,0,SUM($E$713:E1023))</f>
        <v>171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Standart'!$F$14:$F$216,'RAB Standart'!$C$14:$C$216,C1024)</f>
        <v>1</v>
      </c>
      <c r="E1024" s="26">
        <f t="shared" ca="1" si="37"/>
        <v>1</v>
      </c>
      <c r="F1024" s="26">
        <f ca="1">IF(D1024=0,0,SUM($E$713:E1024))</f>
        <v>172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Standart'!$F$14:$F$216,'RAB Standart'!$C$14:$C$216,C1025)</f>
        <v>1</v>
      </c>
      <c r="E1025" s="26">
        <f t="shared" ca="1" si="37"/>
        <v>1</v>
      </c>
      <c r="F1025" s="26">
        <f ca="1">IF(D1025=0,0,SUM($E$713:E1025))</f>
        <v>173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Standart'!$F$14:$F$216,'RAB Standart'!$C$14:$C$216,C1026)</f>
        <v>1</v>
      </c>
      <c r="E1026" s="26">
        <f t="shared" ca="1" si="37"/>
        <v>1</v>
      </c>
      <c r="F1026" s="26">
        <f ca="1">IF(D1026=0,0,SUM($E$713:E1026))</f>
        <v>174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Standart'!$F$14:$F$216,'RAB Standart'!$C$14:$C$216,C1027)</f>
        <v>1</v>
      </c>
      <c r="E1027" s="26">
        <f t="shared" ca="1" si="37"/>
        <v>1</v>
      </c>
      <c r="F1027" s="26">
        <f ca="1">IF(D1027=0,0,SUM($E$713:E1027))</f>
        <v>175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Standart'!$F$14:$F$216,'RAB Standart'!$C$14:$C$216,C1028)</f>
        <v>1</v>
      </c>
      <c r="E1028" s="26">
        <f t="shared" ca="1" si="37"/>
        <v>1</v>
      </c>
      <c r="F1028" s="26">
        <f ca="1">IF(D1028=0,0,SUM($E$713:E1028))</f>
        <v>176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Standart'!$F$14:$F$216,'RAB Standart'!$C$14:$C$216,C1029)</f>
        <v>1</v>
      </c>
      <c r="E1029" s="26">
        <f t="shared" ca="1" si="37"/>
        <v>1</v>
      </c>
      <c r="F1029" s="26">
        <f ca="1">IF(D1029=0,0,SUM($E$713:E1029))</f>
        <v>177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Standart'!$F$14:$F$216,'RAB Standart'!$C$14:$C$216,C1030)</f>
        <v>1</v>
      </c>
      <c r="E1030" s="26">
        <f t="shared" ca="1" si="37"/>
        <v>1</v>
      </c>
      <c r="F1030" s="26">
        <f ca="1">IF(D1030=0,0,SUM($E$713:E1030))</f>
        <v>178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Standart'!$F$14:$F$216,'RAB Standart'!$C$14:$C$216,C1031)</f>
        <v>1</v>
      </c>
      <c r="E1031" s="26">
        <f t="shared" ca="1" si="37"/>
        <v>1</v>
      </c>
      <c r="F1031" s="26">
        <f ca="1">IF(D1031=0,0,SUM($E$713:E1031))</f>
        <v>179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Standart'!$F$14:$F$216,'RAB Standart'!$C$14:$C$216,C1032)</f>
        <v>1</v>
      </c>
      <c r="E1032" s="26">
        <f t="shared" ca="1" si="37"/>
        <v>1</v>
      </c>
      <c r="F1032" s="26">
        <f ca="1">IF(D1032=0,0,SUM($E$713:E1032))</f>
        <v>180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Standart'!$F$14:$F$216,'RAB Standart'!$C$14:$C$216,C1033)</f>
        <v>1</v>
      </c>
      <c r="E1033" s="26">
        <f t="shared" ca="1" si="37"/>
        <v>1</v>
      </c>
      <c r="F1033" s="26">
        <f ca="1">IF(D1033=0,0,SUM($E$713:E1033))</f>
        <v>181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Standart'!$F$14:$F$216,'RAB Standart'!$C$14:$C$216,C1034)</f>
        <v>1</v>
      </c>
      <c r="E1034" s="26">
        <f t="shared" ca="1" si="37"/>
        <v>1</v>
      </c>
      <c r="F1034" s="26">
        <f ca="1">IF(D1034=0,0,SUM($E$713:E1034))</f>
        <v>182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Standart'!$F$14:$F$216,'RAB Standart'!$C$14:$C$216,C1035)</f>
        <v>1</v>
      </c>
      <c r="E1035" s="26">
        <f t="shared" ref="E1035:E1098" ca="1" si="38">IF(D1035=0,0,1)</f>
        <v>1</v>
      </c>
      <c r="F1035" s="26">
        <f ca="1">IF(D1035=0,0,SUM($E$713:E1035))</f>
        <v>183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Standart'!$F$14:$F$216,'RAB Standart'!$C$14:$C$216,C1036)</f>
        <v>1</v>
      </c>
      <c r="E1036" s="26">
        <f t="shared" ca="1" si="38"/>
        <v>1</v>
      </c>
      <c r="F1036" s="26">
        <f ca="1">IF(D1036=0,0,SUM($E$713:E1036))</f>
        <v>184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Standart'!$F$14:$F$216,'RAB Standart'!$C$14:$C$216,C1037)</f>
        <v>1</v>
      </c>
      <c r="E1037" s="26">
        <f t="shared" ca="1" si="38"/>
        <v>1</v>
      </c>
      <c r="F1037" s="26">
        <f ca="1">IF(D1037=0,0,SUM($E$713:E1037))</f>
        <v>185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Standart'!$F$14:$F$216,'RAB Standart'!$C$14:$C$216,C1038)</f>
        <v>1</v>
      </c>
      <c r="E1038" s="26">
        <f t="shared" ca="1" si="38"/>
        <v>1</v>
      </c>
      <c r="F1038" s="26">
        <f ca="1">IF(D1038=0,0,SUM($E$713:E1038))</f>
        <v>186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Standart'!$F$14:$F$216,'RAB Standart'!$C$14:$C$216,C1039)</f>
        <v>1</v>
      </c>
      <c r="E1039" s="26">
        <f t="shared" ca="1" si="38"/>
        <v>1</v>
      </c>
      <c r="F1039" s="26">
        <f ca="1">IF(D1039=0,0,SUM($E$713:E1039))</f>
        <v>187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Standart'!$F$14:$F$216,'RAB Standart'!$C$14:$C$216,C1040)</f>
        <v>1</v>
      </c>
      <c r="E1040" s="26">
        <f t="shared" ca="1" si="38"/>
        <v>1</v>
      </c>
      <c r="F1040" s="26">
        <f ca="1">IF(D1040=0,0,SUM($E$713:E1040))</f>
        <v>188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Standart'!$F$14:$F$216,'RAB Standart'!$C$14:$C$216,C1041)</f>
        <v>1</v>
      </c>
      <c r="E1041" s="26">
        <f t="shared" ca="1" si="38"/>
        <v>1</v>
      </c>
      <c r="F1041" s="26">
        <f ca="1">IF(D1041=0,0,SUM($E$713:E1041))</f>
        <v>189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Standart'!$F$14:$F$216,'RAB Standart'!$C$14:$C$216,C1042)</f>
        <v>1</v>
      </c>
      <c r="E1042" s="26">
        <f t="shared" ca="1" si="38"/>
        <v>1</v>
      </c>
      <c r="F1042" s="26">
        <f ca="1">IF(D1042=0,0,SUM($E$713:E1042))</f>
        <v>190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Standart'!$F$14:$F$216,'RAB Standart'!$C$14:$C$216,C1043)</f>
        <v>1</v>
      </c>
      <c r="E1043" s="26">
        <f t="shared" ca="1" si="38"/>
        <v>1</v>
      </c>
      <c r="F1043" s="26">
        <f ca="1">IF(D1043=0,0,SUM($E$713:E1043))</f>
        <v>191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Standart'!$F$14:$F$216,'RAB Standart'!$C$14:$C$216,C1044)</f>
        <v>1</v>
      </c>
      <c r="E1044" s="26">
        <f t="shared" ca="1" si="38"/>
        <v>1</v>
      </c>
      <c r="F1044" s="26">
        <f ca="1">IF(D1044=0,0,SUM($E$713:E1044))</f>
        <v>192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Standart'!$F$14:$F$216,'RAB Standart'!$C$14:$C$216,C1045)</f>
        <v>1</v>
      </c>
      <c r="E1045" s="26">
        <f t="shared" ca="1" si="38"/>
        <v>1</v>
      </c>
      <c r="F1045" s="26">
        <f ca="1">IF(D1045=0,0,SUM($E$713:E1045))</f>
        <v>193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Standart'!$F$14:$F$216,'RAB Standart'!$C$14:$C$216,C1046)</f>
        <v>1</v>
      </c>
      <c r="E1046" s="26">
        <f t="shared" ca="1" si="38"/>
        <v>1</v>
      </c>
      <c r="F1046" s="26">
        <f ca="1">IF(D1046=0,0,SUM($E$713:E1046))</f>
        <v>194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Standart'!$F$14:$F$216,'RAB Standart'!$C$14:$C$216,C1047)</f>
        <v>1</v>
      </c>
      <c r="E1047" s="26">
        <f t="shared" ca="1" si="38"/>
        <v>1</v>
      </c>
      <c r="F1047" s="26">
        <f ca="1">IF(D1047=0,0,SUM($E$713:E1047))</f>
        <v>195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Standart'!$F$14:$F$216,'RAB Standart'!$C$14:$C$216,C1048)</f>
        <v>1</v>
      </c>
      <c r="E1048" s="26">
        <f t="shared" ca="1" si="38"/>
        <v>1</v>
      </c>
      <c r="F1048" s="26">
        <f ca="1">IF(D1048=0,0,SUM($E$713:E1048))</f>
        <v>196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Standart'!$F$14:$F$216,'RAB Standart'!$C$14:$C$216,C1049)</f>
        <v>1</v>
      </c>
      <c r="E1049" s="26">
        <f t="shared" ca="1" si="38"/>
        <v>1</v>
      </c>
      <c r="F1049" s="26">
        <f ca="1">IF(D1049=0,0,SUM($E$713:E1049))</f>
        <v>197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Standart'!$F$14:$F$216,'RAB Standart'!$C$14:$C$216,C1050)</f>
        <v>1</v>
      </c>
      <c r="E1050" s="26">
        <f t="shared" ca="1" si="38"/>
        <v>1</v>
      </c>
      <c r="F1050" s="26">
        <f ca="1">IF(D1050=0,0,SUM($E$713:E1050))</f>
        <v>198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Standart'!$F$14:$F$216,'RAB Standart'!$C$14:$C$216,C1051)</f>
        <v>1</v>
      </c>
      <c r="E1051" s="26">
        <f t="shared" ca="1" si="38"/>
        <v>1</v>
      </c>
      <c r="F1051" s="26">
        <f ca="1">IF(D1051=0,0,SUM($E$713:E1051))</f>
        <v>199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Standart'!$F$14:$F$216,'RAB Standart'!$C$14:$C$216,C1052)</f>
        <v>1</v>
      </c>
      <c r="E1052" s="26">
        <f t="shared" ca="1" si="38"/>
        <v>1</v>
      </c>
      <c r="F1052" s="26">
        <f ca="1">IF(D1052=0,0,SUM($E$713:E1052))</f>
        <v>200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Standart'!$F$14:$F$216,'RAB Standart'!$C$14:$C$216,C1053)</f>
        <v>1</v>
      </c>
      <c r="E1053" s="26">
        <f t="shared" ca="1" si="38"/>
        <v>1</v>
      </c>
      <c r="F1053" s="26">
        <f ca="1">IF(D1053=0,0,SUM($E$713:E1053))</f>
        <v>201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Standart'!$F$14:$F$216,'RAB Standart'!$C$14:$C$216,C1054)</f>
        <v>1</v>
      </c>
      <c r="E1054" s="26">
        <f t="shared" ca="1" si="38"/>
        <v>1</v>
      </c>
      <c r="F1054" s="26">
        <f ca="1">IF(D1054=0,0,SUM($E$713:E1054))</f>
        <v>202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Standart'!$F$14:$F$216,'RAB Standart'!$C$14:$C$216,C1055)</f>
        <v>1</v>
      </c>
      <c r="E1055" s="26">
        <f t="shared" ca="1" si="38"/>
        <v>1</v>
      </c>
      <c r="F1055" s="26">
        <f ca="1">IF(D1055=0,0,SUM($E$713:E1055))</f>
        <v>203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Standart'!$F$14:$F$216,'RAB Standart'!$C$14:$C$216,C1056)</f>
        <v>1</v>
      </c>
      <c r="E1056" s="26">
        <f t="shared" ca="1" si="38"/>
        <v>1</v>
      </c>
      <c r="F1056" s="26">
        <f ca="1">IF(D1056=0,0,SUM($E$713:E1056))</f>
        <v>204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Standart'!$F$14:$F$216,'RAB Standart'!$C$14:$C$216,C1057)</f>
        <v>1</v>
      </c>
      <c r="E1057" s="26">
        <f t="shared" ca="1" si="38"/>
        <v>1</v>
      </c>
      <c r="F1057" s="26">
        <f ca="1">IF(D1057=0,0,SUM($E$713:E1057))</f>
        <v>205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Standart'!$F$14:$F$216,'RAB Standart'!$C$14:$C$216,C1058)</f>
        <v>1</v>
      </c>
      <c r="E1058" s="26">
        <f t="shared" ca="1" si="38"/>
        <v>1</v>
      </c>
      <c r="F1058" s="26">
        <f ca="1">IF(D1058=0,0,SUM($E$713:E1058))</f>
        <v>206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Standart'!$F$14:$F$216,'RAB Standart'!$C$14:$C$216,C1059)</f>
        <v>1</v>
      </c>
      <c r="E1059" s="26">
        <f t="shared" ca="1" si="38"/>
        <v>1</v>
      </c>
      <c r="F1059" s="26">
        <f ca="1">IF(D1059=0,0,SUM($E$713:E1059))</f>
        <v>207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Standart'!$F$14:$F$216,'RAB Standart'!$C$14:$C$216,C1060)</f>
        <v>1</v>
      </c>
      <c r="E1060" s="26">
        <f t="shared" ca="1" si="38"/>
        <v>1</v>
      </c>
      <c r="F1060" s="26">
        <f ca="1">IF(D1060=0,0,SUM($E$713:E1060))</f>
        <v>208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Standart'!$F$14:$F$216,'RAB Standart'!$C$14:$C$216,C1061)</f>
        <v>1</v>
      </c>
      <c r="E1061" s="26">
        <f t="shared" ca="1" si="38"/>
        <v>1</v>
      </c>
      <c r="F1061" s="26">
        <f ca="1">IF(D1061=0,0,SUM($E$713:E1061))</f>
        <v>209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Standart'!$F$14:$F$216,'RAB Standart'!$C$14:$C$216,C1062)</f>
        <v>1</v>
      </c>
      <c r="E1062" s="26">
        <f t="shared" ca="1" si="38"/>
        <v>1</v>
      </c>
      <c r="F1062" s="26">
        <f ca="1">IF(D1062=0,0,SUM($E$713:E1062))</f>
        <v>210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Standart'!$F$14:$F$216,'RAB Standart'!$C$14:$C$216,C1063)</f>
        <v>1</v>
      </c>
      <c r="E1063" s="26">
        <f t="shared" ca="1" si="38"/>
        <v>1</v>
      </c>
      <c r="F1063" s="26">
        <f ca="1">IF(D1063=0,0,SUM($E$713:E1063))</f>
        <v>211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Standart'!$F$14:$F$216,'RAB Standart'!$C$14:$C$216,C1064)</f>
        <v>1</v>
      </c>
      <c r="E1064" s="26">
        <f t="shared" ca="1" si="38"/>
        <v>1</v>
      </c>
      <c r="F1064" s="26">
        <f ca="1">IF(D1064=0,0,SUM($E$713:E1064))</f>
        <v>212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Standart'!$F$14:$F$216,'RAB Standart'!$C$14:$C$216,C1065)</f>
        <v>1</v>
      </c>
      <c r="E1065" s="26">
        <f t="shared" ca="1" si="38"/>
        <v>1</v>
      </c>
      <c r="F1065" s="26">
        <f ca="1">IF(D1065=0,0,SUM($E$713:E1065))</f>
        <v>213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Standart'!$F$14:$F$216,'RAB Standart'!$C$14:$C$216,C1066)</f>
        <v>1</v>
      </c>
      <c r="E1066" s="26">
        <f t="shared" ca="1" si="38"/>
        <v>1</v>
      </c>
      <c r="F1066" s="26">
        <f ca="1">IF(D1066=0,0,SUM($E$713:E1066))</f>
        <v>214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Standart'!$F$14:$F$216,'RAB Standart'!$C$14:$C$216,C1067)</f>
        <v>1</v>
      </c>
      <c r="E1067" s="26">
        <f t="shared" ca="1" si="38"/>
        <v>1</v>
      </c>
      <c r="F1067" s="26">
        <f ca="1">IF(D1067=0,0,SUM($E$713:E1067))</f>
        <v>215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Standart'!$F$14:$F$216,'RAB Standart'!$C$14:$C$216,C1068)</f>
        <v>1</v>
      </c>
      <c r="E1068" s="26">
        <f t="shared" ca="1" si="38"/>
        <v>1</v>
      </c>
      <c r="F1068" s="26">
        <f ca="1">IF(D1068=0,0,SUM($E$713:E1068))</f>
        <v>216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Standart'!$F$14:$F$216,'RAB Standart'!$C$14:$C$216,C1069)</f>
        <v>1</v>
      </c>
      <c r="E1069" s="26">
        <f t="shared" ca="1" si="38"/>
        <v>1</v>
      </c>
      <c r="F1069" s="26">
        <f ca="1">IF(D1069=0,0,SUM($E$713:E1069))</f>
        <v>217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Standart'!$F$14:$F$216,'RAB Standart'!$C$14:$C$216,C1070)</f>
        <v>1</v>
      </c>
      <c r="E1070" s="26">
        <f t="shared" ca="1" si="38"/>
        <v>1</v>
      </c>
      <c r="F1070" s="26">
        <f ca="1">IF(D1070=0,0,SUM($E$713:E1070))</f>
        <v>218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Standart'!$F$14:$F$216,'RAB Standart'!$C$14:$C$216,C1071)</f>
        <v>1</v>
      </c>
      <c r="E1071" s="26">
        <f t="shared" ca="1" si="38"/>
        <v>1</v>
      </c>
      <c r="F1071" s="26">
        <f ca="1">IF(D1071=0,0,SUM($E$713:E1071))</f>
        <v>219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Standart'!$F$14:$F$216,'RAB Standart'!$C$14:$C$216,C1072)</f>
        <v>1</v>
      </c>
      <c r="E1072" s="26">
        <f t="shared" ca="1" si="38"/>
        <v>1</v>
      </c>
      <c r="F1072" s="26">
        <f ca="1">IF(D1072=0,0,SUM($E$713:E1072))</f>
        <v>220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Standart'!$F$14:$F$216,'RAB Standart'!$C$14:$C$216,C1073)</f>
        <v>1</v>
      </c>
      <c r="E1073" s="26">
        <f t="shared" ca="1" si="38"/>
        <v>1</v>
      </c>
      <c r="F1073" s="26">
        <f ca="1">IF(D1073=0,0,SUM($E$713:E1073))</f>
        <v>221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Standart'!$F$14:$F$216,'RAB Standart'!$C$14:$C$216,C1074)</f>
        <v>1</v>
      </c>
      <c r="E1074" s="26">
        <f t="shared" ca="1" si="38"/>
        <v>1</v>
      </c>
      <c r="F1074" s="26">
        <f ca="1">IF(D1074=0,0,SUM($E$713:E1074))</f>
        <v>222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Standart'!$F$14:$F$216,'RAB Standart'!$C$14:$C$216,C1075)</f>
        <v>1</v>
      </c>
      <c r="E1075" s="26">
        <f t="shared" ca="1" si="38"/>
        <v>1</v>
      </c>
      <c r="F1075" s="26">
        <f ca="1">IF(D1075=0,0,SUM($E$713:E1075))</f>
        <v>223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Standart'!$F$14:$F$216,'RAB Standart'!$C$14:$C$216,C1076)</f>
        <v>1</v>
      </c>
      <c r="E1076" s="26">
        <f t="shared" ca="1" si="38"/>
        <v>1</v>
      </c>
      <c r="F1076" s="26">
        <f ca="1">IF(D1076=0,0,SUM($E$713:E1076))</f>
        <v>224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Standart'!$F$14:$F$216,'RAB Standart'!$C$14:$C$216,C1077)</f>
        <v>1</v>
      </c>
      <c r="E1077" s="26">
        <f t="shared" ca="1" si="38"/>
        <v>1</v>
      </c>
      <c r="F1077" s="26">
        <f ca="1">IF(D1077=0,0,SUM($E$713:E1077))</f>
        <v>225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Standart'!$F$14:$F$216,'RAB Standart'!$C$14:$C$216,C1078)</f>
        <v>1</v>
      </c>
      <c r="E1078" s="26">
        <f t="shared" ca="1" si="38"/>
        <v>1</v>
      </c>
      <c r="F1078" s="26">
        <f ca="1">IF(D1078=0,0,SUM($E$713:E1078))</f>
        <v>226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Standart'!$F$14:$F$216,'RAB Standart'!$C$14:$C$216,C1079)</f>
        <v>1</v>
      </c>
      <c r="E1079" s="26">
        <f t="shared" ca="1" si="38"/>
        <v>1</v>
      </c>
      <c r="F1079" s="26">
        <f ca="1">IF(D1079=0,0,SUM($E$713:E1079))</f>
        <v>227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Standart'!$F$14:$F$216,'RAB Standart'!$C$14:$C$216,C1080)</f>
        <v>1</v>
      </c>
      <c r="E1080" s="26">
        <f t="shared" ca="1" si="38"/>
        <v>1</v>
      </c>
      <c r="F1080" s="26">
        <f ca="1">IF(D1080=0,0,SUM($E$713:E1080))</f>
        <v>228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Standart'!$F$14:$F$216,'RAB Standart'!$C$14:$C$216,C1081)</f>
        <v>1</v>
      </c>
      <c r="E1081" s="26">
        <f t="shared" ca="1" si="38"/>
        <v>1</v>
      </c>
      <c r="F1081" s="26">
        <f ca="1">IF(D1081=0,0,SUM($E$713:E1081))</f>
        <v>229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Standart'!$F$14:$F$216,'RAB Standart'!$C$14:$C$216,C1082)</f>
        <v>1</v>
      </c>
      <c r="E1082" s="26">
        <f t="shared" ca="1" si="38"/>
        <v>1</v>
      </c>
      <c r="F1082" s="26">
        <f ca="1">IF(D1082=0,0,SUM($E$713:E1082))</f>
        <v>230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Standart'!$F$14:$F$216,'RAB Standart'!$C$14:$C$216,C1083)</f>
        <v>1</v>
      </c>
      <c r="E1083" s="26">
        <f t="shared" ca="1" si="38"/>
        <v>1</v>
      </c>
      <c r="F1083" s="26">
        <f ca="1">IF(D1083=0,0,SUM($E$713:E1083))</f>
        <v>231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Standart'!$F$14:$F$216,'RAB Standart'!$C$14:$C$216,C1084)</f>
        <v>1</v>
      </c>
      <c r="E1084" s="26">
        <f t="shared" ca="1" si="38"/>
        <v>1</v>
      </c>
      <c r="F1084" s="26">
        <f ca="1">IF(D1084=0,0,SUM($E$713:E1084))</f>
        <v>232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Standart'!$F$14:$F$216,'RAB Standart'!$C$14:$C$216,C1085)</f>
        <v>1</v>
      </c>
      <c r="E1085" s="26">
        <f t="shared" ca="1" si="38"/>
        <v>1</v>
      </c>
      <c r="F1085" s="26">
        <f ca="1">IF(D1085=0,0,SUM($E$713:E1085))</f>
        <v>233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Standart'!$F$14:$F$216,'RAB Standart'!$C$14:$C$216,C1086)</f>
        <v>1</v>
      </c>
      <c r="E1086" s="26">
        <f t="shared" ca="1" si="38"/>
        <v>1</v>
      </c>
      <c r="F1086" s="26">
        <f ca="1">IF(D1086=0,0,SUM($E$713:E1086))</f>
        <v>234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Standart'!$F$14:$F$216,'RAB Standart'!$C$14:$C$216,C1087)</f>
        <v>1</v>
      </c>
      <c r="E1087" s="26">
        <f t="shared" ca="1" si="38"/>
        <v>1</v>
      </c>
      <c r="F1087" s="26">
        <f ca="1">IF(D1087=0,0,SUM($E$713:E1087))</f>
        <v>235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Standart'!$F$14:$F$216,'RAB Standart'!$C$14:$C$216,C1088)</f>
        <v>1</v>
      </c>
      <c r="E1088" s="26">
        <f t="shared" ca="1" si="38"/>
        <v>1</v>
      </c>
      <c r="F1088" s="26">
        <f ca="1">IF(D1088=0,0,SUM($E$713:E1088))</f>
        <v>236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Standart'!$F$14:$F$216,'RAB Standart'!$C$14:$C$216,C1089)</f>
        <v>1</v>
      </c>
      <c r="E1089" s="26">
        <f t="shared" ca="1" si="38"/>
        <v>1</v>
      </c>
      <c r="F1089" s="26">
        <f ca="1">IF(D1089=0,0,SUM($E$713:E1089))</f>
        <v>237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Standart'!$F$14:$F$216,'RAB Standart'!$C$14:$C$216,C1090)</f>
        <v>1</v>
      </c>
      <c r="E1090" s="26">
        <f t="shared" ca="1" si="38"/>
        <v>1</v>
      </c>
      <c r="F1090" s="26">
        <f ca="1">IF(D1090=0,0,SUM($E$713:E1090))</f>
        <v>238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Standart'!$F$14:$F$216,'RAB Standart'!$C$14:$C$216,C1091)</f>
        <v>1</v>
      </c>
      <c r="E1091" s="26">
        <f t="shared" ca="1" si="38"/>
        <v>1</v>
      </c>
      <c r="F1091" s="26">
        <f ca="1">IF(D1091=0,0,SUM($E$713:E1091))</f>
        <v>239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Standart'!$F$14:$F$216,'RAB Standart'!$C$14:$C$216,C1092)</f>
        <v>1</v>
      </c>
      <c r="E1092" s="26">
        <f t="shared" ca="1" si="38"/>
        <v>1</v>
      </c>
      <c r="F1092" s="26">
        <f ca="1">IF(D1092=0,0,SUM($E$713:E1092))</f>
        <v>240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Standart'!$F$14:$F$216,'RAB Standart'!$C$14:$C$216,C1093)</f>
        <v>1</v>
      </c>
      <c r="E1093" s="26">
        <f t="shared" ca="1" si="38"/>
        <v>1</v>
      </c>
      <c r="F1093" s="26">
        <f ca="1">IF(D1093=0,0,SUM($E$713:E1093))</f>
        <v>241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Standart'!$F$14:$F$216,'RAB Standart'!$C$14:$C$216,C1094)</f>
        <v>1</v>
      </c>
      <c r="E1094" s="26">
        <f t="shared" ca="1" si="38"/>
        <v>1</v>
      </c>
      <c r="F1094" s="26">
        <f ca="1">IF(D1094=0,0,SUM($E$713:E1094))</f>
        <v>242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Standart'!$F$14:$F$216,'RAB Standart'!$C$14:$C$216,C1095)</f>
        <v>1</v>
      </c>
      <c r="E1095" s="26">
        <f t="shared" ca="1" si="38"/>
        <v>1</v>
      </c>
      <c r="F1095" s="26">
        <f ca="1">IF(D1095=0,0,SUM($E$713:E1095))</f>
        <v>243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Standart'!$F$14:$F$216,'RAB Standart'!$C$14:$C$216,C1096)</f>
        <v>1</v>
      </c>
      <c r="E1096" s="26">
        <f t="shared" ca="1" si="38"/>
        <v>1</v>
      </c>
      <c r="F1096" s="26">
        <f ca="1">IF(D1096=0,0,SUM($E$713:E1096))</f>
        <v>244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Standart'!$F$14:$F$216,'RAB Standart'!$C$14:$C$216,C1097)</f>
        <v>1</v>
      </c>
      <c r="E1097" s="26">
        <f t="shared" ca="1" si="38"/>
        <v>1</v>
      </c>
      <c r="F1097" s="26">
        <f ca="1">IF(D1097=0,0,SUM($E$713:E1097))</f>
        <v>245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Standart'!$F$14:$F$216,'RAB Standart'!$C$14:$C$216,C1098)</f>
        <v>1</v>
      </c>
      <c r="E1098" s="26">
        <f t="shared" ca="1" si="38"/>
        <v>1</v>
      </c>
      <c r="F1098" s="26">
        <f ca="1">IF(D1098=0,0,SUM($E$713:E1098))</f>
        <v>246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Standart'!$F$14:$F$216,'RAB Standart'!$C$14:$C$216,C1099)</f>
        <v>1</v>
      </c>
      <c r="E1099" s="26">
        <f t="shared" ref="E1099:E1162" ca="1" si="39">IF(D1099=0,0,1)</f>
        <v>1</v>
      </c>
      <c r="F1099" s="26">
        <f ca="1">IF(D1099=0,0,SUM($E$713:E1099))</f>
        <v>247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Standart'!$F$14:$F$216,'RAB Standart'!$C$14:$C$216,C1100)</f>
        <v>1</v>
      </c>
      <c r="E1100" s="26">
        <f t="shared" ca="1" si="39"/>
        <v>1</v>
      </c>
      <c r="F1100" s="26">
        <f ca="1">IF(D1100=0,0,SUM($E$713:E1100))</f>
        <v>248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Standart'!$F$14:$F$216,'RAB Standart'!$C$14:$C$216,C1101)</f>
        <v>1</v>
      </c>
      <c r="E1101" s="26">
        <f t="shared" ca="1" si="39"/>
        <v>1</v>
      </c>
      <c r="F1101" s="26">
        <f ca="1">IF(D1101=0,0,SUM($E$713:E1101))</f>
        <v>249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Standart'!$F$14:$F$216,'RAB Standart'!$C$14:$C$216,C1102)</f>
        <v>1</v>
      </c>
      <c r="E1102" s="26">
        <f t="shared" ca="1" si="39"/>
        <v>1</v>
      </c>
      <c r="F1102" s="26">
        <f ca="1">IF(D1102=0,0,SUM($E$713:E1102))</f>
        <v>250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Standart'!$F$14:$F$216,'RAB Standart'!$C$14:$C$216,C1103)</f>
        <v>1</v>
      </c>
      <c r="E1103" s="26">
        <f t="shared" ca="1" si="39"/>
        <v>1</v>
      </c>
      <c r="F1103" s="26">
        <f ca="1">IF(D1103=0,0,SUM($E$713:E1103))</f>
        <v>251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Standart'!$F$14:$F$216,'RAB Standart'!$C$14:$C$216,C1104)</f>
        <v>1</v>
      </c>
      <c r="E1104" s="26">
        <f t="shared" ca="1" si="39"/>
        <v>1</v>
      </c>
      <c r="F1104" s="26">
        <f ca="1">IF(D1104=0,0,SUM($E$713:E1104))</f>
        <v>252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Standart'!$F$14:$F$216,'RAB Standart'!$C$14:$C$216,C1105)</f>
        <v>1</v>
      </c>
      <c r="E1105" s="26">
        <f t="shared" ca="1" si="39"/>
        <v>1</v>
      </c>
      <c r="F1105" s="26">
        <f ca="1">IF(D1105=0,0,SUM($E$713:E1105))</f>
        <v>253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Standart'!$F$14:$F$216,'RAB Standart'!$C$14:$C$216,C1106)</f>
        <v>1</v>
      </c>
      <c r="E1106" s="26">
        <f t="shared" ca="1" si="39"/>
        <v>1</v>
      </c>
      <c r="F1106" s="26">
        <f ca="1">IF(D1106=0,0,SUM($E$713:E1106))</f>
        <v>254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Standart'!$F$14:$F$216,'RAB Standart'!$C$14:$C$216,C1107)</f>
        <v>1</v>
      </c>
      <c r="E1107" s="26">
        <f t="shared" ca="1" si="39"/>
        <v>1</v>
      </c>
      <c r="F1107" s="26">
        <f ca="1">IF(D1107=0,0,SUM($E$713:E1107))</f>
        <v>255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Standart'!$F$14:$F$216,'RAB Standart'!$C$14:$C$216,C1108)</f>
        <v>1</v>
      </c>
      <c r="E1108" s="26">
        <f t="shared" ca="1" si="39"/>
        <v>1</v>
      </c>
      <c r="F1108" s="26">
        <f ca="1">IF(D1108=0,0,SUM($E$713:E1108))</f>
        <v>256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Standart'!$F$14:$F$216,'RAB Standart'!$C$14:$C$216,C1109)</f>
        <v>1</v>
      </c>
      <c r="E1109" s="26">
        <f t="shared" ca="1" si="39"/>
        <v>1</v>
      </c>
      <c r="F1109" s="26">
        <f ca="1">IF(D1109=0,0,SUM($E$713:E1109))</f>
        <v>257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Standart'!$F$14:$F$216,'RAB Standart'!$C$14:$C$216,C1110)</f>
        <v>1</v>
      </c>
      <c r="E1110" s="26">
        <f t="shared" ca="1" si="39"/>
        <v>1</v>
      </c>
      <c r="F1110" s="26">
        <f ca="1">IF(D1110=0,0,SUM($E$713:E1110))</f>
        <v>258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Standart'!$F$14:$F$216,'RAB Standart'!$C$14:$C$216,C1111)</f>
        <v>1</v>
      </c>
      <c r="E1111" s="26">
        <f t="shared" ca="1" si="39"/>
        <v>1</v>
      </c>
      <c r="F1111" s="26">
        <f ca="1">IF(D1111=0,0,SUM($E$713:E1111))</f>
        <v>259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Standart'!$F$14:$F$216,'RAB Standart'!$C$14:$C$216,C1112)</f>
        <v>1</v>
      </c>
      <c r="E1112" s="26">
        <f t="shared" ca="1" si="39"/>
        <v>1</v>
      </c>
      <c r="F1112" s="26">
        <f ca="1">IF(D1112=0,0,SUM($E$713:E1112))</f>
        <v>260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Standart'!$F$14:$F$216,'RAB Standart'!$C$14:$C$216,C1113)</f>
        <v>1</v>
      </c>
      <c r="E1113" s="26">
        <f t="shared" ca="1" si="39"/>
        <v>1</v>
      </c>
      <c r="F1113" s="26">
        <f ca="1">IF(D1113=0,0,SUM($E$713:E1113))</f>
        <v>261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Standart'!$F$14:$F$216,'RAB Standart'!$C$14:$C$216,C1114)</f>
        <v>1</v>
      </c>
      <c r="E1114" s="26">
        <f t="shared" ca="1" si="39"/>
        <v>1</v>
      </c>
      <c r="F1114" s="26">
        <f ca="1">IF(D1114=0,0,SUM($E$713:E1114))</f>
        <v>262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Standart'!$F$14:$F$216,'RAB Standart'!$C$14:$C$216,C1115)</f>
        <v>1</v>
      </c>
      <c r="E1115" s="26">
        <f t="shared" ca="1" si="39"/>
        <v>1</v>
      </c>
      <c r="F1115" s="26">
        <f ca="1">IF(D1115=0,0,SUM($E$713:E1115))</f>
        <v>263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Standart'!$F$14:$F$216,'RAB Standart'!$C$14:$C$216,C1116)</f>
        <v>1</v>
      </c>
      <c r="E1116" s="26">
        <f t="shared" ca="1" si="39"/>
        <v>1</v>
      </c>
      <c r="F1116" s="26">
        <f ca="1">IF(D1116=0,0,SUM($E$713:E1116))</f>
        <v>264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Standart'!$F$14:$F$216,'RAB Standart'!$C$14:$C$216,C1117)</f>
        <v>1</v>
      </c>
      <c r="E1117" s="26">
        <f t="shared" ca="1" si="39"/>
        <v>1</v>
      </c>
      <c r="F1117" s="26">
        <f ca="1">IF(D1117=0,0,SUM($E$713:E1117))</f>
        <v>265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Standart'!$F$14:$F$216,'RAB Standart'!$C$14:$C$216,C1118)</f>
        <v>1</v>
      </c>
      <c r="E1118" s="26">
        <f t="shared" ca="1" si="39"/>
        <v>1</v>
      </c>
      <c r="F1118" s="26">
        <f ca="1">IF(D1118=0,0,SUM($E$713:E1118))</f>
        <v>266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Standart'!$F$14:$F$216,'RAB Standart'!$C$14:$C$216,C1119)</f>
        <v>1</v>
      </c>
      <c r="E1119" s="26">
        <f t="shared" ca="1" si="39"/>
        <v>1</v>
      </c>
      <c r="F1119" s="26">
        <f ca="1">IF(D1119=0,0,SUM($E$713:E1119))</f>
        <v>267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Standart'!$F$14:$F$216,'RAB Standart'!$C$14:$C$216,C1120)</f>
        <v>1</v>
      </c>
      <c r="E1120" s="26">
        <f t="shared" ca="1" si="39"/>
        <v>1</v>
      </c>
      <c r="F1120" s="26">
        <f ca="1">IF(D1120=0,0,SUM($E$713:E1120))</f>
        <v>268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Standart'!$F$14:$F$216,'RAB Standart'!$C$14:$C$216,C1121)</f>
        <v>1</v>
      </c>
      <c r="E1121" s="26">
        <f t="shared" ca="1" si="39"/>
        <v>1</v>
      </c>
      <c r="F1121" s="26">
        <f ca="1">IF(D1121=0,0,SUM($E$713:E1121))</f>
        <v>269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Standart'!$F$14:$F$216,'RAB Standart'!$C$14:$C$216,C1122)</f>
        <v>1</v>
      </c>
      <c r="E1122" s="26">
        <f t="shared" ca="1" si="39"/>
        <v>1</v>
      </c>
      <c r="F1122" s="26">
        <f ca="1">IF(D1122=0,0,SUM($E$713:E1122))</f>
        <v>270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Standart'!$F$14:$F$216,'RAB Standart'!$C$14:$C$216,C1123)</f>
        <v>1</v>
      </c>
      <c r="E1123" s="26">
        <f t="shared" ca="1" si="39"/>
        <v>1</v>
      </c>
      <c r="F1123" s="26">
        <f ca="1">IF(D1123=0,0,SUM($E$713:E1123))</f>
        <v>271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Standart'!$F$14:$F$216,'RAB Standart'!$C$14:$C$216,C1124)</f>
        <v>1</v>
      </c>
      <c r="E1124" s="26">
        <f t="shared" ca="1" si="39"/>
        <v>1</v>
      </c>
      <c r="F1124" s="26">
        <f ca="1">IF(D1124=0,0,SUM($E$713:E1124))</f>
        <v>272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Standart'!$F$14:$F$216,'RAB Standart'!$C$14:$C$216,C1125)</f>
        <v>1</v>
      </c>
      <c r="E1125" s="26">
        <f t="shared" ca="1" si="39"/>
        <v>1</v>
      </c>
      <c r="F1125" s="26">
        <f ca="1">IF(D1125=0,0,SUM($E$713:E1125))</f>
        <v>273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Standart'!$F$14:$F$216,'RAB Standart'!$C$14:$C$216,C1126)</f>
        <v>1</v>
      </c>
      <c r="E1126" s="26">
        <f t="shared" ca="1" si="39"/>
        <v>1</v>
      </c>
      <c r="F1126" s="26">
        <f ca="1">IF(D1126=0,0,SUM($E$713:E1126))</f>
        <v>274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Standart'!$F$14:$F$216,'RAB Standart'!$C$14:$C$216,C1127)</f>
        <v>1</v>
      </c>
      <c r="E1127" s="26">
        <f t="shared" ca="1" si="39"/>
        <v>1</v>
      </c>
      <c r="F1127" s="26">
        <f ca="1">IF(D1127=0,0,SUM($E$713:E1127))</f>
        <v>275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Standart'!$F$14:$F$216,'RAB Standart'!$C$14:$C$216,C1128)</f>
        <v>1</v>
      </c>
      <c r="E1128" s="26">
        <f t="shared" ca="1" si="39"/>
        <v>1</v>
      </c>
      <c r="F1128" s="26">
        <f ca="1">IF(D1128=0,0,SUM($E$713:E1128))</f>
        <v>276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Standart'!$F$14:$F$216,'RAB Standart'!$C$14:$C$216,C1129)</f>
        <v>1</v>
      </c>
      <c r="E1129" s="26">
        <f t="shared" ca="1" si="39"/>
        <v>1</v>
      </c>
      <c r="F1129" s="26">
        <f ca="1">IF(D1129=0,0,SUM($E$713:E1129))</f>
        <v>277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Standart'!$F$14:$F$216,'RAB Standart'!$C$14:$C$216,C1130)</f>
        <v>1</v>
      </c>
      <c r="E1130" s="26">
        <f t="shared" ca="1" si="39"/>
        <v>1</v>
      </c>
      <c r="F1130" s="26">
        <f ca="1">IF(D1130=0,0,SUM($E$713:E1130))</f>
        <v>278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Standart'!$F$14:$F$216,'RAB Standart'!$C$14:$C$216,C1131)</f>
        <v>1</v>
      </c>
      <c r="E1131" s="26">
        <f t="shared" ca="1" si="39"/>
        <v>1</v>
      </c>
      <c r="F1131" s="26">
        <f ca="1">IF(D1131=0,0,SUM($E$713:E1131))</f>
        <v>279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Standart'!$F$14:$F$216,'RAB Standart'!$C$14:$C$216,C1132)</f>
        <v>1</v>
      </c>
      <c r="E1132" s="26">
        <f t="shared" ca="1" si="39"/>
        <v>1</v>
      </c>
      <c r="F1132" s="26">
        <f ca="1">IF(D1132=0,0,SUM($E$713:E1132))</f>
        <v>280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Standart'!$F$14:$F$216,'RAB Standart'!$C$14:$C$216,C1133)</f>
        <v>1</v>
      </c>
      <c r="E1133" s="26">
        <f t="shared" ca="1" si="39"/>
        <v>1</v>
      </c>
      <c r="F1133" s="26">
        <f ca="1">IF(D1133=0,0,SUM($E$713:E1133))</f>
        <v>281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Standart'!$F$14:$F$216,'RAB Standart'!$C$14:$C$216,C1134)</f>
        <v>1</v>
      </c>
      <c r="E1134" s="26">
        <f t="shared" ca="1" si="39"/>
        <v>1</v>
      </c>
      <c r="F1134" s="26">
        <f ca="1">IF(D1134=0,0,SUM($E$713:E1134))</f>
        <v>282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Standart'!$F$14:$F$216,'RAB Standart'!$C$14:$C$216,C1135)</f>
        <v>1</v>
      </c>
      <c r="E1135" s="26">
        <f t="shared" ca="1" si="39"/>
        <v>1</v>
      </c>
      <c r="F1135" s="26">
        <f ca="1">IF(D1135=0,0,SUM($E$713:E1135))</f>
        <v>283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Standart'!$F$14:$F$216,'RAB Standart'!$C$14:$C$216,C1136)</f>
        <v>1</v>
      </c>
      <c r="E1136" s="26">
        <f t="shared" ca="1" si="39"/>
        <v>1</v>
      </c>
      <c r="F1136" s="26">
        <f ca="1">IF(D1136=0,0,SUM($E$713:E1136))</f>
        <v>284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Standart'!$F$14:$F$216,'RAB Standart'!$C$14:$C$216,C1137)</f>
        <v>1</v>
      </c>
      <c r="E1137" s="26">
        <f t="shared" ca="1" si="39"/>
        <v>1</v>
      </c>
      <c r="F1137" s="26">
        <f ca="1">IF(D1137=0,0,SUM($E$713:E1137))</f>
        <v>285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Standart'!$F$14:$F$216,'RAB Standart'!$C$14:$C$216,C1138)</f>
        <v>1</v>
      </c>
      <c r="E1138" s="26">
        <f t="shared" ca="1" si="39"/>
        <v>1</v>
      </c>
      <c r="F1138" s="26">
        <f ca="1">IF(D1138=0,0,SUM($E$713:E1138))</f>
        <v>286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Standart'!$F$14:$F$216,'RAB Standart'!$C$14:$C$216,C1139)</f>
        <v>1</v>
      </c>
      <c r="E1139" s="26">
        <f t="shared" ca="1" si="39"/>
        <v>1</v>
      </c>
      <c r="F1139" s="26">
        <f ca="1">IF(D1139=0,0,SUM($E$713:E1139))</f>
        <v>287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Standart'!$F$14:$F$216,'RAB Standart'!$C$14:$C$216,C1140)</f>
        <v>1</v>
      </c>
      <c r="E1140" s="26">
        <f t="shared" ca="1" si="39"/>
        <v>1</v>
      </c>
      <c r="F1140" s="26">
        <f ca="1">IF(D1140=0,0,SUM($E$713:E1140))</f>
        <v>288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Standart'!$F$14:$F$216,'RAB Standart'!$C$14:$C$216,C1141)</f>
        <v>1</v>
      </c>
      <c r="E1141" s="26">
        <f t="shared" ca="1" si="39"/>
        <v>1</v>
      </c>
      <c r="F1141" s="26">
        <f ca="1">IF(D1141=0,0,SUM($E$713:E1141))</f>
        <v>289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Standart'!$F$14:$F$216,'RAB Standart'!$C$14:$C$216,C1142)</f>
        <v>1</v>
      </c>
      <c r="E1142" s="26">
        <f t="shared" ca="1" si="39"/>
        <v>1</v>
      </c>
      <c r="F1142" s="26">
        <f ca="1">IF(D1142=0,0,SUM($E$713:E1142))</f>
        <v>290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Standart'!$F$14:$F$216,'RAB Standart'!$C$14:$C$216,C1143)</f>
        <v>1</v>
      </c>
      <c r="E1143" s="26">
        <f t="shared" ca="1" si="39"/>
        <v>1</v>
      </c>
      <c r="F1143" s="26">
        <f ca="1">IF(D1143=0,0,SUM($E$713:E1143))</f>
        <v>291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Standart'!$F$14:$F$216,'RAB Standart'!$C$14:$C$216,C1144)</f>
        <v>1</v>
      </c>
      <c r="E1144" s="26">
        <f t="shared" ca="1" si="39"/>
        <v>1</v>
      </c>
      <c r="F1144" s="26">
        <f ca="1">IF(D1144=0,0,SUM($E$713:E1144))</f>
        <v>292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Standart'!$F$14:$F$216,'RAB Standart'!$C$14:$C$216,C1145)</f>
        <v>1</v>
      </c>
      <c r="E1145" s="26">
        <f t="shared" ca="1" si="39"/>
        <v>1</v>
      </c>
      <c r="F1145" s="26">
        <f ca="1">IF(D1145=0,0,SUM($E$713:E1145))</f>
        <v>293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Standart'!$F$14:$F$216,'RAB Standart'!$C$14:$C$216,C1146)</f>
        <v>1</v>
      </c>
      <c r="E1146" s="26">
        <f t="shared" ca="1" si="39"/>
        <v>1</v>
      </c>
      <c r="F1146" s="26">
        <f ca="1">IF(D1146=0,0,SUM($E$713:E1146))</f>
        <v>294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Standart'!$F$14:$F$216,'RAB Standart'!$C$14:$C$216,C1147)</f>
        <v>1</v>
      </c>
      <c r="E1147" s="26">
        <f t="shared" ca="1" si="39"/>
        <v>1</v>
      </c>
      <c r="F1147" s="26">
        <f ca="1">IF(D1147=0,0,SUM($E$713:E1147))</f>
        <v>295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Standart'!$F$14:$F$216,'RAB Standart'!$C$14:$C$216,C1148)</f>
        <v>1</v>
      </c>
      <c r="E1148" s="26">
        <f t="shared" ca="1" si="39"/>
        <v>1</v>
      </c>
      <c r="F1148" s="26">
        <f ca="1">IF(D1148=0,0,SUM($E$713:E1148))</f>
        <v>296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Standart'!$F$14:$F$216,'RAB Standart'!$C$14:$C$216,C1149)</f>
        <v>1</v>
      </c>
      <c r="E1149" s="26">
        <f t="shared" ca="1" si="39"/>
        <v>1</v>
      </c>
      <c r="F1149" s="26">
        <f ca="1">IF(D1149=0,0,SUM($E$713:E1149))</f>
        <v>297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Standart'!$F$14:$F$216,'RAB Standart'!$C$14:$C$216,C1150)</f>
        <v>1</v>
      </c>
      <c r="E1150" s="26">
        <f t="shared" ca="1" si="39"/>
        <v>1</v>
      </c>
      <c r="F1150" s="26">
        <f ca="1">IF(D1150=0,0,SUM($E$713:E1150))</f>
        <v>298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Standart'!$F$14:$F$216,'RAB Standart'!$C$14:$C$216,C1151)</f>
        <v>1</v>
      </c>
      <c r="E1151" s="26">
        <f t="shared" ca="1" si="39"/>
        <v>1</v>
      </c>
      <c r="F1151" s="26">
        <f ca="1">IF(D1151=0,0,SUM($E$713:E1151))</f>
        <v>299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Standart'!$F$14:$F$216,'RAB Standart'!$C$14:$C$216,C1152)</f>
        <v>1</v>
      </c>
      <c r="E1152" s="26">
        <f t="shared" ca="1" si="39"/>
        <v>1</v>
      </c>
      <c r="F1152" s="26">
        <f ca="1">IF(D1152=0,0,SUM($E$713:E1152))</f>
        <v>300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Standart'!$F$14:$F$216,'RAB Standart'!$C$14:$C$216,C1153)</f>
        <v>1</v>
      </c>
      <c r="E1153" s="26">
        <f t="shared" ca="1" si="39"/>
        <v>1</v>
      </c>
      <c r="F1153" s="26">
        <f ca="1">IF(D1153=0,0,SUM($E$713:E1153))</f>
        <v>301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Standart'!$F$14:$F$216,'RAB Standart'!$C$14:$C$216,C1154)</f>
        <v>1</v>
      </c>
      <c r="E1154" s="26">
        <f t="shared" ca="1" si="39"/>
        <v>1</v>
      </c>
      <c r="F1154" s="26">
        <f ca="1">IF(D1154=0,0,SUM($E$713:E1154))</f>
        <v>302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Standart'!$F$14:$F$216,'RAB Standart'!$C$14:$C$216,C1155)</f>
        <v>1</v>
      </c>
      <c r="E1155" s="26">
        <f t="shared" ca="1" si="39"/>
        <v>1</v>
      </c>
      <c r="F1155" s="26">
        <f ca="1">IF(D1155=0,0,SUM($E$713:E1155))</f>
        <v>303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Standart'!$F$14:$F$216,'RAB Standart'!$C$14:$C$216,C1156)</f>
        <v>1</v>
      </c>
      <c r="E1156" s="26">
        <f t="shared" ca="1" si="39"/>
        <v>1</v>
      </c>
      <c r="F1156" s="26">
        <f ca="1">IF(D1156=0,0,SUM($E$713:E1156))</f>
        <v>304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Standart'!$F$14:$F$216,'RAB Standart'!$C$14:$C$216,C1157)</f>
        <v>1</v>
      </c>
      <c r="E1157" s="26">
        <f t="shared" ca="1" si="39"/>
        <v>1</v>
      </c>
      <c r="F1157" s="26">
        <f ca="1">IF(D1157=0,0,SUM($E$713:E1157))</f>
        <v>305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Standart'!$F$14:$F$216,'RAB Standart'!$C$14:$C$216,C1158)</f>
        <v>1</v>
      </c>
      <c r="E1158" s="26">
        <f t="shared" ca="1" si="39"/>
        <v>1</v>
      </c>
      <c r="F1158" s="26">
        <f ca="1">IF(D1158=0,0,SUM($E$713:E1158))</f>
        <v>306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Standart'!$F$14:$F$216,'RAB Standart'!$C$14:$C$216,C1159)</f>
        <v>1</v>
      </c>
      <c r="E1159" s="26">
        <f t="shared" ca="1" si="39"/>
        <v>1</v>
      </c>
      <c r="F1159" s="26">
        <f ca="1">IF(D1159=0,0,SUM($E$713:E1159))</f>
        <v>307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Standart'!$F$14:$F$216,'RAB Standart'!$C$14:$C$216,C1160)</f>
        <v>1</v>
      </c>
      <c r="E1160" s="26">
        <f t="shared" ca="1" si="39"/>
        <v>1</v>
      </c>
      <c r="F1160" s="26">
        <f ca="1">IF(D1160=0,0,SUM($E$713:E1160))</f>
        <v>308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Standart'!$F$14:$F$216,'RAB Standart'!$C$14:$C$216,C1161)</f>
        <v>1</v>
      </c>
      <c r="E1161" s="26">
        <f t="shared" ca="1" si="39"/>
        <v>1</v>
      </c>
      <c r="F1161" s="26">
        <f ca="1">IF(D1161=0,0,SUM($E$713:E1161))</f>
        <v>309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Standart'!$F$14:$F$216,'RAB Standart'!$C$14:$C$216,C1162)</f>
        <v>1</v>
      </c>
      <c r="E1162" s="26">
        <f t="shared" ca="1" si="39"/>
        <v>1</v>
      </c>
      <c r="F1162" s="26">
        <f ca="1">IF(D1162=0,0,SUM($E$713:E1162))</f>
        <v>310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Standart'!$F$14:$F$216,'RAB Standart'!$C$14:$C$216,C1163)</f>
        <v>1</v>
      </c>
      <c r="E1163" s="26">
        <f t="shared" ref="E1163:E1226" ca="1" si="40">IF(D1163=0,0,1)</f>
        <v>1</v>
      </c>
      <c r="F1163" s="26">
        <f ca="1">IF(D1163=0,0,SUM($E$713:E1163))</f>
        <v>311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Standart'!$F$14:$F$216,'RAB Standart'!$C$14:$C$216,C1164)</f>
        <v>1</v>
      </c>
      <c r="E1164" s="26">
        <f t="shared" ca="1" si="40"/>
        <v>1</v>
      </c>
      <c r="F1164" s="26">
        <f ca="1">IF(D1164=0,0,SUM($E$713:E1164))</f>
        <v>312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Standart'!$F$14:$F$216,'RAB Standart'!$C$14:$C$216,C1165)</f>
        <v>1</v>
      </c>
      <c r="E1165" s="26">
        <f t="shared" ca="1" si="40"/>
        <v>1</v>
      </c>
      <c r="F1165" s="26">
        <f ca="1">IF(D1165=0,0,SUM($E$713:E1165))</f>
        <v>313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Standart'!$F$14:$F$216,'RAB Standart'!$C$14:$C$216,C1166)</f>
        <v>1</v>
      </c>
      <c r="E1166" s="26">
        <f t="shared" ca="1" si="40"/>
        <v>1</v>
      </c>
      <c r="F1166" s="26">
        <f ca="1">IF(D1166=0,0,SUM($E$713:E1166))</f>
        <v>314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Standart'!$F$14:$F$216,'RAB Standart'!$C$14:$C$216,C1167)</f>
        <v>1</v>
      </c>
      <c r="E1167" s="26">
        <f t="shared" ca="1" si="40"/>
        <v>1</v>
      </c>
      <c r="F1167" s="26">
        <f ca="1">IF(D1167=0,0,SUM($E$713:E1167))</f>
        <v>315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Standart'!$F$14:$F$216,'RAB Standart'!$C$14:$C$216,C1168)</f>
        <v>1</v>
      </c>
      <c r="E1168" s="26">
        <f t="shared" ca="1" si="40"/>
        <v>1</v>
      </c>
      <c r="F1168" s="26">
        <f ca="1">IF(D1168=0,0,SUM($E$713:E1168))</f>
        <v>316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Standart'!$F$14:$F$216,'RAB Standart'!$C$14:$C$216,C1169)</f>
        <v>1</v>
      </c>
      <c r="E1169" s="26">
        <f t="shared" ca="1" si="40"/>
        <v>1</v>
      </c>
      <c r="F1169" s="26">
        <f ca="1">IF(D1169=0,0,SUM($E$713:E1169))</f>
        <v>317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Standart'!$F$14:$F$216,'RAB Standart'!$C$14:$C$216,C1170)</f>
        <v>1</v>
      </c>
      <c r="E1170" s="26">
        <f t="shared" ca="1" si="40"/>
        <v>1</v>
      </c>
      <c r="F1170" s="26">
        <f ca="1">IF(D1170=0,0,SUM($E$713:E1170))</f>
        <v>318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Standart'!$F$14:$F$216,'RAB Standart'!$C$14:$C$216,C1171)</f>
        <v>1</v>
      </c>
      <c r="E1171" s="26">
        <f t="shared" ca="1" si="40"/>
        <v>1</v>
      </c>
      <c r="F1171" s="26">
        <f ca="1">IF(D1171=0,0,SUM($E$713:E1171))</f>
        <v>319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Standart'!$F$14:$F$216,'RAB Standart'!$C$14:$C$216,C1172)</f>
        <v>1</v>
      </c>
      <c r="E1172" s="26">
        <f t="shared" ca="1" si="40"/>
        <v>1</v>
      </c>
      <c r="F1172" s="26">
        <f ca="1">IF(D1172=0,0,SUM($E$713:E1172))</f>
        <v>320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Standart'!$F$14:$F$216,'RAB Standart'!$C$14:$C$216,C1173)</f>
        <v>1</v>
      </c>
      <c r="E1173" s="26">
        <f t="shared" ca="1" si="40"/>
        <v>1</v>
      </c>
      <c r="F1173" s="26">
        <f ca="1">IF(D1173=0,0,SUM($E$713:E1173))</f>
        <v>321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Standart'!$F$14:$F$216,'RAB Standart'!$C$14:$C$216,C1174)</f>
        <v>1</v>
      </c>
      <c r="E1174" s="26">
        <f t="shared" ca="1" si="40"/>
        <v>1</v>
      </c>
      <c r="F1174" s="26">
        <f ca="1">IF(D1174=0,0,SUM($E$713:E1174))</f>
        <v>322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Standart'!$F$14:$F$216,'RAB Standart'!$C$14:$C$216,C1175)</f>
        <v>1</v>
      </c>
      <c r="E1175" s="26">
        <f t="shared" ca="1" si="40"/>
        <v>1</v>
      </c>
      <c r="F1175" s="26">
        <f ca="1">IF(D1175=0,0,SUM($E$713:E1175))</f>
        <v>323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Standart'!$F$14:$F$216,'RAB Standart'!$C$14:$C$216,C1176)</f>
        <v>1</v>
      </c>
      <c r="E1176" s="26">
        <f t="shared" ca="1" si="40"/>
        <v>1</v>
      </c>
      <c r="F1176" s="26">
        <f ca="1">IF(D1176=0,0,SUM($E$713:E1176))</f>
        <v>324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Standart'!$F$14:$F$216,'RAB Standart'!$C$14:$C$216,C1177)</f>
        <v>1</v>
      </c>
      <c r="E1177" s="26">
        <f t="shared" ca="1" si="40"/>
        <v>1</v>
      </c>
      <c r="F1177" s="26">
        <f ca="1">IF(D1177=0,0,SUM($E$713:E1177))</f>
        <v>325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Standart'!$F$14:$F$216,'RAB Standart'!$C$14:$C$216,C1178)</f>
        <v>1</v>
      </c>
      <c r="E1178" s="26">
        <f t="shared" ca="1" si="40"/>
        <v>1</v>
      </c>
      <c r="F1178" s="26">
        <f ca="1">IF(D1178=0,0,SUM($E$713:E1178))</f>
        <v>326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Standart'!$F$14:$F$216,'RAB Standart'!$C$14:$C$216,C1179)</f>
        <v>1</v>
      </c>
      <c r="E1179" s="26">
        <f t="shared" ca="1" si="40"/>
        <v>1</v>
      </c>
      <c r="F1179" s="26">
        <f ca="1">IF(D1179=0,0,SUM($E$713:E1179))</f>
        <v>327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Standart'!$F$14:$F$216,'RAB Standart'!$C$14:$C$216,C1180)</f>
        <v>1</v>
      </c>
      <c r="E1180" s="26">
        <f t="shared" ca="1" si="40"/>
        <v>1</v>
      </c>
      <c r="F1180" s="26">
        <f ca="1">IF(D1180=0,0,SUM($E$713:E1180))</f>
        <v>328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Standart'!$F$14:$F$216,'RAB Standart'!$C$14:$C$216,C1181)</f>
        <v>1</v>
      </c>
      <c r="E1181" s="26">
        <f t="shared" ca="1" si="40"/>
        <v>1</v>
      </c>
      <c r="F1181" s="26">
        <f ca="1">IF(D1181=0,0,SUM($E$713:E1181))</f>
        <v>329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Standart'!$F$14:$F$216,'RAB Standart'!$C$14:$C$216,C1182)</f>
        <v>1</v>
      </c>
      <c r="E1182" s="26">
        <f t="shared" ca="1" si="40"/>
        <v>1</v>
      </c>
      <c r="F1182" s="26">
        <f ca="1">IF(D1182=0,0,SUM($E$713:E1182))</f>
        <v>330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Standart'!$F$14:$F$216,'RAB Standart'!$C$14:$C$216,C1183)</f>
        <v>1</v>
      </c>
      <c r="E1183" s="26">
        <f t="shared" ca="1" si="40"/>
        <v>1</v>
      </c>
      <c r="F1183" s="26">
        <f ca="1">IF(D1183=0,0,SUM($E$713:E1183))</f>
        <v>331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Standart'!$F$14:$F$216,'RAB Standart'!$C$14:$C$216,C1184)</f>
        <v>1</v>
      </c>
      <c r="E1184" s="26">
        <f t="shared" ca="1" si="40"/>
        <v>1</v>
      </c>
      <c r="F1184" s="26">
        <f ca="1">IF(D1184=0,0,SUM($E$713:E1184))</f>
        <v>332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Standart'!$F$14:$F$216,'RAB Standart'!$C$14:$C$216,C1185)</f>
        <v>1</v>
      </c>
      <c r="E1185" s="26">
        <f t="shared" ca="1" si="40"/>
        <v>1</v>
      </c>
      <c r="F1185" s="26">
        <f ca="1">IF(D1185=0,0,SUM($E$713:E1185))</f>
        <v>333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Standart'!$F$14:$F$216,'RAB Standart'!$C$14:$C$216,C1186)</f>
        <v>1</v>
      </c>
      <c r="E1186" s="26">
        <f t="shared" ca="1" si="40"/>
        <v>1</v>
      </c>
      <c r="F1186" s="26">
        <f ca="1">IF(D1186=0,0,SUM($E$713:E1186))</f>
        <v>334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Standart'!$F$14:$F$216,'RAB Standart'!$C$14:$C$216,C1187)</f>
        <v>1</v>
      </c>
      <c r="E1187" s="26">
        <f t="shared" ca="1" si="40"/>
        <v>1</v>
      </c>
      <c r="F1187" s="26">
        <f ca="1">IF(D1187=0,0,SUM($E$713:E1187))</f>
        <v>335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Standart'!$F$14:$F$216,'RAB Standart'!$C$14:$C$216,C1188)</f>
        <v>1</v>
      </c>
      <c r="E1188" s="26">
        <f t="shared" ca="1" si="40"/>
        <v>1</v>
      </c>
      <c r="F1188" s="26">
        <f ca="1">IF(D1188=0,0,SUM($E$713:E1188))</f>
        <v>336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Standart'!$F$14:$F$216,'RAB Standart'!$C$14:$C$216,C1189)</f>
        <v>1</v>
      </c>
      <c r="E1189" s="26">
        <f t="shared" ca="1" si="40"/>
        <v>1</v>
      </c>
      <c r="F1189" s="26">
        <f ca="1">IF(D1189=0,0,SUM($E$713:E1189))</f>
        <v>337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Standart'!$F$14:$F$216,'RAB Standart'!$C$14:$C$216,C1190)</f>
        <v>1</v>
      </c>
      <c r="E1190" s="26">
        <f t="shared" ca="1" si="40"/>
        <v>1</v>
      </c>
      <c r="F1190" s="26">
        <f ca="1">IF(D1190=0,0,SUM($E$713:E1190))</f>
        <v>338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Standart'!$F$14:$F$216,'RAB Standart'!$C$14:$C$216,C1191)</f>
        <v>1</v>
      </c>
      <c r="E1191" s="26">
        <f t="shared" ca="1" si="40"/>
        <v>1</v>
      </c>
      <c r="F1191" s="26">
        <f ca="1">IF(D1191=0,0,SUM($E$713:E1191))</f>
        <v>339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Standart'!$F$14:$F$216,'RAB Standart'!$C$14:$C$216,C1192)</f>
        <v>1</v>
      </c>
      <c r="E1192" s="26">
        <f t="shared" ca="1" si="40"/>
        <v>1</v>
      </c>
      <c r="F1192" s="26">
        <f ca="1">IF(D1192=0,0,SUM($E$713:E1192))</f>
        <v>340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Standart'!$F$14:$F$216,'RAB Standart'!$C$14:$C$216,C1193)</f>
        <v>1</v>
      </c>
      <c r="E1193" s="26">
        <f t="shared" ca="1" si="40"/>
        <v>1</v>
      </c>
      <c r="F1193" s="26">
        <f ca="1">IF(D1193=0,0,SUM($E$713:E1193))</f>
        <v>341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Standart'!$F$14:$F$216,'RAB Standart'!$C$14:$C$216,C1194)</f>
        <v>1</v>
      </c>
      <c r="E1194" s="26">
        <f t="shared" ca="1" si="40"/>
        <v>1</v>
      </c>
      <c r="F1194" s="26">
        <f ca="1">IF(D1194=0,0,SUM($E$713:E1194))</f>
        <v>342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Standart'!$F$14:$F$216,'RAB Standart'!$C$14:$C$216,C1195)</f>
        <v>1</v>
      </c>
      <c r="E1195" s="26">
        <f t="shared" ca="1" si="40"/>
        <v>1</v>
      </c>
      <c r="F1195" s="26">
        <f ca="1">IF(D1195=0,0,SUM($E$713:E1195))</f>
        <v>343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Standart'!$F$14:$F$216,'RAB Standart'!$C$14:$C$216,C1196)</f>
        <v>1</v>
      </c>
      <c r="E1196" s="26">
        <f t="shared" ca="1" si="40"/>
        <v>1</v>
      </c>
      <c r="F1196" s="26">
        <f ca="1">IF(D1196=0,0,SUM($E$713:E1196))</f>
        <v>344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Standart'!$F$14:$F$216,'RAB Standart'!$C$14:$C$216,C1197)</f>
        <v>1</v>
      </c>
      <c r="E1197" s="26">
        <f t="shared" ca="1" si="40"/>
        <v>1</v>
      </c>
      <c r="F1197" s="26">
        <f ca="1">IF(D1197=0,0,SUM($E$713:E1197))</f>
        <v>345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Standart'!$F$14:$F$216,'RAB Standart'!$C$14:$C$216,C1198)</f>
        <v>1</v>
      </c>
      <c r="E1198" s="26">
        <f t="shared" ca="1" si="40"/>
        <v>1</v>
      </c>
      <c r="F1198" s="26">
        <f ca="1">IF(D1198=0,0,SUM($E$713:E1198))</f>
        <v>346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Standart'!$F$14:$F$216,'RAB Standart'!$C$14:$C$216,C1199)</f>
        <v>1</v>
      </c>
      <c r="E1199" s="26">
        <f t="shared" ca="1" si="40"/>
        <v>1</v>
      </c>
      <c r="F1199" s="26">
        <f ca="1">IF(D1199=0,0,SUM($E$713:E1199))</f>
        <v>347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Standart'!$F$14:$F$216,'RAB Standart'!$C$14:$C$216,C1200)</f>
        <v>1</v>
      </c>
      <c r="E1200" s="26">
        <f t="shared" ca="1" si="40"/>
        <v>1</v>
      </c>
      <c r="F1200" s="26">
        <f ca="1">IF(D1200=0,0,SUM($E$713:E1200))</f>
        <v>348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Standart'!$F$14:$F$216,'RAB Standart'!$C$14:$C$216,C1201)</f>
        <v>1</v>
      </c>
      <c r="E1201" s="26">
        <f t="shared" ca="1" si="40"/>
        <v>1</v>
      </c>
      <c r="F1201" s="26">
        <f ca="1">IF(D1201=0,0,SUM($E$713:E1201))</f>
        <v>349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Standart'!$F$14:$F$216,'RAB Standart'!$C$14:$C$216,C1202)</f>
        <v>1</v>
      </c>
      <c r="E1202" s="26">
        <f t="shared" ca="1" si="40"/>
        <v>1</v>
      </c>
      <c r="F1202" s="26">
        <f ca="1">IF(D1202=0,0,SUM($E$713:E1202))</f>
        <v>350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Standart'!$F$14:$F$216,'RAB Standart'!$C$14:$C$216,C1203)</f>
        <v>1</v>
      </c>
      <c r="E1203" s="26">
        <f t="shared" ca="1" si="40"/>
        <v>1</v>
      </c>
      <c r="F1203" s="26">
        <f ca="1">IF(D1203=0,0,SUM($E$713:E1203))</f>
        <v>351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Standart'!$F$14:$F$216,'RAB Standart'!$C$14:$C$216,C1204)</f>
        <v>1</v>
      </c>
      <c r="E1204" s="26">
        <f t="shared" ca="1" si="40"/>
        <v>1</v>
      </c>
      <c r="F1204" s="26">
        <f ca="1">IF(D1204=0,0,SUM($E$713:E1204))</f>
        <v>352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Standart'!$F$14:$F$216,'RAB Standart'!$C$14:$C$216,C1205)</f>
        <v>1</v>
      </c>
      <c r="E1205" s="26">
        <f t="shared" ca="1" si="40"/>
        <v>1</v>
      </c>
      <c r="F1205" s="26">
        <f ca="1">IF(D1205=0,0,SUM($E$713:E1205))</f>
        <v>353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Standart'!$F$14:$F$216,'RAB Standart'!$C$14:$C$216,C1206)</f>
        <v>1</v>
      </c>
      <c r="E1206" s="26">
        <f t="shared" ca="1" si="40"/>
        <v>1</v>
      </c>
      <c r="F1206" s="26">
        <f ca="1">IF(D1206=0,0,SUM($E$713:E1206))</f>
        <v>354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Standart'!$F$14:$F$216,'RAB Standart'!$C$14:$C$216,C1207)</f>
        <v>1</v>
      </c>
      <c r="E1207" s="26">
        <f t="shared" ca="1" si="40"/>
        <v>1</v>
      </c>
      <c r="F1207" s="26">
        <f ca="1">IF(D1207=0,0,SUM($E$713:E1207))</f>
        <v>355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Standart'!$F$14:$F$216,'RAB Standart'!$C$14:$C$216,C1208)</f>
        <v>1</v>
      </c>
      <c r="E1208" s="26">
        <f t="shared" ca="1" si="40"/>
        <v>1</v>
      </c>
      <c r="F1208" s="26">
        <f ca="1">IF(D1208=0,0,SUM($E$713:E1208))</f>
        <v>356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Standart'!$F$14:$F$216,'RAB Standart'!$C$14:$C$216,C1209)</f>
        <v>1</v>
      </c>
      <c r="E1209" s="26">
        <f t="shared" ca="1" si="40"/>
        <v>1</v>
      </c>
      <c r="F1209" s="26">
        <f ca="1">IF(D1209=0,0,SUM($E$713:E1209))</f>
        <v>357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Standart'!$F$14:$F$216,'RAB Standart'!$C$14:$C$216,C1210)</f>
        <v>1</v>
      </c>
      <c r="E1210" s="26">
        <f t="shared" ca="1" si="40"/>
        <v>1</v>
      </c>
      <c r="F1210" s="26">
        <f ca="1">IF(D1210=0,0,SUM($E$713:E1210))</f>
        <v>358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Standart'!$F$14:$F$216,'RAB Standart'!$C$14:$C$216,C1211)</f>
        <v>1</v>
      </c>
      <c r="E1211" s="26">
        <f t="shared" ca="1" si="40"/>
        <v>1</v>
      </c>
      <c r="F1211" s="26">
        <f ca="1">IF(D1211=0,0,SUM($E$713:E1211))</f>
        <v>359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Standart'!$F$14:$F$216,'RAB Standart'!$C$14:$C$216,C1212)</f>
        <v>1</v>
      </c>
      <c r="E1212" s="26">
        <f t="shared" ca="1" si="40"/>
        <v>1</v>
      </c>
      <c r="F1212" s="26">
        <f ca="1">IF(D1212=0,0,SUM($E$713:E1212))</f>
        <v>360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Standart'!$F$14:$F$216,'RAB Standart'!$C$14:$C$216,C1213)</f>
        <v>1</v>
      </c>
      <c r="E1213" s="26">
        <f t="shared" ca="1" si="40"/>
        <v>1</v>
      </c>
      <c r="F1213" s="26">
        <f ca="1">IF(D1213=0,0,SUM($E$713:E1213))</f>
        <v>361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Standart'!$F$14:$F$216,'RAB Standart'!$C$14:$C$216,C1214)</f>
        <v>1</v>
      </c>
      <c r="E1214" s="26">
        <f t="shared" ca="1" si="40"/>
        <v>1</v>
      </c>
      <c r="F1214" s="26">
        <f ca="1">IF(D1214=0,0,SUM($E$713:E1214))</f>
        <v>362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Standart'!$F$14:$F$216,'RAB Standart'!$C$14:$C$216,C1215)</f>
        <v>1</v>
      </c>
      <c r="E1215" s="26">
        <f t="shared" ca="1" si="40"/>
        <v>1</v>
      </c>
      <c r="F1215" s="26">
        <f ca="1">IF(D1215=0,0,SUM($E$713:E1215))</f>
        <v>363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Standart'!$F$14:$F$216,'RAB Standart'!$C$14:$C$216,C1216)</f>
        <v>1</v>
      </c>
      <c r="E1216" s="26">
        <f t="shared" ca="1" si="40"/>
        <v>1</v>
      </c>
      <c r="F1216" s="26">
        <f ca="1">IF(D1216=0,0,SUM($E$713:E1216))</f>
        <v>364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Standart'!$F$14:$F$216,'RAB Standart'!$C$14:$C$216,C1217)</f>
        <v>1</v>
      </c>
      <c r="E1217" s="26">
        <f t="shared" ca="1" si="40"/>
        <v>1</v>
      </c>
      <c r="F1217" s="26">
        <f ca="1">IF(D1217=0,0,SUM($E$713:E1217))</f>
        <v>365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Standart'!$F$14:$F$216,'RAB Standart'!$C$14:$C$216,C1218)</f>
        <v>1</v>
      </c>
      <c r="E1218" s="26">
        <f t="shared" ca="1" si="40"/>
        <v>1</v>
      </c>
      <c r="F1218" s="26">
        <f ca="1">IF(D1218=0,0,SUM($E$713:E1218))</f>
        <v>366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Standart'!$F$14:$F$216,'RAB Standart'!$C$14:$C$216,C1219)</f>
        <v>1</v>
      </c>
      <c r="E1219" s="26">
        <f t="shared" ca="1" si="40"/>
        <v>1</v>
      </c>
      <c r="F1219" s="26">
        <f ca="1">IF(D1219=0,0,SUM($E$713:E1219))</f>
        <v>367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Standart'!$F$14:$F$216,'RAB Standart'!$C$14:$C$216,C1220)</f>
        <v>1</v>
      </c>
      <c r="E1220" s="26">
        <f t="shared" ca="1" si="40"/>
        <v>1</v>
      </c>
      <c r="F1220" s="26">
        <f ca="1">IF(D1220=0,0,SUM($E$713:E1220))</f>
        <v>368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Standart'!$F$14:$F$216,'RAB Standart'!$C$14:$C$216,C1221)</f>
        <v>1</v>
      </c>
      <c r="E1221" s="26">
        <f t="shared" ca="1" si="40"/>
        <v>1</v>
      </c>
      <c r="F1221" s="26">
        <f ca="1">IF(D1221=0,0,SUM($E$713:E1221))</f>
        <v>369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Standart'!$F$14:$F$216,'RAB Standart'!$C$14:$C$216,C1222)</f>
        <v>1</v>
      </c>
      <c r="E1222" s="26">
        <f t="shared" ca="1" si="40"/>
        <v>1</v>
      </c>
      <c r="F1222" s="26">
        <f ca="1">IF(D1222=0,0,SUM($E$713:E1222))</f>
        <v>370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Standart'!$F$14:$F$216,'RAB Standart'!$C$14:$C$216,C1223)</f>
        <v>1</v>
      </c>
      <c r="E1223" s="26">
        <f t="shared" ca="1" si="40"/>
        <v>1</v>
      </c>
      <c r="F1223" s="26">
        <f ca="1">IF(D1223=0,0,SUM($E$713:E1223))</f>
        <v>371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Standart'!$F$14:$F$216,'RAB Standart'!$C$14:$C$216,C1224)</f>
        <v>1</v>
      </c>
      <c r="E1224" s="26">
        <f t="shared" ca="1" si="40"/>
        <v>1</v>
      </c>
      <c r="F1224" s="26">
        <f ca="1">IF(D1224=0,0,SUM($E$713:E1224))</f>
        <v>372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Standart'!$F$14:$F$216,'RAB Standart'!$C$14:$C$216,C1225)</f>
        <v>1</v>
      </c>
      <c r="E1225" s="26">
        <f t="shared" ca="1" si="40"/>
        <v>1</v>
      </c>
      <c r="F1225" s="26">
        <f ca="1">IF(D1225=0,0,SUM($E$713:E1225))</f>
        <v>373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Standart'!$F$14:$F$216,'RAB Standart'!$C$14:$C$216,C1226)</f>
        <v>1</v>
      </c>
      <c r="E1226" s="26">
        <f t="shared" ca="1" si="40"/>
        <v>1</v>
      </c>
      <c r="F1226" s="26">
        <f ca="1">IF(D1226=0,0,SUM($E$713:E1226))</f>
        <v>374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Standart'!$F$14:$F$216,'RAB Standart'!$C$14:$C$216,C1227)</f>
        <v>1</v>
      </c>
      <c r="E1227" s="26">
        <f t="shared" ref="E1227:E1290" ca="1" si="41">IF(D1227=0,0,1)</f>
        <v>1</v>
      </c>
      <c r="F1227" s="26">
        <f ca="1">IF(D1227=0,0,SUM($E$713:E1227))</f>
        <v>375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Standart'!$F$14:$F$216,'RAB Standart'!$C$14:$C$216,C1228)</f>
        <v>1</v>
      </c>
      <c r="E1228" s="26">
        <f t="shared" ca="1" si="41"/>
        <v>1</v>
      </c>
      <c r="F1228" s="26">
        <f ca="1">IF(D1228=0,0,SUM($E$713:E1228))</f>
        <v>376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Standart'!$F$14:$F$216,'RAB Standart'!$C$14:$C$216,C1229)</f>
        <v>1</v>
      </c>
      <c r="E1229" s="26">
        <f t="shared" ca="1" si="41"/>
        <v>1</v>
      </c>
      <c r="F1229" s="26">
        <f ca="1">IF(D1229=0,0,SUM($E$713:E1229))</f>
        <v>377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Standart'!$F$14:$F$216,'RAB Standart'!$C$14:$C$216,C1230)</f>
        <v>1</v>
      </c>
      <c r="E1230" s="26">
        <f t="shared" ca="1" si="41"/>
        <v>1</v>
      </c>
      <c r="F1230" s="26">
        <f ca="1">IF(D1230=0,0,SUM($E$713:E1230))</f>
        <v>378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Standart'!$F$14:$F$216,'RAB Standart'!$C$14:$C$216,C1231)</f>
        <v>1</v>
      </c>
      <c r="E1231" s="26">
        <f t="shared" ca="1" si="41"/>
        <v>1</v>
      </c>
      <c r="F1231" s="26">
        <f ca="1">IF(D1231=0,0,SUM($E$713:E1231))</f>
        <v>379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Standart'!$F$14:$F$216,'RAB Standart'!$C$14:$C$216,C1232)</f>
        <v>1</v>
      </c>
      <c r="E1232" s="26">
        <f t="shared" ca="1" si="41"/>
        <v>1</v>
      </c>
      <c r="F1232" s="26">
        <f ca="1">IF(D1232=0,0,SUM($E$713:E1232))</f>
        <v>380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Standart'!$F$14:$F$216,'RAB Standart'!$C$14:$C$216,C1233)</f>
        <v>1</v>
      </c>
      <c r="E1233" s="26">
        <f t="shared" ca="1" si="41"/>
        <v>1</v>
      </c>
      <c r="F1233" s="26">
        <f ca="1">IF(D1233=0,0,SUM($E$713:E1233))</f>
        <v>381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Standart'!$F$14:$F$216,'RAB Standart'!$C$14:$C$216,C1234)</f>
        <v>1</v>
      </c>
      <c r="E1234" s="26">
        <f t="shared" ca="1" si="41"/>
        <v>1</v>
      </c>
      <c r="F1234" s="26">
        <f ca="1">IF(D1234=0,0,SUM($E$713:E1234))</f>
        <v>382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Standart'!$F$14:$F$216,'RAB Standart'!$C$14:$C$216,C1235)</f>
        <v>1</v>
      </c>
      <c r="E1235" s="26">
        <f t="shared" ca="1" si="41"/>
        <v>1</v>
      </c>
      <c r="F1235" s="26">
        <f ca="1">IF(D1235=0,0,SUM($E$713:E1235))</f>
        <v>383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Standart'!$F$14:$F$216,'RAB Standart'!$C$14:$C$216,C1236)</f>
        <v>1</v>
      </c>
      <c r="E1236" s="26">
        <f t="shared" ca="1" si="41"/>
        <v>1</v>
      </c>
      <c r="F1236" s="26">
        <f ca="1">IF(D1236=0,0,SUM($E$713:E1236))</f>
        <v>384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Standart'!$F$14:$F$216,'RAB Standart'!$C$14:$C$216,C1237)</f>
        <v>1</v>
      </c>
      <c r="E1237" s="26">
        <f t="shared" ca="1" si="41"/>
        <v>1</v>
      </c>
      <c r="F1237" s="26">
        <f ca="1">IF(D1237=0,0,SUM($E$713:E1237))</f>
        <v>385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Standart'!$F$14:$F$216,'RAB Standart'!$C$14:$C$216,C1238)</f>
        <v>1</v>
      </c>
      <c r="E1238" s="26">
        <f t="shared" ca="1" si="41"/>
        <v>1</v>
      </c>
      <c r="F1238" s="26">
        <f ca="1">IF(D1238=0,0,SUM($E$713:E1238))</f>
        <v>386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Standart'!$F$14:$F$216,'RAB Standart'!$C$14:$C$216,C1239)</f>
        <v>1</v>
      </c>
      <c r="E1239" s="26">
        <f t="shared" ca="1" si="41"/>
        <v>1</v>
      </c>
      <c r="F1239" s="26">
        <f ca="1">IF(D1239=0,0,SUM($E$713:E1239))</f>
        <v>387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Standart'!$F$14:$F$216,'RAB Standart'!$C$14:$C$216,C1240)</f>
        <v>1</v>
      </c>
      <c r="E1240" s="26">
        <f t="shared" ca="1" si="41"/>
        <v>1</v>
      </c>
      <c r="F1240" s="26">
        <f ca="1">IF(D1240=0,0,SUM($E$713:E1240))</f>
        <v>388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Standart'!$F$14:$F$216,'RAB Standart'!$C$14:$C$216,C1241)</f>
        <v>1</v>
      </c>
      <c r="E1241" s="26">
        <f t="shared" ca="1" si="41"/>
        <v>1</v>
      </c>
      <c r="F1241" s="26">
        <f ca="1">IF(D1241=0,0,SUM($E$713:E1241))</f>
        <v>389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Standart'!$F$14:$F$216,'RAB Standart'!$C$14:$C$216,C1242)</f>
        <v>1</v>
      </c>
      <c r="E1242" s="26">
        <f t="shared" ca="1" si="41"/>
        <v>1</v>
      </c>
      <c r="F1242" s="26">
        <f ca="1">IF(D1242=0,0,SUM($E$713:E1242))</f>
        <v>390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Standart'!$F$14:$F$216,'RAB Standart'!$C$14:$C$216,C1243)</f>
        <v>1</v>
      </c>
      <c r="E1243" s="26">
        <f t="shared" ca="1" si="41"/>
        <v>1</v>
      </c>
      <c r="F1243" s="26">
        <f ca="1">IF(D1243=0,0,SUM($E$713:E1243))</f>
        <v>391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Standart'!$F$14:$F$216,'RAB Standart'!$C$14:$C$216,C1244)</f>
        <v>1</v>
      </c>
      <c r="E1244" s="26">
        <f t="shared" ca="1" si="41"/>
        <v>1</v>
      </c>
      <c r="F1244" s="26">
        <f ca="1">IF(D1244=0,0,SUM($E$713:E1244))</f>
        <v>392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Standart'!$F$14:$F$216,'RAB Standart'!$C$14:$C$216,C1245)</f>
        <v>1</v>
      </c>
      <c r="E1245" s="26">
        <f t="shared" ca="1" si="41"/>
        <v>1</v>
      </c>
      <c r="F1245" s="26">
        <f ca="1">IF(D1245=0,0,SUM($E$713:E1245))</f>
        <v>393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Standart'!$F$14:$F$216,'RAB Standart'!$C$14:$C$216,C1246)</f>
        <v>1</v>
      </c>
      <c r="E1246" s="26">
        <f t="shared" ca="1" si="41"/>
        <v>1</v>
      </c>
      <c r="F1246" s="26">
        <f ca="1">IF(D1246=0,0,SUM($E$713:E1246))</f>
        <v>394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Standart'!$F$14:$F$216,'RAB Standart'!$C$14:$C$216,C1247)</f>
        <v>1</v>
      </c>
      <c r="E1247" s="26">
        <f t="shared" ca="1" si="41"/>
        <v>1</v>
      </c>
      <c r="F1247" s="26">
        <f ca="1">IF(D1247=0,0,SUM($E$713:E1247))</f>
        <v>395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Standart'!$F$14:$F$216,'RAB Standart'!$C$14:$C$216,C1248)</f>
        <v>1</v>
      </c>
      <c r="E1248" s="26">
        <f t="shared" ca="1" si="41"/>
        <v>1</v>
      </c>
      <c r="F1248" s="26">
        <f ca="1">IF(D1248=0,0,SUM($E$713:E1248))</f>
        <v>396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Standart'!$F$14:$F$216,'RAB Standart'!$C$14:$C$216,C1249)</f>
        <v>1</v>
      </c>
      <c r="E1249" s="26">
        <f t="shared" ca="1" si="41"/>
        <v>1</v>
      </c>
      <c r="F1249" s="26">
        <f ca="1">IF(D1249=0,0,SUM($E$713:E1249))</f>
        <v>397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Standart'!$F$14:$F$216,'RAB Standart'!$C$14:$C$216,C1250)</f>
        <v>1</v>
      </c>
      <c r="E1250" s="26">
        <f t="shared" ca="1" si="41"/>
        <v>1</v>
      </c>
      <c r="F1250" s="26">
        <f ca="1">IF(D1250=0,0,SUM($E$713:E1250))</f>
        <v>398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Standart'!$F$14:$F$216,'RAB Standart'!$C$14:$C$216,C1251)</f>
        <v>1</v>
      </c>
      <c r="E1251" s="26">
        <f t="shared" ca="1" si="41"/>
        <v>1</v>
      </c>
      <c r="F1251" s="26">
        <f ca="1">IF(D1251=0,0,SUM($E$713:E1251))</f>
        <v>399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Standart'!$F$14:$F$216,'RAB Standart'!$C$14:$C$216,C1252)</f>
        <v>1</v>
      </c>
      <c r="E1252" s="26">
        <f t="shared" ca="1" si="41"/>
        <v>1</v>
      </c>
      <c r="F1252" s="26">
        <f ca="1">IF(D1252=0,0,SUM($E$713:E1252))</f>
        <v>400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Standart'!$F$14:$F$216,'RAB Standart'!$C$14:$C$216,C1253)</f>
        <v>1</v>
      </c>
      <c r="E1253" s="26">
        <f t="shared" ca="1" si="41"/>
        <v>1</v>
      </c>
      <c r="F1253" s="26">
        <f ca="1">IF(D1253=0,0,SUM($E$713:E1253))</f>
        <v>401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Standart'!$F$14:$F$216,'RAB Standart'!$C$14:$C$216,C1254)</f>
        <v>1</v>
      </c>
      <c r="E1254" s="26">
        <f t="shared" ca="1" si="41"/>
        <v>1</v>
      </c>
      <c r="F1254" s="26">
        <f ca="1">IF(D1254=0,0,SUM($E$713:E1254))</f>
        <v>402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Standart'!$F$14:$F$216,'RAB Standart'!$C$14:$C$216,C1255)</f>
        <v>1</v>
      </c>
      <c r="E1255" s="26">
        <f t="shared" ca="1" si="41"/>
        <v>1</v>
      </c>
      <c r="F1255" s="26">
        <f ca="1">IF(D1255=0,0,SUM($E$713:E1255))</f>
        <v>403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Standart'!$F$14:$F$216,'RAB Standart'!$C$14:$C$216,C1256)</f>
        <v>1</v>
      </c>
      <c r="E1256" s="26">
        <f t="shared" ca="1" si="41"/>
        <v>1</v>
      </c>
      <c r="F1256" s="26">
        <f ca="1">IF(D1256=0,0,SUM($E$713:E1256))</f>
        <v>404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Standart'!$F$14:$F$216,'RAB Standart'!$C$14:$C$216,C1257)</f>
        <v>1</v>
      </c>
      <c r="E1257" s="26">
        <f t="shared" ca="1" si="41"/>
        <v>1</v>
      </c>
      <c r="F1257" s="26">
        <f ca="1">IF(D1257=0,0,SUM($E$713:E1257))</f>
        <v>405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Standart'!$F$14:$F$216,'RAB Standart'!$C$14:$C$216,C1258)</f>
        <v>1</v>
      </c>
      <c r="E1258" s="26">
        <f t="shared" ca="1" si="41"/>
        <v>1</v>
      </c>
      <c r="F1258" s="26">
        <f ca="1">IF(D1258=0,0,SUM($E$713:E1258))</f>
        <v>406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Standart'!$F$14:$F$216,'RAB Standart'!$C$14:$C$216,C1259)</f>
        <v>1</v>
      </c>
      <c r="E1259" s="26">
        <f t="shared" ca="1" si="41"/>
        <v>1</v>
      </c>
      <c r="F1259" s="26">
        <f ca="1">IF(D1259=0,0,SUM($E$713:E1259))</f>
        <v>407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Standart'!$F$14:$F$216,'RAB Standart'!$C$14:$C$216,C1260)</f>
        <v>1</v>
      </c>
      <c r="E1260" s="26">
        <f t="shared" ca="1" si="41"/>
        <v>1</v>
      </c>
      <c r="F1260" s="26">
        <f ca="1">IF(D1260=0,0,SUM($E$713:E1260))</f>
        <v>408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Standart'!$F$14:$F$216,'RAB Standart'!$C$14:$C$216,C1261)</f>
        <v>1</v>
      </c>
      <c r="E1261" s="26">
        <f t="shared" ca="1" si="41"/>
        <v>1</v>
      </c>
      <c r="F1261" s="26">
        <f ca="1">IF(D1261=0,0,SUM($E$713:E1261))</f>
        <v>409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Standart'!$F$14:$F$216,'RAB Standart'!$C$14:$C$216,C1262)</f>
        <v>1</v>
      </c>
      <c r="E1262" s="26">
        <f t="shared" ca="1" si="41"/>
        <v>1</v>
      </c>
      <c r="F1262" s="26">
        <f ca="1">IF(D1262=0,0,SUM($E$713:E1262))</f>
        <v>410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Standart'!$F$14:$F$216,'RAB Standart'!$C$14:$C$216,C1263)</f>
        <v>1</v>
      </c>
      <c r="E1263" s="26">
        <f t="shared" ca="1" si="41"/>
        <v>1</v>
      </c>
      <c r="F1263" s="26">
        <f ca="1">IF(D1263=0,0,SUM($E$713:E1263))</f>
        <v>411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Standart'!$F$14:$F$216,'RAB Standart'!$C$14:$C$216,C1264)</f>
        <v>1</v>
      </c>
      <c r="E1264" s="26">
        <f t="shared" ca="1" si="41"/>
        <v>1</v>
      </c>
      <c r="F1264" s="26">
        <f ca="1">IF(D1264=0,0,SUM($E$713:E1264))</f>
        <v>412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Standart'!$F$14:$F$216,'RAB Standart'!$C$14:$C$216,C1265)</f>
        <v>1</v>
      </c>
      <c r="E1265" s="26">
        <f t="shared" ca="1" si="41"/>
        <v>1</v>
      </c>
      <c r="F1265" s="26">
        <f ca="1">IF(D1265=0,0,SUM($E$713:E1265))</f>
        <v>413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Standart'!$F$14:$F$216,'RAB Standart'!$C$14:$C$216,C1266)</f>
        <v>1</v>
      </c>
      <c r="E1266" s="26">
        <f t="shared" ca="1" si="41"/>
        <v>1</v>
      </c>
      <c r="F1266" s="26">
        <f ca="1">IF(D1266=0,0,SUM($E$713:E1266))</f>
        <v>414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Standart'!$F$14:$F$216,'RAB Standart'!$C$14:$C$216,C1267)</f>
        <v>1</v>
      </c>
      <c r="E1267" s="26">
        <f t="shared" ca="1" si="41"/>
        <v>1</v>
      </c>
      <c r="F1267" s="26">
        <f ca="1">IF(D1267=0,0,SUM($E$713:E1267))</f>
        <v>415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Standart'!$F$14:$F$216,'RAB Standart'!$C$14:$C$216,C1268)</f>
        <v>1</v>
      </c>
      <c r="E1268" s="26">
        <f t="shared" ca="1" si="41"/>
        <v>1</v>
      </c>
      <c r="F1268" s="26">
        <f ca="1">IF(D1268=0,0,SUM($E$713:E1268))</f>
        <v>416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Standart'!$F$14:$F$216,'RAB Standart'!$C$14:$C$216,C1269)</f>
        <v>1</v>
      </c>
      <c r="E1269" s="26">
        <f t="shared" ca="1" si="41"/>
        <v>1</v>
      </c>
      <c r="F1269" s="26">
        <f ca="1">IF(D1269=0,0,SUM($E$713:E1269))</f>
        <v>417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Standart'!$F$14:$F$216,'RAB Standart'!$C$14:$C$216,C1270)</f>
        <v>1</v>
      </c>
      <c r="E1270" s="26">
        <f t="shared" ca="1" si="41"/>
        <v>1</v>
      </c>
      <c r="F1270" s="26">
        <f ca="1">IF(D1270=0,0,SUM($E$713:E1270))</f>
        <v>418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Standart'!$F$14:$F$216,'RAB Standart'!$C$14:$C$216,C1271)</f>
        <v>1</v>
      </c>
      <c r="E1271" s="26">
        <f t="shared" ca="1" si="41"/>
        <v>1</v>
      </c>
      <c r="F1271" s="26">
        <f ca="1">IF(D1271=0,0,SUM($E$713:E1271))</f>
        <v>419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Standart'!$F$14:$F$216,'RAB Standart'!$C$14:$C$216,C1272)</f>
        <v>1</v>
      </c>
      <c r="E1272" s="26">
        <f t="shared" ca="1" si="41"/>
        <v>1</v>
      </c>
      <c r="F1272" s="26">
        <f ca="1">IF(D1272=0,0,SUM($E$713:E1272))</f>
        <v>420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Standart'!$F$14:$F$216,'RAB Standart'!$C$14:$C$216,C1273)</f>
        <v>1</v>
      </c>
      <c r="E1273" s="26">
        <f t="shared" ca="1" si="41"/>
        <v>1</v>
      </c>
      <c r="F1273" s="26">
        <f ca="1">IF(D1273=0,0,SUM($E$713:E1273))</f>
        <v>421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Standart'!$F$14:$F$216,'RAB Standart'!$C$14:$C$216,C1274)</f>
        <v>1</v>
      </c>
      <c r="E1274" s="26">
        <f t="shared" ca="1" si="41"/>
        <v>1</v>
      </c>
      <c r="F1274" s="26">
        <f ca="1">IF(D1274=0,0,SUM($E$713:E1274))</f>
        <v>422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Standart'!$F$14:$F$216,'RAB Standart'!$C$14:$C$216,C1275)</f>
        <v>1</v>
      </c>
      <c r="E1275" s="26">
        <f t="shared" ca="1" si="41"/>
        <v>1</v>
      </c>
      <c r="F1275" s="26">
        <f ca="1">IF(D1275=0,0,SUM($E$713:E1275))</f>
        <v>423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Standart'!$F$14:$F$216,'RAB Standart'!$C$14:$C$216,C1276)</f>
        <v>1</v>
      </c>
      <c r="E1276" s="26">
        <f t="shared" ca="1" si="41"/>
        <v>1</v>
      </c>
      <c r="F1276" s="26">
        <f ca="1">IF(D1276=0,0,SUM($E$713:E1276))</f>
        <v>424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Standart'!$F$14:$F$216,'RAB Standart'!$C$14:$C$216,C1277)</f>
        <v>1</v>
      </c>
      <c r="E1277" s="26">
        <f t="shared" ca="1" si="41"/>
        <v>1</v>
      </c>
      <c r="F1277" s="26">
        <f ca="1">IF(D1277=0,0,SUM($E$713:E1277))</f>
        <v>425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Standart'!$F$14:$F$216,'RAB Standart'!$C$14:$C$216,C1278)</f>
        <v>1</v>
      </c>
      <c r="E1278" s="26">
        <f t="shared" ca="1" si="41"/>
        <v>1</v>
      </c>
      <c r="F1278" s="26">
        <f ca="1">IF(D1278=0,0,SUM($E$713:E1278))</f>
        <v>426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Standart'!$F$14:$F$216,'RAB Standart'!$C$14:$C$216,C1279)</f>
        <v>1</v>
      </c>
      <c r="E1279" s="26">
        <f t="shared" ca="1" si="41"/>
        <v>1</v>
      </c>
      <c r="F1279" s="26">
        <f ca="1">IF(D1279=0,0,SUM($E$713:E1279))</f>
        <v>427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Standart'!$F$14:$F$216,'RAB Standart'!$C$14:$C$216,C1280)</f>
        <v>1</v>
      </c>
      <c r="E1280" s="26">
        <f t="shared" ca="1" si="41"/>
        <v>1</v>
      </c>
      <c r="F1280" s="26">
        <f ca="1">IF(D1280=0,0,SUM($E$713:E1280))</f>
        <v>428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Standart'!$F$14:$F$216,'RAB Standart'!$C$14:$C$216,C1281)</f>
        <v>1</v>
      </c>
      <c r="E1281" s="26">
        <f t="shared" ca="1" si="41"/>
        <v>1</v>
      </c>
      <c r="F1281" s="26">
        <f ca="1">IF(D1281=0,0,SUM($E$713:E1281))</f>
        <v>429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Standart'!$F$14:$F$216,'RAB Standart'!$C$14:$C$216,C1282)</f>
        <v>1</v>
      </c>
      <c r="E1282" s="26">
        <f t="shared" ca="1" si="41"/>
        <v>1</v>
      </c>
      <c r="F1282" s="26">
        <f ca="1">IF(D1282=0,0,SUM($E$713:E1282))</f>
        <v>430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Standart'!$F$14:$F$216,'RAB Standart'!$C$14:$C$216,C1283)</f>
        <v>1</v>
      </c>
      <c r="E1283" s="26">
        <f t="shared" ca="1" si="41"/>
        <v>1</v>
      </c>
      <c r="F1283" s="26">
        <f ca="1">IF(D1283=0,0,SUM($E$713:E1283))</f>
        <v>431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Standart'!$F$14:$F$216,'RAB Standart'!$C$14:$C$216,C1284)</f>
        <v>1</v>
      </c>
      <c r="E1284" s="26">
        <f t="shared" ca="1" si="41"/>
        <v>1</v>
      </c>
      <c r="F1284" s="26">
        <f ca="1">IF(D1284=0,0,SUM($E$713:E1284))</f>
        <v>432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Standart'!$F$14:$F$216,'RAB Standart'!$C$14:$C$216,C1285)</f>
        <v>1</v>
      </c>
      <c r="E1285" s="26">
        <f t="shared" ca="1" si="41"/>
        <v>1</v>
      </c>
      <c r="F1285" s="26">
        <f ca="1">IF(D1285=0,0,SUM($E$713:E1285))</f>
        <v>433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Standart'!$F$14:$F$216,'RAB Standart'!$C$14:$C$216,C1286)</f>
        <v>1</v>
      </c>
      <c r="E1286" s="26">
        <f t="shared" ca="1" si="41"/>
        <v>1</v>
      </c>
      <c r="F1286" s="26">
        <f ca="1">IF(D1286=0,0,SUM($E$713:E1286))</f>
        <v>434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Standart'!$F$14:$F$216,'RAB Standart'!$C$14:$C$216,C1287)</f>
        <v>1</v>
      </c>
      <c r="E1287" s="26">
        <f t="shared" ca="1" si="41"/>
        <v>1</v>
      </c>
      <c r="F1287" s="26">
        <f ca="1">IF(D1287=0,0,SUM($E$713:E1287))</f>
        <v>435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Standart'!$F$14:$F$216,'RAB Standart'!$C$14:$C$216,C1288)</f>
        <v>1</v>
      </c>
      <c r="E1288" s="26">
        <f t="shared" ca="1" si="41"/>
        <v>1</v>
      </c>
      <c r="F1288" s="26">
        <f ca="1">IF(D1288=0,0,SUM($E$713:E1288))</f>
        <v>436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Standart'!$F$14:$F$216,'RAB Standart'!$C$14:$C$216,C1289)</f>
        <v>1</v>
      </c>
      <c r="E1289" s="26">
        <f t="shared" ca="1" si="41"/>
        <v>1</v>
      </c>
      <c r="F1289" s="26">
        <f ca="1">IF(D1289=0,0,SUM($E$713:E1289))</f>
        <v>437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Standart'!$F$14:$F$216,'RAB Standart'!$C$14:$C$216,C1290)</f>
        <v>1</v>
      </c>
      <c r="E1290" s="26">
        <f t="shared" ca="1" si="41"/>
        <v>1</v>
      </c>
      <c r="F1290" s="26">
        <f ca="1">IF(D1290=0,0,SUM($E$713:E1290))</f>
        <v>438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Standart'!$F$14:$F$216,'RAB Standart'!$C$14:$C$216,C1291)</f>
        <v>1</v>
      </c>
      <c r="E1291" s="26">
        <f t="shared" ref="E1291:E1320" ca="1" si="42">IF(D1291=0,0,1)</f>
        <v>1</v>
      </c>
      <c r="F1291" s="26">
        <f ca="1">IF(D1291=0,0,SUM($E$713:E1291))</f>
        <v>439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Standart'!$F$14:$F$216,'RAB Standart'!$C$14:$C$216,C1292)</f>
        <v>1</v>
      </c>
      <c r="E1292" s="26">
        <f t="shared" ca="1" si="42"/>
        <v>1</v>
      </c>
      <c r="F1292" s="26">
        <f ca="1">IF(D1292=0,0,SUM($E$713:E1292))</f>
        <v>440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Standart'!$F$14:$F$216,'RAB Standart'!$C$14:$C$216,C1293)</f>
        <v>1</v>
      </c>
      <c r="E1293" s="26">
        <f t="shared" ca="1" si="42"/>
        <v>1</v>
      </c>
      <c r="F1293" s="26">
        <f ca="1">IF(D1293=0,0,SUM($E$713:E1293))</f>
        <v>441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Standart'!$F$14:$F$216,'RAB Standart'!$C$14:$C$216,C1294)</f>
        <v>1</v>
      </c>
      <c r="E1294" s="26">
        <f t="shared" ca="1" si="42"/>
        <v>1</v>
      </c>
      <c r="F1294" s="26">
        <f ca="1">IF(D1294=0,0,SUM($E$713:E1294))</f>
        <v>442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Standart'!$F$14:$F$216,'RAB Standart'!$C$14:$C$216,C1295)</f>
        <v>1</v>
      </c>
      <c r="E1295" s="26">
        <f t="shared" ca="1" si="42"/>
        <v>1</v>
      </c>
      <c r="F1295" s="26">
        <f ca="1">IF(D1295=0,0,SUM($E$713:E1295))</f>
        <v>443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Standart'!$F$14:$F$216,'RAB Standart'!$C$14:$C$216,C1296)</f>
        <v>1</v>
      </c>
      <c r="E1296" s="26">
        <f t="shared" ca="1" si="42"/>
        <v>1</v>
      </c>
      <c r="F1296" s="26">
        <f ca="1">IF(D1296=0,0,SUM($E$713:E1296))</f>
        <v>444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Standart'!$F$14:$F$216,'RAB Standart'!$C$14:$C$216,C1297)</f>
        <v>1</v>
      </c>
      <c r="E1297" s="26">
        <f t="shared" ca="1" si="42"/>
        <v>1</v>
      </c>
      <c r="F1297" s="26">
        <f ca="1">IF(D1297=0,0,SUM($E$713:E1297))</f>
        <v>445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Standart'!$F$14:$F$216,'RAB Standart'!$C$14:$C$216,C1298)</f>
        <v>1</v>
      </c>
      <c r="E1298" s="26">
        <f t="shared" ca="1" si="42"/>
        <v>1</v>
      </c>
      <c r="F1298" s="26">
        <f ca="1">IF(D1298=0,0,SUM($E$713:E1298))</f>
        <v>446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Standart'!$F$14:$F$216,'RAB Standart'!$C$14:$C$216,C1299)</f>
        <v>1</v>
      </c>
      <c r="E1299" s="26">
        <f t="shared" ca="1" si="42"/>
        <v>1</v>
      </c>
      <c r="F1299" s="26">
        <f ca="1">IF(D1299=0,0,SUM($E$713:E1299))</f>
        <v>447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Standart'!$F$14:$F$216,'RAB Standart'!$C$14:$C$216,C1300)</f>
        <v>1</v>
      </c>
      <c r="E1300" s="26">
        <f t="shared" ca="1" si="42"/>
        <v>1</v>
      </c>
      <c r="F1300" s="26">
        <f ca="1">IF(D1300=0,0,SUM($E$713:E1300))</f>
        <v>448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Standart'!$F$14:$F$216,'RAB Standart'!$C$14:$C$216,C1301)</f>
        <v>1</v>
      </c>
      <c r="E1301" s="26">
        <f t="shared" ca="1" si="42"/>
        <v>1</v>
      </c>
      <c r="F1301" s="26">
        <f ca="1">IF(D1301=0,0,SUM($E$713:E1301))</f>
        <v>449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Standart'!$F$14:$F$216,'RAB Standart'!$C$14:$C$216,C1302)</f>
        <v>1</v>
      </c>
      <c r="E1302" s="26">
        <f t="shared" ca="1" si="42"/>
        <v>1</v>
      </c>
      <c r="F1302" s="26">
        <f ca="1">IF(D1302=0,0,SUM($E$713:E1302))</f>
        <v>450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Standart'!$F$14:$F$216,'RAB Standart'!$C$14:$C$216,C1303)</f>
        <v>1</v>
      </c>
      <c r="E1303" s="26">
        <f t="shared" ca="1" si="42"/>
        <v>1</v>
      </c>
      <c r="F1303" s="26">
        <f ca="1">IF(D1303=0,0,SUM($E$713:E1303))</f>
        <v>451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Standart'!$F$14:$F$216,'RAB Standart'!$C$14:$C$216,C1304)</f>
        <v>1</v>
      </c>
      <c r="E1304" s="26">
        <f t="shared" ca="1" si="42"/>
        <v>1</v>
      </c>
      <c r="F1304" s="26">
        <f ca="1">IF(D1304=0,0,SUM($E$713:E1304))</f>
        <v>452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Standart'!$F$14:$F$216,'RAB Standart'!$C$14:$C$216,C1305)</f>
        <v>1</v>
      </c>
      <c r="E1305" s="26">
        <f t="shared" ca="1" si="42"/>
        <v>1</v>
      </c>
      <c r="F1305" s="26">
        <f ca="1">IF(D1305=0,0,SUM($E$713:E1305))</f>
        <v>453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Standart'!$F$14:$F$216,'RAB Standart'!$C$14:$C$216,C1306)</f>
        <v>1</v>
      </c>
      <c r="E1306" s="26">
        <f t="shared" ca="1" si="42"/>
        <v>1</v>
      </c>
      <c r="F1306" s="26">
        <f ca="1">IF(D1306=0,0,SUM($E$713:E1306))</f>
        <v>454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Standart'!$F$14:$F$216,'RAB Standart'!$C$14:$C$216,C1307)</f>
        <v>1</v>
      </c>
      <c r="E1307" s="26">
        <f t="shared" ca="1" si="42"/>
        <v>1</v>
      </c>
      <c r="F1307" s="26">
        <f ca="1">IF(D1307=0,0,SUM($E$713:E1307))</f>
        <v>455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Standart'!$F$14:$F$216,'RAB Standart'!$C$14:$C$216,C1308)</f>
        <v>1</v>
      </c>
      <c r="E1308" s="26">
        <f t="shared" ca="1" si="42"/>
        <v>1</v>
      </c>
      <c r="F1308" s="26">
        <f ca="1">IF(D1308=0,0,SUM($E$713:E1308))</f>
        <v>456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Standart'!$F$14:$F$216,'RAB Standart'!$C$14:$C$216,C1309)</f>
        <v>1</v>
      </c>
      <c r="E1309" s="26">
        <f t="shared" ca="1" si="42"/>
        <v>1</v>
      </c>
      <c r="F1309" s="26">
        <f ca="1">IF(D1309=0,0,SUM($E$713:E1309))</f>
        <v>457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Standart'!$F$14:$F$216,'RAB Standart'!$C$14:$C$216,C1310)</f>
        <v>1</v>
      </c>
      <c r="E1310" s="26">
        <f t="shared" ca="1" si="42"/>
        <v>1</v>
      </c>
      <c r="F1310" s="26">
        <f ca="1">IF(D1310=0,0,SUM($E$713:E1310))</f>
        <v>458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Standart'!$F$14:$F$216,'RAB Standart'!$C$14:$C$216,C1311)</f>
        <v>1</v>
      </c>
      <c r="E1311" s="26">
        <f t="shared" ca="1" si="42"/>
        <v>1</v>
      </c>
      <c r="F1311" s="26">
        <f ca="1">IF(D1311=0,0,SUM($E$713:E1311))</f>
        <v>459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Standart'!$F$14:$F$216,'RAB Standart'!$C$14:$C$216,C1312)</f>
        <v>1</v>
      </c>
      <c r="E1312" s="26">
        <f t="shared" ca="1" si="42"/>
        <v>1</v>
      </c>
      <c r="F1312" s="26">
        <f ca="1">IF(D1312=0,0,SUM($E$713:E1312))</f>
        <v>460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Standart'!$F$14:$F$216,'RAB Standart'!$C$14:$C$216,C1313)</f>
        <v>1</v>
      </c>
      <c r="E1313" s="26">
        <f t="shared" ca="1" si="42"/>
        <v>1</v>
      </c>
      <c r="F1313" s="26">
        <f ca="1">IF(D1313=0,0,SUM($E$713:E1313))</f>
        <v>461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Standart'!$F$14:$F$216,'RAB Standart'!$C$14:$C$216,C1314)</f>
        <v>1</v>
      </c>
      <c r="E1314" s="26">
        <f t="shared" ca="1" si="42"/>
        <v>1</v>
      </c>
      <c r="F1314" s="26">
        <f ca="1">IF(D1314=0,0,SUM($E$713:E1314))</f>
        <v>462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Standart'!$F$14:$F$216,'RAB Standart'!$C$14:$C$216,C1315)</f>
        <v>1</v>
      </c>
      <c r="E1315" s="26">
        <f t="shared" ca="1" si="42"/>
        <v>1</v>
      </c>
      <c r="F1315" s="26">
        <f ca="1">IF(D1315=0,0,SUM($E$713:E1315))</f>
        <v>463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Standart'!$F$14:$F$216,'RAB Standart'!$C$14:$C$216,C1316)</f>
        <v>1</v>
      </c>
      <c r="E1316" s="26">
        <f t="shared" ca="1" si="42"/>
        <v>1</v>
      </c>
      <c r="F1316" s="26">
        <f ca="1">IF(D1316=0,0,SUM($E$713:E1316))</f>
        <v>464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Standart'!$F$14:$F$216,'RAB Standart'!$C$14:$C$216,C1317)</f>
        <v>1</v>
      </c>
      <c r="E1317" s="26">
        <f t="shared" ca="1" si="42"/>
        <v>1</v>
      </c>
      <c r="F1317" s="26">
        <f ca="1">IF(D1317=0,0,SUM($E$713:E1317))</f>
        <v>465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Standart'!$F$14:$F$216,'RAB Standart'!$C$14:$C$216,C1318)</f>
        <v>1</v>
      </c>
      <c r="E1318" s="26">
        <f t="shared" ca="1" si="42"/>
        <v>1</v>
      </c>
      <c r="F1318" s="26">
        <f ca="1">IF(D1318=0,0,SUM($E$713:E1318))</f>
        <v>466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Standart'!$F$14:$F$216,'RAB Standart'!$C$14:$C$216,C1319)</f>
        <v>1</v>
      </c>
      <c r="E1319" s="26">
        <f t="shared" ca="1" si="42"/>
        <v>1</v>
      </c>
      <c r="F1319" s="26">
        <f ca="1">IF(D1319=0,0,SUM($E$713:E1319))</f>
        <v>467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Standart'!$F$14:$F$216,'RAB Standart'!$C$14:$C$216,C1320)</f>
        <v>1</v>
      </c>
      <c r="E1320" s="26">
        <f t="shared" ca="1" si="42"/>
        <v>1</v>
      </c>
      <c r="F1320" s="26">
        <f ca="1">IF(D1320=0,0,SUM($E$713:E1320))</f>
        <v>468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4" priority="5" operator="equal">
      <formula>0</formula>
    </cfRule>
  </conditionalFormatting>
  <conditionalFormatting sqref="A10:L65536">
    <cfRule type="cellIs" dxfId="43" priority="1" operator="equal">
      <formula>0</formula>
    </cfRule>
  </conditionalFormatting>
  <conditionalFormatting sqref="C12:C711">
    <cfRule type="cellIs" dxfId="42" priority="66" stopIfTrue="1" operator="equal">
      <formula>0</formula>
    </cfRule>
  </conditionalFormatting>
  <conditionalFormatting sqref="E712:E65536">
    <cfRule type="cellIs" dxfId="41" priority="16" stopIfTrue="1" operator="equal">
      <formula>0</formula>
    </cfRule>
  </conditionalFormatting>
  <conditionalFormatting sqref="G1:G11 E6:E11 E1:E3 H7 H10:H11 F10:F711 G712:G65536">
    <cfRule type="cellIs" dxfId="40" priority="69" stopIfTrue="1" operator="equal">
      <formula>0</formula>
    </cfRule>
  </conditionalFormatting>
  <conditionalFormatting sqref="G12:H711">
    <cfRule type="cellIs" dxfId="39" priority="12" stopIfTrue="1" operator="equal">
      <formula>0</formula>
    </cfRule>
  </conditionalFormatting>
  <conditionalFormatting sqref="I7:K7">
    <cfRule type="cellIs" dxfId="38" priority="4" stopIfTrue="1" operator="equal">
      <formula>0</formula>
    </cfRule>
  </conditionalFormatting>
  <conditionalFormatting sqref="I10:L711">
    <cfRule type="cellIs" dxfId="37" priority="2" stopIfTrue="1" operator="equal">
      <formula>0</formula>
    </cfRule>
  </conditionalFormatting>
  <conditionalFormatting sqref="L1:L6">
    <cfRule type="cellIs" dxfId="36" priority="10" operator="equal">
      <formula>0</formula>
    </cfRule>
  </conditionalFormatting>
  <conditionalFormatting sqref="M1:IV1048576 A8:G9">
    <cfRule type="cellIs" dxfId="35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1100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5" t="str">
        <f>'RAB Standart'!G6</f>
        <v>PEKERJAAN PB An. PT NESTA INDONESIA JAYA</v>
      </c>
      <c r="H6" s="565"/>
      <c r="I6" s="565"/>
      <c r="J6" s="565"/>
      <c r="K6" s="565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KATONSARI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34</v>
      </c>
      <c r="E11" s="547" t="s">
        <v>35</v>
      </c>
      <c r="F11" s="547" t="s">
        <v>2</v>
      </c>
      <c r="G11" s="549" t="s">
        <v>33</v>
      </c>
      <c r="H11" s="547" t="s">
        <v>3</v>
      </c>
      <c r="I11" s="547"/>
      <c r="J11" s="547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48"/>
      <c r="E12" s="548"/>
      <c r="F12" s="548"/>
      <c r="G12" s="550"/>
      <c r="H12" s="556" t="s">
        <v>38</v>
      </c>
      <c r="I12" s="556" t="s">
        <v>5</v>
      </c>
      <c r="J12" s="548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48"/>
      <c r="E13" s="548"/>
      <c r="F13" s="548"/>
      <c r="G13" s="551"/>
      <c r="H13" s="557"/>
      <c r="I13" s="557"/>
      <c r="J13" s="548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SATUAN'!$C$7:$C$1509,0),0)),"",OFFSET('HARGA SATUAN'!$I$6,MATCH(C16,'HARGA SATUAN'!$C$7:$C$1509,0),0))</f>
        <v>8609100</v>
      </c>
      <c r="H16" s="42">
        <f t="shared" ca="1" si="1"/>
        <v>0</v>
      </c>
      <c r="I16" s="42">
        <f t="shared" ca="1" si="2"/>
        <v>25827300</v>
      </c>
      <c r="J16" s="42">
        <f t="shared" ca="1" si="3"/>
        <v>0</v>
      </c>
      <c r="K16" s="43">
        <f t="shared" ca="1" si="0"/>
        <v>25827300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>
        <f t="shared" ca="1" si="5"/>
        <v>1</v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>
        <f t="shared" ca="1" si="5"/>
        <v>1</v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>
        <f t="shared" ca="1" si="5"/>
        <v>1</v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>
        <f t="shared" ca="1" si="5"/>
        <v>1</v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>
        <f t="shared" ca="1" si="5"/>
        <v>1</v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>
        <f t="shared" ca="1" si="5"/>
        <v>1</v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>
        <f t="shared" ca="1" si="5"/>
        <v>1</v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>
        <f t="shared" ca="1" si="5"/>
        <v>1</v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>
        <f t="shared" ca="1" si="5"/>
        <v>1</v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>
        <f t="shared" ca="1" si="5"/>
        <v>1</v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>
        <f t="shared" ca="1" si="5"/>
        <v>1</v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>
        <f t="shared" ca="1" si="5"/>
        <v>1</v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6" t="s">
        <v>984</v>
      </c>
      <c r="D38" s="566"/>
      <c r="E38" s="566"/>
      <c r="F38" s="566"/>
      <c r="G38" s="77" t="s">
        <v>9</v>
      </c>
      <c r="H38" s="55">
        <f ca="1">SUM(H14:H37)</f>
        <v>0</v>
      </c>
      <c r="I38" s="55">
        <f ca="1">SUM(I14:I37)</f>
        <v>25827300</v>
      </c>
      <c r="J38" s="55">
        <f ca="1">SUM(J14:J37)</f>
        <v>0</v>
      </c>
      <c r="K38" s="55">
        <f ca="1">SUM(K14:K37)</f>
        <v>25827300</v>
      </c>
      <c r="L38" s="44"/>
      <c r="R38" s="99"/>
      <c r="S38" s="99"/>
      <c r="T38" s="99"/>
    </row>
    <row r="39" spans="1:20" s="36" customFormat="1">
      <c r="A39" s="30"/>
      <c r="B39" s="56"/>
      <c r="C39" s="567" t="s">
        <v>455</v>
      </c>
      <c r="D39" s="567"/>
      <c r="E39" s="567"/>
      <c r="F39" s="567"/>
      <c r="G39" s="59" t="s">
        <v>9</v>
      </c>
      <c r="H39" s="60">
        <f ca="1">H38*0.1</f>
        <v>0</v>
      </c>
      <c r="I39" s="60">
        <f ca="1">I38*0.1</f>
        <v>2582730</v>
      </c>
      <c r="J39" s="60">
        <f ca="1">J38*0.1</f>
        <v>0</v>
      </c>
      <c r="K39" s="60">
        <f ca="1">K38*0.1</f>
        <v>2582730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8" t="s">
        <v>456</v>
      </c>
      <c r="D40" s="558"/>
      <c r="E40" s="558"/>
      <c r="F40" s="558"/>
      <c r="G40" s="61" t="s">
        <v>9</v>
      </c>
      <c r="H40" s="78">
        <f ca="1">SUM(H38:H39)</f>
        <v>0</v>
      </c>
      <c r="I40" s="78">
        <f ca="1">SUM(I38:I39)</f>
        <v>28410030</v>
      </c>
      <c r="J40" s="61">
        <f ca="1">SUM(J38:J39)</f>
        <v>0</v>
      </c>
      <c r="K40" s="61">
        <f ca="1">SUM(K38:K39)</f>
        <v>28410030</v>
      </c>
      <c r="L40" s="44"/>
      <c r="R40" s="99"/>
      <c r="S40" s="99"/>
      <c r="T40" s="99"/>
    </row>
    <row r="41" spans="1:20" s="36" customFormat="1">
      <c r="A41" s="30"/>
      <c r="B41" s="559" t="e">
        <f ca="1">"Terbilang : ( "&amp;L42&amp;" Rupiah )"</f>
        <v>#NAME?</v>
      </c>
      <c r="C41" s="560"/>
      <c r="D41" s="560"/>
      <c r="E41" s="560"/>
      <c r="F41" s="560"/>
      <c r="G41" s="560"/>
      <c r="H41" s="560"/>
      <c r="I41" s="560"/>
      <c r="J41" s="560"/>
      <c r="K41" s="561"/>
      <c r="L41" s="44"/>
      <c r="R41" s="58"/>
      <c r="S41" s="58"/>
      <c r="T41" s="58"/>
    </row>
    <row r="42" spans="1:20" s="36" customFormat="1">
      <c r="A42" s="30"/>
      <c r="B42" s="562"/>
      <c r="C42" s="563"/>
      <c r="D42" s="563"/>
      <c r="E42" s="563"/>
      <c r="F42" s="563"/>
      <c r="G42" s="563"/>
      <c r="H42" s="563"/>
      <c r="I42" s="563"/>
      <c r="J42" s="563"/>
      <c r="K42" s="564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3"/>
      <c r="I45" s="553"/>
      <c r="J45" s="554"/>
      <c r="K45" s="55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3"/>
      <c r="I46" s="553"/>
      <c r="J46" s="554"/>
      <c r="K46" s="55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3"/>
      <c r="I47" s="553"/>
      <c r="J47" s="554"/>
      <c r="K47" s="55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3"/>
      <c r="I52" s="553"/>
      <c r="J52" s="554"/>
      <c r="K52" s="55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Standart'!$F$14:$F$216,'RAB Standart'!$C$14:$C$216,'REKAP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Standart'!$F$14:$F$216,'RAB Standart'!$C$14:$C$216,'REKAP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Standart'!$F$14:$F$216,'RAB Standart'!$C$14:$C$216,'REKAP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Standart'!$F$14:$F$216,'RAB Standart'!$C$14:$C$216,'REKAP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Standart'!$F$14:$F$216,'RAB Standart'!$C$14:$C$216,'REKAP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Standart'!$F$14:$F$216,'RAB Standart'!$C$14:$C$216,'REKAP TIANG'!C62)</f>
        <v>3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Standart'!$F$14:$F$216,'RAB Standart'!$C$14:$C$216,'REKAP TIANG'!C63)</f>
        <v>1</v>
      </c>
      <c r="E63" s="24">
        <f t="shared" ca="1" si="12"/>
        <v>1</v>
      </c>
      <c r="F63" s="24">
        <f ca="1">IF(D63=0,0,SUM($E$56:E63))</f>
        <v>2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Standart'!$F$14:$F$216,'RAB Standart'!$C$14:$C$216,'REKAP TIANG'!C64)</f>
        <v>1</v>
      </c>
      <c r="E64" s="24">
        <f t="shared" ca="1" si="12"/>
        <v>1</v>
      </c>
      <c r="F64" s="24">
        <f ca="1">IF(D64=0,0,SUM($E$56:E64))</f>
        <v>3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Standart'!$F$14:$F$216,'RAB Standart'!$C$14:$C$216,'REKAP TIANG'!C65)</f>
        <v>1</v>
      </c>
      <c r="E65" s="24">
        <f t="shared" ref="E65:E75" ca="1" si="13">IF(D65=0,0,1)</f>
        <v>1</v>
      </c>
      <c r="F65" s="24">
        <f ca="1">IF(D65=0,0,SUM($E$56:E65))</f>
        <v>4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Standart'!$F$14:$F$216,'RAB Standart'!$C$14:$C$216,'REKAP TIANG'!C66)</f>
        <v>1</v>
      </c>
      <c r="E66" s="24">
        <f t="shared" ca="1" si="13"/>
        <v>1</v>
      </c>
      <c r="F66" s="24">
        <f ca="1">IF(D66=0,0,SUM($E$56:E66))</f>
        <v>5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Standart'!$F$14:$F$216,'RAB Standart'!$C$14:$C$216,'REKAP TIANG'!C67)</f>
        <v>1</v>
      </c>
      <c r="E67" s="24">
        <f t="shared" ca="1" si="13"/>
        <v>1</v>
      </c>
      <c r="F67" s="24">
        <f ca="1">IF(D67=0,0,SUM($E$56:E67))</f>
        <v>6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Standart'!$F$14:$F$216,'RAB Standart'!$C$14:$C$216,'REKAP TIANG'!C68)</f>
        <v>1</v>
      </c>
      <c r="E68" s="24">
        <f t="shared" ca="1" si="13"/>
        <v>1</v>
      </c>
      <c r="F68" s="24">
        <f ca="1">IF(D68=0,0,SUM($E$56:E68))</f>
        <v>7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Standart'!$F$14:$F$216,'RAB Standart'!$C$14:$C$216,'REKAP TIANG'!C69)</f>
        <v>1</v>
      </c>
      <c r="E69" s="24">
        <f t="shared" ca="1" si="13"/>
        <v>1</v>
      </c>
      <c r="F69" s="24">
        <f ca="1">IF(D69=0,0,SUM($E$56:E69))</f>
        <v>8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Standart'!$F$14:$F$216,'RAB Standart'!$C$14:$C$216,'REKAP TIANG'!C70)</f>
        <v>1</v>
      </c>
      <c r="E70" s="24">
        <f t="shared" ca="1" si="13"/>
        <v>1</v>
      </c>
      <c r="F70" s="24">
        <f ca="1">IF(D70=0,0,SUM($E$56:E70))</f>
        <v>9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Standart'!$F$14:$F$216,'RAB Standart'!$C$14:$C$216,'REKAP TIANG'!C71)</f>
        <v>1</v>
      </c>
      <c r="E71" s="24">
        <f t="shared" ca="1" si="13"/>
        <v>1</v>
      </c>
      <c r="F71" s="24">
        <f ca="1">IF(D71=0,0,SUM($E$56:E71))</f>
        <v>10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Standart'!$F$14:$F$216,'RAB Standart'!$C$14:$C$216,'REKAP TIANG'!C72)</f>
        <v>1</v>
      </c>
      <c r="E72" s="24">
        <f t="shared" ca="1" si="13"/>
        <v>1</v>
      </c>
      <c r="F72" s="24">
        <f ca="1">IF(D72=0,0,SUM($E$56:E72))</f>
        <v>11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Standart'!$F$14:$F$216,'RAB Standart'!$C$14:$C$216,'REKAP TIANG'!C73)</f>
        <v>1</v>
      </c>
      <c r="E73" s="24">
        <f t="shared" ca="1" si="13"/>
        <v>1</v>
      </c>
      <c r="F73" s="24">
        <f ca="1">IF(D73=0,0,SUM($E$56:E73))</f>
        <v>12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Standart'!$F$14:$F$216,'RAB Standart'!$C$14:$C$216,'REKAP TIANG'!C74)</f>
        <v>1</v>
      </c>
      <c r="E74" s="24">
        <f t="shared" ca="1" si="13"/>
        <v>1</v>
      </c>
      <c r="F74" s="24">
        <f ca="1">IF(D74=0,0,SUM($E$56:E74))</f>
        <v>13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Standart'!$F$14:$F$216,'RAB Standart'!$C$14:$C$216,'REKAP TIANG'!C75)</f>
        <v>1</v>
      </c>
      <c r="E75" s="24">
        <f t="shared" ca="1" si="13"/>
        <v>1</v>
      </c>
      <c r="F75" s="24">
        <f ca="1">IF(D75=0,0,SUM($E$56:E75))</f>
        <v>14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Standart'!$F$14:$F$216,'RAB Standart'!$C$14:$C$216,'REKAP TIANG'!C76)</f>
        <v>1</v>
      </c>
      <c r="E76" s="24">
        <f ca="1">IF(D76=0,0,1)</f>
        <v>1</v>
      </c>
      <c r="F76" s="24">
        <f ca="1">IF(D76=0,0,SUM($E$56:E76))</f>
        <v>15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34" sqref="F34:F51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1007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5" t="str">
        <f>'RAB Standart'!G6</f>
        <v>PEKERJAAN PB An. PT NESTA INDONESIA JAYA</v>
      </c>
      <c r="H6" s="565"/>
      <c r="I6" s="565"/>
      <c r="J6" s="565"/>
      <c r="K6" s="565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KATONSARI - DEMAK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34</v>
      </c>
      <c r="E11" s="547" t="s">
        <v>35</v>
      </c>
      <c r="F11" s="547" t="s">
        <v>2</v>
      </c>
      <c r="G11" s="549" t="s">
        <v>33</v>
      </c>
      <c r="H11" s="547" t="s">
        <v>3</v>
      </c>
      <c r="I11" s="547"/>
      <c r="J11" s="547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48"/>
      <c r="E12" s="548"/>
      <c r="F12" s="548"/>
      <c r="G12" s="550"/>
      <c r="H12" s="556" t="s">
        <v>38</v>
      </c>
      <c r="I12" s="556" t="s">
        <v>5</v>
      </c>
      <c r="J12" s="548" t="s">
        <v>39</v>
      </c>
      <c r="K12" s="55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48"/>
      <c r="E13" s="548"/>
      <c r="F13" s="548"/>
      <c r="G13" s="551"/>
      <c r="H13" s="557"/>
      <c r="I13" s="557"/>
      <c r="J13" s="548"/>
      <c r="K13" s="55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Trafo 1 Fasa CSP 50 kVA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1</v>
      </c>
      <c r="G22" s="41">
        <f ca="1">IF(ISERROR(OFFSET('HARGA SATUAN'!$I$6,MATCH(C22,'HARGA SATUAN'!$C$7:$C$1509,0),0)),"",OFFSET('HARGA SATUAN'!$I$6,MATCH(C22,'HARGA SATUAN'!$C$7:$C$1509,0),0))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Disconnecting Switch 20 KV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Set</v>
      </c>
      <c r="F23" s="101">
        <f t="shared" ca="1" si="6"/>
        <v>1</v>
      </c>
      <c r="G23" s="41">
        <f ca="1">IF(ISERROR(OFFSET('HARGA SATUAN'!$I$6,MATCH(C23,'HARGA SATUAN'!$C$7:$C$1509,0),0)),"",OFFSET('HARGA SATUAN'!$I$6,MATCH(C23,'HARGA SATUAN'!$C$7:$C$1509,0),0))</f>
        <v>8703800</v>
      </c>
      <c r="H23" s="42">
        <f t="shared" ca="1" si="1"/>
        <v>8703800</v>
      </c>
      <c r="I23" s="42">
        <f t="shared" ca="1" si="2"/>
        <v>0</v>
      </c>
      <c r="J23" s="42">
        <f t="shared" ca="1" si="3"/>
        <v>0</v>
      </c>
      <c r="K23" s="43">
        <f t="shared" ca="1" si="0"/>
        <v>8703800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Lightning Arester (Polymer) 21 KV, 10 KA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Bh</v>
      </c>
      <c r="F24" s="101">
        <f t="shared" ca="1" si="6"/>
        <v>3</v>
      </c>
      <c r="G24" s="41">
        <f ca="1">IF(ISERROR(OFFSET('HARGA SATUAN'!$I$6,MATCH(C24,'HARGA SATUAN'!$C$7:$C$1509,0),0)),"",OFFSET('HARGA SATUAN'!$I$6,MATCH(C24,'HARGA SATUAN'!$C$7:$C$1509,0),0))</f>
        <v>725900</v>
      </c>
      <c r="H24" s="42">
        <f t="shared" ca="1" si="1"/>
        <v>2177700</v>
      </c>
      <c r="I24" s="42">
        <f t="shared" ca="1" si="2"/>
        <v>0</v>
      </c>
      <c r="J24" s="42">
        <f t="shared" ca="1" si="3"/>
        <v>0</v>
      </c>
      <c r="K24" s="43">
        <f t="shared" ca="1" si="0"/>
        <v>2177700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Tumpu ( Pin Post ) 20 KV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Bh</v>
      </c>
      <c r="F25" s="101">
        <f t="shared" ca="1" si="6"/>
        <v>4</v>
      </c>
      <c r="G25" s="41">
        <f ca="1">IF(ISERROR(OFFSET('HARGA SATUAN'!$I$6,MATCH(C25,'HARGA SATUAN'!$C$7:$C$1509,0),0)),"",OFFSET('HARGA SATUAN'!$I$6,MATCH(C25,'HARGA SATUAN'!$C$7:$C$1509,0),0))</f>
        <v>235900</v>
      </c>
      <c r="H25" s="42">
        <f t="shared" ca="1" si="1"/>
        <v>943600</v>
      </c>
      <c r="I25" s="42">
        <f t="shared" ca="1" si="2"/>
        <v>0</v>
      </c>
      <c r="J25" s="42">
        <f t="shared" ca="1" si="3"/>
        <v>0</v>
      </c>
      <c r="K25" s="43">
        <f t="shared" ca="1" si="0"/>
        <v>943600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Isolator Tumpu ( Line Post ) 20 KV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Bh</v>
      </c>
      <c r="F26" s="101">
        <f t="shared" ca="1" si="6"/>
        <v>2</v>
      </c>
      <c r="G26" s="41">
        <f ca="1">IF(ISERROR(OFFSET('HARGA SATUAN'!$I$6,MATCH(C26,'HARGA SATUAN'!$C$7:$C$1509,0),0)),"",OFFSET('HARGA SATUAN'!$I$6,MATCH(C26,'HARGA SATUAN'!$C$7:$C$1509,0),0))</f>
        <v>176900</v>
      </c>
      <c r="H26" s="42">
        <f t="shared" ca="1" si="1"/>
        <v>353800</v>
      </c>
      <c r="I26" s="42">
        <f t="shared" ca="1" si="2"/>
        <v>0</v>
      </c>
      <c r="J26" s="42">
        <f t="shared" ca="1" si="3"/>
        <v>0</v>
      </c>
      <c r="K26" s="43">
        <f t="shared" ca="1" si="0"/>
        <v>353800</v>
      </c>
      <c r="L26" s="46"/>
      <c r="Q26" s="36"/>
      <c r="R26" s="45"/>
      <c r="S26" s="45"/>
      <c r="T26" s="45"/>
    </row>
    <row r="27" spans="1:20" s="47" customFormat="1" ht="30">
      <c r="A27" s="30">
        <v>12</v>
      </c>
      <c r="B27" s="100">
        <f t="shared" ca="1" si="4"/>
        <v>12</v>
      </c>
      <c r="C27" s="109" t="str">
        <f t="shared" ca="1" si="5"/>
        <v>Isolator Tarik ( Porcelain ) 20 KV + Primary Dead End Clamp 150-240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Set</v>
      </c>
      <c r="F27" s="101">
        <f t="shared" ca="1" si="6"/>
        <v>18</v>
      </c>
      <c r="G27" s="41">
        <f ca="1">IF(ISERROR(OFFSET('HARGA SATUAN'!$I$6,MATCH(C27,'HARGA SATUAN'!$C$7:$C$1509,0),0)),"",OFFSET('HARGA SATUAN'!$I$6,MATCH(C27,'HARGA SATUAN'!$C$7:$C$1509,0),0))</f>
        <v>430000</v>
      </c>
      <c r="H27" s="42">
        <f t="shared" ca="1" si="1"/>
        <v>7740000</v>
      </c>
      <c r="I27" s="42">
        <f t="shared" ca="1" si="2"/>
        <v>0</v>
      </c>
      <c r="J27" s="42">
        <f t="shared" ca="1" si="3"/>
        <v>0</v>
      </c>
      <c r="K27" s="43">
        <f t="shared" ca="1" si="0"/>
        <v>7740000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70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01">
        <f t="shared" ca="1" si="6"/>
        <v>18</v>
      </c>
      <c r="G28" s="41">
        <f ca="1">IF(ISERROR(OFFSET('HARGA SATUAN'!$I$6,MATCH(C28,'HARGA SATUAN'!$C$7:$C$1509,0),0)),"",OFFSET('HARGA SATUAN'!$I$6,MATCH(C28,'HARGA SATUAN'!$C$7:$C$1509,0),0))</f>
        <v>14200</v>
      </c>
      <c r="H28" s="42">
        <f t="shared" ca="1" si="1"/>
        <v>255600</v>
      </c>
      <c r="I28" s="42">
        <f t="shared" ca="1" si="2"/>
        <v>0</v>
      </c>
      <c r="J28" s="42">
        <f t="shared" ca="1" si="3"/>
        <v>0</v>
      </c>
      <c r="K28" s="43">
        <f t="shared" ca="1" si="0"/>
        <v>255600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AAAC 150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01">
        <f t="shared" ca="1" si="6"/>
        <v>90</v>
      </c>
      <c r="G29" s="41">
        <f ca="1">IF(ISERROR(OFFSET('HARGA SATUAN'!$I$6,MATCH(C29,'HARGA SATUAN'!$C$7:$C$1509,0),0)),"",OFFSET('HARGA SATUAN'!$I$6,MATCH(C29,'HARGA SATUAN'!$C$7:$C$1509,0),0))</f>
        <v>25300</v>
      </c>
      <c r="H29" s="42">
        <f t="shared" ca="1" si="1"/>
        <v>2277000</v>
      </c>
      <c r="I29" s="42">
        <f t="shared" ca="1" si="2"/>
        <v>0</v>
      </c>
      <c r="J29" s="42">
        <f t="shared" ca="1" si="3"/>
        <v>0</v>
      </c>
      <c r="K29" s="43">
        <f t="shared" ca="1" si="0"/>
        <v>2277000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AAAC 240 mm²</v>
      </c>
      <c r="D30" s="101" t="str">
        <f ca="1">IF(ISERROR(OFFSET('HARGA SATUAN'!$D$6,MATCH(C30,'HARGA SATUAN'!$C$7:$C$1509,0),0)),"",OFFSET('HARGA SATUAN'!$D$6,MATCH(C30,'HARGA SATUAN'!$C$7:$C$1509,0),0))</f>
        <v>MDU-KD</v>
      </c>
      <c r="E30" s="101" t="str">
        <f ca="1">IF(B30="+","Unit",IF(ISERROR(OFFSET('HARGA SATUAN'!$E$6,MATCH(C30,'HARGA SATUAN'!$C$7:$C$1509,0),0)),"",OFFSET('HARGA SATUAN'!$E$6,MATCH(C30,'HARGA SATUAN'!$C$7:$C$1509,0),0)))</f>
        <v>Mtr</v>
      </c>
      <c r="F30" s="101">
        <f t="shared" ca="1" si="6"/>
        <v>270</v>
      </c>
      <c r="G30" s="41">
        <f ca="1">IF(ISERROR(OFFSET('HARGA SATUAN'!$I$6,MATCH(C30,'HARGA SATUAN'!$C$7:$C$1509,0),0)),"",OFFSET('HARGA SATUAN'!$I$6,MATCH(C30,'HARGA SATUAN'!$C$7:$C$1509,0),0))</f>
        <v>36900</v>
      </c>
      <c r="H30" s="42">
        <f t="shared" ca="1" si="1"/>
        <v>9963000</v>
      </c>
      <c r="I30" s="42">
        <f t="shared" ca="1" si="2"/>
        <v>0</v>
      </c>
      <c r="J30" s="42">
        <f t="shared" ca="1" si="3"/>
        <v>0</v>
      </c>
      <c r="K30" s="43">
        <f t="shared" ca="1" si="0"/>
        <v>9963000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NFA2X-T 2 x 70 + N 70 mm²</v>
      </c>
      <c r="D31" s="101" t="str">
        <f ca="1">IF(ISERROR(OFFSET('HARGA SATUAN'!$D$6,MATCH(C31,'HARGA SATUAN'!$C$7:$C$1509,0),0)),"",OFFSET('HARGA SATUAN'!$D$6,MATCH(C31,'HARGA SATUAN'!$C$7:$C$1509,0),0))</f>
        <v>MDU-KD</v>
      </c>
      <c r="E31" s="101" t="str">
        <f ca="1">IF(B31="+","Unit",IF(ISERROR(OFFSET('HARGA SATUAN'!$E$6,MATCH(C31,'HARGA SATUAN'!$C$7:$C$1509,0),0)),"",OFFSET('HARGA SATUAN'!$E$6,MATCH(C31,'HARGA SATUAN'!$C$7:$C$1509,0),0)))</f>
        <v>Mtr</v>
      </c>
      <c r="F31" s="101">
        <f t="shared" ca="1" si="6"/>
        <v>2</v>
      </c>
      <c r="G31" s="41">
        <f ca="1">IF(ISERROR(OFFSET('HARGA SATUAN'!$I$6,MATCH(C31,'HARGA SATUAN'!$C$7:$C$1509,0),0)),"",OFFSET('HARGA SATUAN'!$I$6,MATCH(C31,'HARGA SATUAN'!$C$7:$C$1509,0),0))</f>
        <v>53300</v>
      </c>
      <c r="H31" s="42">
        <f t="shared" ca="1" si="1"/>
        <v>106600</v>
      </c>
      <c r="I31" s="42">
        <f t="shared" ca="1" si="2"/>
        <v>0</v>
      </c>
      <c r="J31" s="42">
        <f t="shared" ca="1" si="3"/>
        <v>0</v>
      </c>
      <c r="K31" s="43">
        <f t="shared" ca="1" si="0"/>
        <v>106600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>
        <f t="shared" ca="1" si="4"/>
        <v>17</v>
      </c>
      <c r="C32" s="109" t="str">
        <f t="shared" ca="1" si="5"/>
        <v>NFA2X 2 x 10 mm²</v>
      </c>
      <c r="D32" s="101" t="str">
        <f ca="1">IF(ISERROR(OFFSET('HARGA SATUAN'!$D$6,MATCH(C32,'HARGA SATUAN'!$C$7:$C$1509,0),0)),"",OFFSET('HARGA SATUAN'!$D$6,MATCH(C32,'HARGA SATUAN'!$C$7:$C$1509,0),0))</f>
        <v>MDU-KD</v>
      </c>
      <c r="E32" s="101" t="str">
        <f ca="1">IF(B32="+","Unit",IF(ISERROR(OFFSET('HARGA SATUAN'!$E$6,MATCH(C32,'HARGA SATUAN'!$C$7:$C$1509,0),0)),"",OFFSET('HARGA SATUAN'!$E$6,MATCH(C32,'HARGA SATUAN'!$C$7:$C$1509,0),0)))</f>
        <v>Mtr</v>
      </c>
      <c r="F32" s="101">
        <f t="shared" ca="1" si="6"/>
        <v>35</v>
      </c>
      <c r="G32" s="41">
        <f ca="1">IF(ISERROR(OFFSET('HARGA SATUAN'!$I$6,MATCH(C32,'HARGA SATUAN'!$C$7:$C$1509,0),0)),"",OFFSET('HARGA SATUAN'!$I$6,MATCH(C32,'HARGA SATUAN'!$C$7:$C$1509,0),0))</f>
        <v>4300</v>
      </c>
      <c r="H32" s="42">
        <f t="shared" ca="1" si="1"/>
        <v>150500</v>
      </c>
      <c r="I32" s="42">
        <f t="shared" ca="1" si="2"/>
        <v>0</v>
      </c>
      <c r="J32" s="42">
        <f t="shared" ca="1" si="3"/>
        <v>0</v>
      </c>
      <c r="K32" s="43">
        <f t="shared" ca="1" si="0"/>
        <v>150500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>
        <f t="shared" ca="1" si="4"/>
        <v>18</v>
      </c>
      <c r="C33" s="109" t="str">
        <f t="shared" ca="1" si="5"/>
        <v>Kabel NYY 1 x 70 mm²</v>
      </c>
      <c r="D33" s="101" t="str">
        <f ca="1">IF(ISERROR(OFFSET('HARGA SATUAN'!$D$6,MATCH(C33,'HARGA SATUAN'!$C$7:$C$1509,0),0)),"",OFFSET('HARGA SATUAN'!$D$6,MATCH(C33,'HARGA SATUAN'!$C$7:$C$1509,0),0))</f>
        <v>MDU-KD</v>
      </c>
      <c r="E33" s="101" t="str">
        <f ca="1">IF(B33="+","Unit",IF(ISERROR(OFFSET('HARGA SATUAN'!$E$6,MATCH(C33,'HARGA SATUAN'!$C$7:$C$1509,0),0)),"",OFFSET('HARGA SATUAN'!$E$6,MATCH(C33,'HARGA SATUAN'!$C$7:$C$1509,0),0)))</f>
        <v>Mtr</v>
      </c>
      <c r="F33" s="101">
        <f t="shared" ca="1" si="6"/>
        <v>25</v>
      </c>
      <c r="G33" s="41">
        <f ca="1">IF(ISERROR(OFFSET('HARGA SATUAN'!$I$6,MATCH(C33,'HARGA SATUAN'!$C$7:$C$1509,0),0)),"",OFFSET('HARGA SATUAN'!$I$6,MATCH(C33,'HARGA SATUAN'!$C$7:$C$1509,0),0))</f>
        <v>94700</v>
      </c>
      <c r="H33" s="42">
        <f t="shared" ca="1" si="1"/>
        <v>2367500</v>
      </c>
      <c r="I33" s="42">
        <f t="shared" ca="1" si="2"/>
        <v>0</v>
      </c>
      <c r="J33" s="42">
        <f t="shared" ca="1" si="3"/>
        <v>0</v>
      </c>
      <c r="K33" s="43">
        <f t="shared" ca="1" si="0"/>
        <v>2367500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ref="B34:B38" ca="1" si="7">IF(C34="","",A34)</f>
        <v/>
      </c>
      <c r="C34" s="109" t="str">
        <f t="shared" ref="C34:C38" ca="1" si="8">IF(ISERROR(OFFSET($C$223,MATCH(A34,$F$224:$F$373,0),0)),"",OFFSET($C$223,MATCH(A34,$F$224:$F$373,0),0))</f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/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ref="H34:H38" ca="1" si="9">IF(OR(D34="MDU",D34="MDU-KD"),G34*F34,0)</f>
        <v>0</v>
      </c>
      <c r="I34" s="42">
        <f t="shared" ref="I34:I38" ca="1" si="10">IF(D34="HDW",G34*F34,0)</f>
        <v>0</v>
      </c>
      <c r="J34" s="42">
        <f t="shared" ref="J34:J38" ca="1" si="11">IF(D34="JASA",G34*F34,0)</f>
        <v>0</v>
      </c>
      <c r="K34" s="43">
        <f t="shared" ref="K34:K38" ca="1" si="12">SUM(H34:J34)</f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8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/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9"/>
        <v>0</v>
      </c>
      <c r="I35" s="42">
        <f t="shared" ca="1" si="10"/>
        <v>0</v>
      </c>
      <c r="J35" s="42">
        <f t="shared" ca="1" si="11"/>
        <v>0</v>
      </c>
      <c r="K35" s="43">
        <f t="shared" ca="1" si="12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7"/>
        <v/>
      </c>
      <c r="C36" s="109" t="str">
        <f t="shared" ca="1" si="8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/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9"/>
        <v>0</v>
      </c>
      <c r="I36" s="42">
        <f t="shared" ca="1" si="10"/>
        <v>0</v>
      </c>
      <c r="J36" s="42">
        <f t="shared" ca="1" si="11"/>
        <v>0</v>
      </c>
      <c r="K36" s="43">
        <f t="shared" ca="1" si="12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7"/>
        <v/>
      </c>
      <c r="C37" s="109" t="str">
        <f t="shared" ca="1" si="8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/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9"/>
        <v>0</v>
      </c>
      <c r="I37" s="42">
        <f t="shared" ca="1" si="10"/>
        <v>0</v>
      </c>
      <c r="J37" s="42">
        <f t="shared" ca="1" si="11"/>
        <v>0</v>
      </c>
      <c r="K37" s="43">
        <f t="shared" ca="1" si="12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7"/>
        <v/>
      </c>
      <c r="C38" s="109" t="str">
        <f t="shared" ca="1" si="8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/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9"/>
        <v>0</v>
      </c>
      <c r="I38" s="42">
        <f t="shared" ca="1" si="10"/>
        <v>0</v>
      </c>
      <c r="J38" s="42">
        <f t="shared" ca="1" si="11"/>
        <v>0</v>
      </c>
      <c r="K38" s="43">
        <f t="shared" ca="1" si="12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/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/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/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/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/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/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/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/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/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/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/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/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/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3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3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3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3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3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3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3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3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3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3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3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3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14">IF(OR(D79="MDU",D79="MDU-KD"),G79*F79,0)</f>
        <v>0</v>
      </c>
      <c r="I79" s="42">
        <f t="shared" ref="I79:I115" ca="1" si="15">IF(D79="HDW",G79*F79,0)</f>
        <v>0</v>
      </c>
      <c r="J79" s="42">
        <f t="shared" ref="J79:J115" ca="1" si="16">IF(D79="JASA",G79*F79,0)</f>
        <v>0</v>
      </c>
      <c r="K79" s="43">
        <f t="shared" ca="1" si="13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14"/>
        <v>0</v>
      </c>
      <c r="I80" s="42">
        <f t="shared" ca="1" si="15"/>
        <v>0</v>
      </c>
      <c r="J80" s="42">
        <f t="shared" ca="1" si="16"/>
        <v>0</v>
      </c>
      <c r="K80" s="43">
        <f t="shared" ca="1" si="13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7">IF(C81="","",A81)</f>
        <v/>
      </c>
      <c r="C81" s="109" t="str">
        <f t="shared" ref="C81:C144" ca="1" si="18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9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14"/>
        <v>0</v>
      </c>
      <c r="I81" s="42">
        <f t="shared" ca="1" si="15"/>
        <v>0</v>
      </c>
      <c r="J81" s="42">
        <f t="shared" ca="1" si="16"/>
        <v>0</v>
      </c>
      <c r="K81" s="43">
        <f t="shared" ca="1" si="13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7"/>
        <v/>
      </c>
      <c r="C82" s="109" t="str">
        <f t="shared" ca="1" si="18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9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14"/>
        <v>0</v>
      </c>
      <c r="I82" s="42">
        <f t="shared" ca="1" si="15"/>
        <v>0</v>
      </c>
      <c r="J82" s="42">
        <f t="shared" ca="1" si="16"/>
        <v>0</v>
      </c>
      <c r="K82" s="43">
        <f t="shared" ca="1" si="13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7"/>
        <v/>
      </c>
      <c r="C83" s="109" t="str">
        <f t="shared" ca="1" si="18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9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14"/>
        <v>0</v>
      </c>
      <c r="I83" s="42">
        <f t="shared" ca="1" si="15"/>
        <v>0</v>
      </c>
      <c r="J83" s="42">
        <f t="shared" ca="1" si="16"/>
        <v>0</v>
      </c>
      <c r="K83" s="43">
        <f t="shared" ca="1" si="13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7"/>
        <v/>
      </c>
      <c r="C84" s="109" t="str">
        <f t="shared" ca="1" si="18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9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14"/>
        <v>0</v>
      </c>
      <c r="I84" s="42">
        <f t="shared" ca="1" si="15"/>
        <v>0</v>
      </c>
      <c r="J84" s="42">
        <f t="shared" ca="1" si="16"/>
        <v>0</v>
      </c>
      <c r="K84" s="43">
        <f t="shared" ca="1" si="13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7"/>
        <v/>
      </c>
      <c r="C85" s="109" t="str">
        <f t="shared" ca="1" si="18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9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14"/>
        <v>0</v>
      </c>
      <c r="I85" s="42">
        <f t="shared" ca="1" si="15"/>
        <v>0</v>
      </c>
      <c r="J85" s="42">
        <f t="shared" ca="1" si="16"/>
        <v>0</v>
      </c>
      <c r="K85" s="43">
        <f t="shared" ca="1" si="13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7"/>
        <v/>
      </c>
      <c r="C86" s="109" t="str">
        <f t="shared" ca="1" si="18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9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14"/>
        <v>0</v>
      </c>
      <c r="I86" s="42">
        <f t="shared" ca="1" si="15"/>
        <v>0</v>
      </c>
      <c r="J86" s="42">
        <f t="shared" ca="1" si="16"/>
        <v>0</v>
      </c>
      <c r="K86" s="43">
        <f t="shared" ca="1" si="13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7"/>
        <v/>
      </c>
      <c r="C87" s="109" t="str">
        <f t="shared" ca="1" si="18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9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14"/>
        <v>0</v>
      </c>
      <c r="I87" s="42">
        <f t="shared" ca="1" si="15"/>
        <v>0</v>
      </c>
      <c r="J87" s="42">
        <f t="shared" ca="1" si="16"/>
        <v>0</v>
      </c>
      <c r="K87" s="43">
        <f t="shared" ca="1" si="13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7"/>
        <v/>
      </c>
      <c r="C88" s="109" t="str">
        <f t="shared" ca="1" si="18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9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14"/>
        <v>0</v>
      </c>
      <c r="I88" s="42">
        <f t="shared" ca="1" si="15"/>
        <v>0</v>
      </c>
      <c r="J88" s="42">
        <f t="shared" ca="1" si="16"/>
        <v>0</v>
      </c>
      <c r="K88" s="43">
        <f t="shared" ca="1" si="13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7"/>
        <v/>
      </c>
      <c r="C89" s="109" t="str">
        <f t="shared" ca="1" si="18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9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14"/>
        <v>0</v>
      </c>
      <c r="I89" s="42">
        <f t="shared" ca="1" si="15"/>
        <v>0</v>
      </c>
      <c r="J89" s="42">
        <f t="shared" ca="1" si="16"/>
        <v>0</v>
      </c>
      <c r="K89" s="43">
        <f t="shared" ca="1" si="13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7"/>
        <v/>
      </c>
      <c r="C90" s="109" t="str">
        <f t="shared" ca="1" si="18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9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14"/>
        <v>0</v>
      </c>
      <c r="I90" s="42">
        <f t="shared" ca="1" si="15"/>
        <v>0</v>
      </c>
      <c r="J90" s="42">
        <f t="shared" ca="1" si="16"/>
        <v>0</v>
      </c>
      <c r="K90" s="43">
        <f t="shared" ca="1" si="13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7"/>
        <v/>
      </c>
      <c r="C91" s="109" t="str">
        <f t="shared" ca="1" si="18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9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14"/>
        <v>0</v>
      </c>
      <c r="I91" s="42">
        <f t="shared" ca="1" si="15"/>
        <v>0</v>
      </c>
      <c r="J91" s="42">
        <f t="shared" ca="1" si="16"/>
        <v>0</v>
      </c>
      <c r="K91" s="43">
        <f t="shared" ca="1" si="13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7"/>
        <v/>
      </c>
      <c r="C92" s="109" t="str">
        <f t="shared" ca="1" si="18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9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14"/>
        <v>0</v>
      </c>
      <c r="I92" s="42">
        <f t="shared" ca="1" si="15"/>
        <v>0</v>
      </c>
      <c r="J92" s="42">
        <f t="shared" ca="1" si="16"/>
        <v>0</v>
      </c>
      <c r="K92" s="43">
        <f t="shared" ca="1" si="13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7"/>
        <v/>
      </c>
      <c r="C93" s="109" t="str">
        <f t="shared" ca="1" si="18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9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14"/>
        <v>0</v>
      </c>
      <c r="I93" s="42">
        <f t="shared" ca="1" si="15"/>
        <v>0</v>
      </c>
      <c r="J93" s="42">
        <f t="shared" ca="1" si="16"/>
        <v>0</v>
      </c>
      <c r="K93" s="43">
        <f t="shared" ca="1" si="13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7"/>
        <v/>
      </c>
      <c r="C94" s="109" t="str">
        <f t="shared" ca="1" si="18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9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14"/>
        <v>0</v>
      </c>
      <c r="I94" s="42">
        <f t="shared" ca="1" si="15"/>
        <v>0</v>
      </c>
      <c r="J94" s="42">
        <f t="shared" ca="1" si="16"/>
        <v>0</v>
      </c>
      <c r="K94" s="43">
        <f t="shared" ca="1" si="13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7"/>
        <v/>
      </c>
      <c r="C95" s="109" t="str">
        <f t="shared" ca="1" si="18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9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14"/>
        <v>0</v>
      </c>
      <c r="I95" s="42">
        <f t="shared" ca="1" si="15"/>
        <v>0</v>
      </c>
      <c r="J95" s="42">
        <f t="shared" ca="1" si="16"/>
        <v>0</v>
      </c>
      <c r="K95" s="43">
        <f t="shared" ca="1" si="13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7"/>
        <v/>
      </c>
      <c r="C96" s="109" t="str">
        <f t="shared" ca="1" si="18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9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14"/>
        <v>0</v>
      </c>
      <c r="I96" s="42">
        <f t="shared" ca="1" si="15"/>
        <v>0</v>
      </c>
      <c r="J96" s="42">
        <f t="shared" ca="1" si="16"/>
        <v>0</v>
      </c>
      <c r="K96" s="43">
        <f t="shared" ca="1" si="13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7"/>
        <v/>
      </c>
      <c r="C97" s="109" t="str">
        <f t="shared" ca="1" si="18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9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14"/>
        <v>0</v>
      </c>
      <c r="I97" s="42">
        <f t="shared" ca="1" si="15"/>
        <v>0</v>
      </c>
      <c r="J97" s="42">
        <f t="shared" ca="1" si="16"/>
        <v>0</v>
      </c>
      <c r="K97" s="43">
        <f t="shared" ca="1" si="13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7"/>
        <v/>
      </c>
      <c r="C98" s="109" t="str">
        <f t="shared" ca="1" si="18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9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14"/>
        <v>0</v>
      </c>
      <c r="I98" s="42">
        <f t="shared" ca="1" si="15"/>
        <v>0</v>
      </c>
      <c r="J98" s="42">
        <f t="shared" ca="1" si="16"/>
        <v>0</v>
      </c>
      <c r="K98" s="43">
        <f t="shared" ca="1" si="13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7"/>
        <v/>
      </c>
      <c r="C99" s="109" t="str">
        <f t="shared" ca="1" si="18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9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14"/>
        <v>0</v>
      </c>
      <c r="I99" s="42">
        <f t="shared" ca="1" si="15"/>
        <v>0</v>
      </c>
      <c r="J99" s="42">
        <f t="shared" ca="1" si="16"/>
        <v>0</v>
      </c>
      <c r="K99" s="43">
        <f t="shared" ca="1" si="13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7"/>
        <v/>
      </c>
      <c r="C100" s="109" t="str">
        <f t="shared" ca="1" si="18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9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14"/>
        <v>0</v>
      </c>
      <c r="I100" s="42">
        <f t="shared" ca="1" si="15"/>
        <v>0</v>
      </c>
      <c r="J100" s="42">
        <f t="shared" ca="1" si="16"/>
        <v>0</v>
      </c>
      <c r="K100" s="43">
        <f t="shared" ca="1" si="13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7"/>
        <v/>
      </c>
      <c r="C101" s="109" t="str">
        <f t="shared" ca="1" si="18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9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14"/>
        <v>0</v>
      </c>
      <c r="I101" s="42">
        <f t="shared" ca="1" si="15"/>
        <v>0</v>
      </c>
      <c r="J101" s="42">
        <f t="shared" ca="1" si="16"/>
        <v>0</v>
      </c>
      <c r="K101" s="43">
        <f t="shared" ca="1" si="13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7"/>
        <v/>
      </c>
      <c r="C102" s="109" t="str">
        <f t="shared" ca="1" si="18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9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14"/>
        <v>0</v>
      </c>
      <c r="I102" s="42">
        <f t="shared" ca="1" si="15"/>
        <v>0</v>
      </c>
      <c r="J102" s="42">
        <f t="shared" ca="1" si="16"/>
        <v>0</v>
      </c>
      <c r="K102" s="43">
        <f t="shared" ca="1" si="13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7"/>
        <v/>
      </c>
      <c r="C103" s="109" t="str">
        <f t="shared" ca="1" si="18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9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14"/>
        <v>0</v>
      </c>
      <c r="I103" s="42">
        <f t="shared" ca="1" si="15"/>
        <v>0</v>
      </c>
      <c r="J103" s="42">
        <f t="shared" ca="1" si="16"/>
        <v>0</v>
      </c>
      <c r="K103" s="43">
        <f t="shared" ca="1" si="13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7"/>
        <v/>
      </c>
      <c r="C104" s="109" t="str">
        <f t="shared" ca="1" si="18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9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14"/>
        <v>0</v>
      </c>
      <c r="I104" s="42">
        <f t="shared" ca="1" si="15"/>
        <v>0</v>
      </c>
      <c r="J104" s="42">
        <f t="shared" ca="1" si="16"/>
        <v>0</v>
      </c>
      <c r="K104" s="43">
        <f t="shared" ca="1" si="13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7"/>
        <v/>
      </c>
      <c r="C105" s="109" t="str">
        <f t="shared" ca="1" si="18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9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14"/>
        <v>0</v>
      </c>
      <c r="I105" s="42">
        <f t="shared" ca="1" si="15"/>
        <v>0</v>
      </c>
      <c r="J105" s="42">
        <f t="shared" ca="1" si="16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7"/>
        <v/>
      </c>
      <c r="C106" s="109" t="str">
        <f t="shared" ca="1" si="18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9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14"/>
        <v>0</v>
      </c>
      <c r="I106" s="42">
        <f t="shared" ca="1" si="15"/>
        <v>0</v>
      </c>
      <c r="J106" s="42">
        <f t="shared" ca="1" si="16"/>
        <v>0</v>
      </c>
      <c r="K106" s="43">
        <f t="shared" ref="K106:K114" ca="1" si="20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7"/>
        <v/>
      </c>
      <c r="C107" s="109" t="str">
        <f t="shared" ca="1" si="18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9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14"/>
        <v>0</v>
      </c>
      <c r="I107" s="42">
        <f t="shared" ca="1" si="15"/>
        <v>0</v>
      </c>
      <c r="J107" s="42">
        <f t="shared" ca="1" si="16"/>
        <v>0</v>
      </c>
      <c r="K107" s="43">
        <f t="shared" ca="1" si="20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7"/>
        <v/>
      </c>
      <c r="C108" s="109" t="str">
        <f t="shared" ca="1" si="18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9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14"/>
        <v>0</v>
      </c>
      <c r="I108" s="42">
        <f t="shared" ca="1" si="15"/>
        <v>0</v>
      </c>
      <c r="J108" s="42">
        <f t="shared" ca="1" si="16"/>
        <v>0</v>
      </c>
      <c r="K108" s="43">
        <f t="shared" ca="1" si="20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7"/>
        <v/>
      </c>
      <c r="C109" s="109" t="str">
        <f t="shared" ca="1" si="18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9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14"/>
        <v>0</v>
      </c>
      <c r="I109" s="42">
        <f t="shared" ca="1" si="15"/>
        <v>0</v>
      </c>
      <c r="J109" s="42">
        <f t="shared" ca="1" si="16"/>
        <v>0</v>
      </c>
      <c r="K109" s="43">
        <f t="shared" ca="1" si="20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7"/>
        <v/>
      </c>
      <c r="C110" s="109" t="str">
        <f t="shared" ca="1" si="18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9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14"/>
        <v>0</v>
      </c>
      <c r="I110" s="42">
        <f t="shared" ca="1" si="15"/>
        <v>0</v>
      </c>
      <c r="J110" s="42">
        <f t="shared" ca="1" si="16"/>
        <v>0</v>
      </c>
      <c r="K110" s="43">
        <f t="shared" ca="1" si="20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7"/>
        <v/>
      </c>
      <c r="C111" s="109" t="str">
        <f t="shared" ca="1" si="18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9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14"/>
        <v>0</v>
      </c>
      <c r="I111" s="42">
        <f t="shared" ca="1" si="15"/>
        <v>0</v>
      </c>
      <c r="J111" s="42">
        <f t="shared" ca="1" si="16"/>
        <v>0</v>
      </c>
      <c r="K111" s="43">
        <f t="shared" ca="1" si="20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7"/>
        <v/>
      </c>
      <c r="C112" s="109" t="str">
        <f t="shared" ca="1" si="18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9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14"/>
        <v>0</v>
      </c>
      <c r="I112" s="42">
        <f t="shared" ca="1" si="15"/>
        <v>0</v>
      </c>
      <c r="J112" s="42">
        <f t="shared" ca="1" si="16"/>
        <v>0</v>
      </c>
      <c r="K112" s="43">
        <f t="shared" ca="1" si="20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7"/>
        <v/>
      </c>
      <c r="C113" s="109" t="str">
        <f t="shared" ca="1" si="18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9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14"/>
        <v>0</v>
      </c>
      <c r="I113" s="42">
        <f t="shared" ca="1" si="15"/>
        <v>0</v>
      </c>
      <c r="J113" s="42">
        <f t="shared" ca="1" si="16"/>
        <v>0</v>
      </c>
      <c r="K113" s="43">
        <f t="shared" ca="1" si="20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7"/>
        <v/>
      </c>
      <c r="C114" s="109" t="str">
        <f t="shared" ca="1" si="18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9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14"/>
        <v>0</v>
      </c>
      <c r="I114" s="42">
        <f t="shared" ca="1" si="15"/>
        <v>0</v>
      </c>
      <c r="J114" s="42">
        <f t="shared" ca="1" si="16"/>
        <v>0</v>
      </c>
      <c r="K114" s="43">
        <f t="shared" ca="1" si="20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7"/>
        <v/>
      </c>
      <c r="C115" s="109" t="str">
        <f t="shared" ca="1" si="18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9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14"/>
        <v>0</v>
      </c>
      <c r="I115" s="42">
        <f t="shared" ca="1" si="15"/>
        <v>0</v>
      </c>
      <c r="J115" s="42">
        <f t="shared" ca="1" si="16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7"/>
        <v/>
      </c>
      <c r="C116" s="109" t="str">
        <f t="shared" ca="1" si="18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9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21">IF(OR(D116="MDU",D116="MDU-KD"),G116*F116,0)</f>
        <v>0</v>
      </c>
      <c r="I116" s="42">
        <f t="shared" ref="I116:I165" ca="1" si="22">IF(D116="HDW",G116*F116,0)</f>
        <v>0</v>
      </c>
      <c r="J116" s="42">
        <f t="shared" ref="J116:J165" ca="1" si="23">IF(D116="JASA",G116*F116,0)</f>
        <v>0</v>
      </c>
      <c r="K116" s="43">
        <f t="shared" ref="K116:K165" ca="1" si="24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7"/>
        <v/>
      </c>
      <c r="C117" s="109" t="str">
        <f t="shared" ca="1" si="18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9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21"/>
        <v>0</v>
      </c>
      <c r="I117" s="42">
        <f t="shared" ca="1" si="22"/>
        <v>0</v>
      </c>
      <c r="J117" s="42">
        <f t="shared" ca="1" si="23"/>
        <v>0</v>
      </c>
      <c r="K117" s="43">
        <f t="shared" ca="1" si="24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7"/>
        <v/>
      </c>
      <c r="C118" s="109" t="str">
        <f t="shared" ca="1" si="18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9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21"/>
        <v>0</v>
      </c>
      <c r="I118" s="42">
        <f t="shared" ca="1" si="22"/>
        <v>0</v>
      </c>
      <c r="J118" s="42">
        <f t="shared" ca="1" si="23"/>
        <v>0</v>
      </c>
      <c r="K118" s="43">
        <f t="shared" ca="1" si="24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7"/>
        <v/>
      </c>
      <c r="C119" s="109" t="str">
        <f t="shared" ca="1" si="18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9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21"/>
        <v>0</v>
      </c>
      <c r="I119" s="42">
        <f t="shared" ca="1" si="22"/>
        <v>0</v>
      </c>
      <c r="J119" s="42">
        <f t="shared" ca="1" si="23"/>
        <v>0</v>
      </c>
      <c r="K119" s="43">
        <f t="shared" ca="1" si="24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7"/>
        <v/>
      </c>
      <c r="C120" s="109" t="str">
        <f t="shared" ca="1" si="18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9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21"/>
        <v>0</v>
      </c>
      <c r="I120" s="42">
        <f t="shared" ca="1" si="22"/>
        <v>0</v>
      </c>
      <c r="J120" s="42">
        <f t="shared" ca="1" si="23"/>
        <v>0</v>
      </c>
      <c r="K120" s="43">
        <f t="shared" ca="1" si="24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7"/>
        <v/>
      </c>
      <c r="C121" s="109" t="str">
        <f t="shared" ca="1" si="18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9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21"/>
        <v>0</v>
      </c>
      <c r="I121" s="42">
        <f t="shared" ca="1" si="22"/>
        <v>0</v>
      </c>
      <c r="J121" s="42">
        <f t="shared" ca="1" si="23"/>
        <v>0</v>
      </c>
      <c r="K121" s="43">
        <f t="shared" ca="1" si="24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7"/>
        <v/>
      </c>
      <c r="C122" s="109" t="str">
        <f t="shared" ca="1" si="18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9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21"/>
        <v>0</v>
      </c>
      <c r="I122" s="42">
        <f t="shared" ca="1" si="22"/>
        <v>0</v>
      </c>
      <c r="J122" s="42">
        <f t="shared" ca="1" si="23"/>
        <v>0</v>
      </c>
      <c r="K122" s="43">
        <f t="shared" ca="1" si="24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7"/>
        <v/>
      </c>
      <c r="C123" s="109" t="str">
        <f t="shared" ca="1" si="18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9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21"/>
        <v>0</v>
      </c>
      <c r="I123" s="42">
        <f t="shared" ca="1" si="22"/>
        <v>0</v>
      </c>
      <c r="J123" s="42">
        <f t="shared" ca="1" si="23"/>
        <v>0</v>
      </c>
      <c r="K123" s="43">
        <f t="shared" ca="1" si="24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7"/>
        <v/>
      </c>
      <c r="C124" s="109" t="str">
        <f t="shared" ca="1" si="18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9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21"/>
        <v>0</v>
      </c>
      <c r="I124" s="42">
        <f t="shared" ca="1" si="22"/>
        <v>0</v>
      </c>
      <c r="J124" s="42">
        <f t="shared" ca="1" si="23"/>
        <v>0</v>
      </c>
      <c r="K124" s="43">
        <f t="shared" ca="1" si="24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7"/>
        <v/>
      </c>
      <c r="C125" s="109" t="str">
        <f t="shared" ca="1" si="18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9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21"/>
        <v>0</v>
      </c>
      <c r="I125" s="42">
        <f t="shared" ca="1" si="22"/>
        <v>0</v>
      </c>
      <c r="J125" s="42">
        <f t="shared" ca="1" si="23"/>
        <v>0</v>
      </c>
      <c r="K125" s="43">
        <f t="shared" ca="1" si="24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7"/>
        <v/>
      </c>
      <c r="C126" s="109" t="str">
        <f t="shared" ca="1" si="18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9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21"/>
        <v>0</v>
      </c>
      <c r="I126" s="42">
        <f t="shared" ca="1" si="22"/>
        <v>0</v>
      </c>
      <c r="J126" s="42">
        <f t="shared" ca="1" si="23"/>
        <v>0</v>
      </c>
      <c r="K126" s="43">
        <f t="shared" ca="1" si="24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7"/>
        <v/>
      </c>
      <c r="C127" s="109" t="str">
        <f t="shared" ca="1" si="18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9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21"/>
        <v>0</v>
      </c>
      <c r="I127" s="42">
        <f t="shared" ca="1" si="22"/>
        <v>0</v>
      </c>
      <c r="J127" s="42">
        <f t="shared" ca="1" si="23"/>
        <v>0</v>
      </c>
      <c r="K127" s="43">
        <f t="shared" ca="1" si="24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7"/>
        <v/>
      </c>
      <c r="C128" s="109" t="str">
        <f t="shared" ca="1" si="18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9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21"/>
        <v>0</v>
      </c>
      <c r="I128" s="42">
        <f t="shared" ca="1" si="22"/>
        <v>0</v>
      </c>
      <c r="J128" s="42">
        <f t="shared" ca="1" si="23"/>
        <v>0</v>
      </c>
      <c r="K128" s="43">
        <f t="shared" ca="1" si="24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7"/>
        <v/>
      </c>
      <c r="C129" s="109" t="str">
        <f t="shared" ca="1" si="18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9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21"/>
        <v>0</v>
      </c>
      <c r="I129" s="42">
        <f t="shared" ca="1" si="22"/>
        <v>0</v>
      </c>
      <c r="J129" s="42">
        <f t="shared" ca="1" si="23"/>
        <v>0</v>
      </c>
      <c r="K129" s="43">
        <f t="shared" ca="1" si="24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7"/>
        <v/>
      </c>
      <c r="C130" s="109" t="str">
        <f t="shared" ca="1" si="18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9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21"/>
        <v>0</v>
      </c>
      <c r="I130" s="42">
        <f t="shared" ca="1" si="22"/>
        <v>0</v>
      </c>
      <c r="J130" s="42">
        <f t="shared" ca="1" si="23"/>
        <v>0</v>
      </c>
      <c r="K130" s="43">
        <f t="shared" ca="1" si="24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7"/>
        <v/>
      </c>
      <c r="C131" s="109" t="str">
        <f t="shared" ca="1" si="18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9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21"/>
        <v>0</v>
      </c>
      <c r="I131" s="42">
        <f t="shared" ca="1" si="22"/>
        <v>0</v>
      </c>
      <c r="J131" s="42">
        <f t="shared" ca="1" si="23"/>
        <v>0</v>
      </c>
      <c r="K131" s="43">
        <f t="shared" ca="1" si="24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7"/>
        <v/>
      </c>
      <c r="C132" s="109" t="str">
        <f t="shared" ca="1" si="18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9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21"/>
        <v>0</v>
      </c>
      <c r="I132" s="42">
        <f t="shared" ca="1" si="22"/>
        <v>0</v>
      </c>
      <c r="J132" s="42">
        <f t="shared" ca="1" si="23"/>
        <v>0</v>
      </c>
      <c r="K132" s="43">
        <f t="shared" ca="1" si="24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7"/>
        <v/>
      </c>
      <c r="C133" s="109" t="str">
        <f t="shared" ca="1" si="18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9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21"/>
        <v>0</v>
      </c>
      <c r="I133" s="42">
        <f t="shared" ca="1" si="22"/>
        <v>0</v>
      </c>
      <c r="J133" s="42">
        <f t="shared" ca="1" si="23"/>
        <v>0</v>
      </c>
      <c r="K133" s="43">
        <f t="shared" ca="1" si="24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7"/>
        <v/>
      </c>
      <c r="C134" s="109" t="str">
        <f t="shared" ca="1" si="18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9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21"/>
        <v>0</v>
      </c>
      <c r="I134" s="42">
        <f t="shared" ca="1" si="22"/>
        <v>0</v>
      </c>
      <c r="J134" s="42">
        <f t="shared" ca="1" si="23"/>
        <v>0</v>
      </c>
      <c r="K134" s="43">
        <f t="shared" ca="1" si="24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7"/>
        <v/>
      </c>
      <c r="C135" s="109" t="str">
        <f t="shared" ca="1" si="18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9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21"/>
        <v>0</v>
      </c>
      <c r="I135" s="42">
        <f t="shared" ca="1" si="22"/>
        <v>0</v>
      </c>
      <c r="J135" s="42">
        <f t="shared" ca="1" si="23"/>
        <v>0</v>
      </c>
      <c r="K135" s="43">
        <f t="shared" ca="1" si="24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7"/>
        <v/>
      </c>
      <c r="C136" s="109" t="str">
        <f t="shared" ca="1" si="18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9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21"/>
        <v>0</v>
      </c>
      <c r="I136" s="42">
        <f t="shared" ca="1" si="22"/>
        <v>0</v>
      </c>
      <c r="J136" s="42">
        <f t="shared" ca="1" si="23"/>
        <v>0</v>
      </c>
      <c r="K136" s="43">
        <f t="shared" ca="1" si="24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7"/>
        <v/>
      </c>
      <c r="C137" s="109" t="str">
        <f t="shared" ca="1" si="18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9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21"/>
        <v>0</v>
      </c>
      <c r="I137" s="42">
        <f t="shared" ca="1" si="22"/>
        <v>0</v>
      </c>
      <c r="J137" s="42">
        <f t="shared" ca="1" si="23"/>
        <v>0</v>
      </c>
      <c r="K137" s="43">
        <f t="shared" ca="1" si="24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7"/>
        <v/>
      </c>
      <c r="C138" s="109" t="str">
        <f t="shared" ca="1" si="18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9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21"/>
        <v>0</v>
      </c>
      <c r="I138" s="42">
        <f t="shared" ca="1" si="22"/>
        <v>0</v>
      </c>
      <c r="J138" s="42">
        <f t="shared" ca="1" si="23"/>
        <v>0</v>
      </c>
      <c r="K138" s="43">
        <f t="shared" ca="1" si="24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7"/>
        <v/>
      </c>
      <c r="C139" s="109" t="str">
        <f t="shared" ca="1" si="18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9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21"/>
        <v>0</v>
      </c>
      <c r="I139" s="42">
        <f t="shared" ca="1" si="22"/>
        <v>0</v>
      </c>
      <c r="J139" s="42">
        <f t="shared" ca="1" si="23"/>
        <v>0</v>
      </c>
      <c r="K139" s="43">
        <f t="shared" ca="1" si="24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7"/>
        <v/>
      </c>
      <c r="C140" s="109" t="str">
        <f t="shared" ca="1" si="18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9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21"/>
        <v>0</v>
      </c>
      <c r="I140" s="42">
        <f t="shared" ca="1" si="22"/>
        <v>0</v>
      </c>
      <c r="J140" s="42">
        <f t="shared" ca="1" si="23"/>
        <v>0</v>
      </c>
      <c r="K140" s="43">
        <f t="shared" ca="1" si="24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7"/>
        <v/>
      </c>
      <c r="C141" s="109" t="str">
        <f t="shared" ca="1" si="18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9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21"/>
        <v>0</v>
      </c>
      <c r="I141" s="42">
        <f t="shared" ca="1" si="22"/>
        <v>0</v>
      </c>
      <c r="J141" s="42">
        <f t="shared" ca="1" si="23"/>
        <v>0</v>
      </c>
      <c r="K141" s="43">
        <f t="shared" ca="1" si="24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7"/>
        <v/>
      </c>
      <c r="C142" s="109" t="str">
        <f t="shared" ca="1" si="18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9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21"/>
        <v>0</v>
      </c>
      <c r="I142" s="42">
        <f t="shared" ca="1" si="22"/>
        <v>0</v>
      </c>
      <c r="J142" s="42">
        <f t="shared" ca="1" si="23"/>
        <v>0</v>
      </c>
      <c r="K142" s="43">
        <f t="shared" ca="1" si="24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7"/>
        <v/>
      </c>
      <c r="C143" s="109" t="str">
        <f t="shared" ca="1" si="18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9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21"/>
        <v>0</v>
      </c>
      <c r="I143" s="42">
        <f t="shared" ca="1" si="22"/>
        <v>0</v>
      </c>
      <c r="J143" s="42">
        <f t="shared" ca="1" si="23"/>
        <v>0</v>
      </c>
      <c r="K143" s="43">
        <f t="shared" ca="1" si="24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7"/>
        <v/>
      </c>
      <c r="C144" s="109" t="str">
        <f t="shared" ca="1" si="18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9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21"/>
        <v>0</v>
      </c>
      <c r="I144" s="42">
        <f t="shared" ca="1" si="22"/>
        <v>0</v>
      </c>
      <c r="J144" s="42">
        <f t="shared" ca="1" si="23"/>
        <v>0</v>
      </c>
      <c r="K144" s="43">
        <f t="shared" ca="1" si="24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7"/>
        <v/>
      </c>
      <c r="C145" s="109" t="str">
        <f t="shared" ref="C145:C165" ca="1" si="25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6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21"/>
        <v>0</v>
      </c>
      <c r="I145" s="42">
        <f t="shared" ca="1" si="22"/>
        <v>0</v>
      </c>
      <c r="J145" s="42">
        <f t="shared" ca="1" si="23"/>
        <v>0</v>
      </c>
      <c r="K145" s="43">
        <f t="shared" ca="1" si="24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7"/>
        <v/>
      </c>
      <c r="C146" s="109" t="str">
        <f t="shared" ca="1" si="25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6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21"/>
        <v>0</v>
      </c>
      <c r="I146" s="42">
        <f t="shared" ca="1" si="22"/>
        <v>0</v>
      </c>
      <c r="J146" s="42">
        <f t="shared" ca="1" si="23"/>
        <v>0</v>
      </c>
      <c r="K146" s="43">
        <f t="shared" ca="1" si="24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7"/>
        <v/>
      </c>
      <c r="C147" s="109" t="str">
        <f t="shared" ca="1" si="25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6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21"/>
        <v>0</v>
      </c>
      <c r="I147" s="42">
        <f t="shared" ca="1" si="22"/>
        <v>0</v>
      </c>
      <c r="J147" s="42">
        <f t="shared" ca="1" si="23"/>
        <v>0</v>
      </c>
      <c r="K147" s="43">
        <f t="shared" ca="1" si="24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7"/>
        <v/>
      </c>
      <c r="C148" s="109" t="str">
        <f t="shared" ca="1" si="25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6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21"/>
        <v>0</v>
      </c>
      <c r="I148" s="42">
        <f t="shared" ca="1" si="22"/>
        <v>0</v>
      </c>
      <c r="J148" s="42">
        <f t="shared" ca="1" si="23"/>
        <v>0</v>
      </c>
      <c r="K148" s="43">
        <f t="shared" ca="1" si="24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7"/>
        <v/>
      </c>
      <c r="C149" s="109" t="str">
        <f t="shared" ca="1" si="25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6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21"/>
        <v>0</v>
      </c>
      <c r="I149" s="42">
        <f t="shared" ca="1" si="22"/>
        <v>0</v>
      </c>
      <c r="J149" s="42">
        <f t="shared" ca="1" si="23"/>
        <v>0</v>
      </c>
      <c r="K149" s="43">
        <f t="shared" ca="1" si="24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7"/>
        <v/>
      </c>
      <c r="C150" s="109" t="str">
        <f t="shared" ca="1" si="25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6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21"/>
        <v>0</v>
      </c>
      <c r="I150" s="42">
        <f t="shared" ca="1" si="22"/>
        <v>0</v>
      </c>
      <c r="J150" s="42">
        <f t="shared" ca="1" si="23"/>
        <v>0</v>
      </c>
      <c r="K150" s="43">
        <f t="shared" ca="1" si="24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7"/>
        <v/>
      </c>
      <c r="C151" s="109" t="str">
        <f t="shared" ca="1" si="25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6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21"/>
        <v>0</v>
      </c>
      <c r="I151" s="42">
        <f t="shared" ca="1" si="22"/>
        <v>0</v>
      </c>
      <c r="J151" s="42">
        <f t="shared" ca="1" si="23"/>
        <v>0</v>
      </c>
      <c r="K151" s="43">
        <f t="shared" ca="1" si="24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7"/>
        <v/>
      </c>
      <c r="C152" s="109" t="str">
        <f t="shared" ca="1" si="25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6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21"/>
        <v>0</v>
      </c>
      <c r="I152" s="42">
        <f t="shared" ca="1" si="22"/>
        <v>0</v>
      </c>
      <c r="J152" s="42">
        <f t="shared" ca="1" si="23"/>
        <v>0</v>
      </c>
      <c r="K152" s="43">
        <f t="shared" ca="1" si="24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7"/>
        <v/>
      </c>
      <c r="C153" s="109" t="str">
        <f t="shared" ca="1" si="25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6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21"/>
        <v>0</v>
      </c>
      <c r="I153" s="42">
        <f t="shared" ca="1" si="22"/>
        <v>0</v>
      </c>
      <c r="J153" s="42">
        <f t="shared" ca="1" si="23"/>
        <v>0</v>
      </c>
      <c r="K153" s="43">
        <f t="shared" ca="1" si="24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7"/>
        <v/>
      </c>
      <c r="C154" s="109" t="str">
        <f t="shared" ca="1" si="25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6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21"/>
        <v>0</v>
      </c>
      <c r="I154" s="42">
        <f t="shared" ca="1" si="22"/>
        <v>0</v>
      </c>
      <c r="J154" s="42">
        <f t="shared" ca="1" si="23"/>
        <v>0</v>
      </c>
      <c r="K154" s="43">
        <f t="shared" ca="1" si="24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7"/>
        <v/>
      </c>
      <c r="C155" s="109" t="str">
        <f t="shared" ca="1" si="25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6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21"/>
        <v>0</v>
      </c>
      <c r="I155" s="42">
        <f t="shared" ca="1" si="22"/>
        <v>0</v>
      </c>
      <c r="J155" s="42">
        <f t="shared" ca="1" si="23"/>
        <v>0</v>
      </c>
      <c r="K155" s="43">
        <f t="shared" ca="1" si="24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7"/>
        <v/>
      </c>
      <c r="C156" s="109" t="str">
        <f t="shared" ca="1" si="25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6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21"/>
        <v>0</v>
      </c>
      <c r="I156" s="42">
        <f t="shared" ca="1" si="22"/>
        <v>0</v>
      </c>
      <c r="J156" s="42">
        <f t="shared" ca="1" si="23"/>
        <v>0</v>
      </c>
      <c r="K156" s="43">
        <f t="shared" ca="1" si="24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7"/>
        <v/>
      </c>
      <c r="C157" s="109" t="str">
        <f t="shared" ca="1" si="25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6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21"/>
        <v>0</v>
      </c>
      <c r="I157" s="42">
        <f t="shared" ca="1" si="22"/>
        <v>0</v>
      </c>
      <c r="J157" s="42">
        <f t="shared" ca="1" si="23"/>
        <v>0</v>
      </c>
      <c r="K157" s="43">
        <f t="shared" ca="1" si="24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7"/>
        <v/>
      </c>
      <c r="C158" s="109" t="str">
        <f t="shared" ca="1" si="25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6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21"/>
        <v>0</v>
      </c>
      <c r="I158" s="42">
        <f t="shared" ca="1" si="22"/>
        <v>0</v>
      </c>
      <c r="J158" s="42">
        <f t="shared" ca="1" si="23"/>
        <v>0</v>
      </c>
      <c r="K158" s="43">
        <f t="shared" ca="1" si="24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7"/>
        <v/>
      </c>
      <c r="C159" s="109" t="str">
        <f t="shared" ca="1" si="25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6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21"/>
        <v>0</v>
      </c>
      <c r="I159" s="42">
        <f t="shared" ca="1" si="22"/>
        <v>0</v>
      </c>
      <c r="J159" s="42">
        <f t="shared" ca="1" si="23"/>
        <v>0</v>
      </c>
      <c r="K159" s="43">
        <f t="shared" ca="1" si="24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7"/>
        <v/>
      </c>
      <c r="C160" s="109" t="str">
        <f t="shared" ca="1" si="25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6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21"/>
        <v>0</v>
      </c>
      <c r="I160" s="42">
        <f t="shared" ca="1" si="22"/>
        <v>0</v>
      </c>
      <c r="J160" s="42">
        <f t="shared" ca="1" si="23"/>
        <v>0</v>
      </c>
      <c r="K160" s="43">
        <f t="shared" ca="1" si="24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7"/>
        <v/>
      </c>
      <c r="C161" s="109" t="str">
        <f t="shared" ca="1" si="25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6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21"/>
        <v>0</v>
      </c>
      <c r="I161" s="42">
        <f t="shared" ca="1" si="22"/>
        <v>0</v>
      </c>
      <c r="J161" s="42">
        <f t="shared" ca="1" si="23"/>
        <v>0</v>
      </c>
      <c r="K161" s="43">
        <f t="shared" ca="1" si="24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7"/>
        <v/>
      </c>
      <c r="C162" s="109" t="str">
        <f t="shared" ca="1" si="25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6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21"/>
        <v>0</v>
      </c>
      <c r="I162" s="42">
        <f t="shared" ca="1" si="22"/>
        <v>0</v>
      </c>
      <c r="J162" s="42">
        <f t="shared" ca="1" si="23"/>
        <v>0</v>
      </c>
      <c r="K162" s="43">
        <f t="shared" ca="1" si="24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7"/>
        <v/>
      </c>
      <c r="C163" s="109" t="str">
        <f t="shared" ca="1" si="25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6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21"/>
        <v>0</v>
      </c>
      <c r="I163" s="42">
        <f t="shared" ca="1" si="22"/>
        <v>0</v>
      </c>
      <c r="J163" s="42">
        <f t="shared" ca="1" si="23"/>
        <v>0</v>
      </c>
      <c r="K163" s="43">
        <f t="shared" ca="1" si="24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7"/>
        <v/>
      </c>
      <c r="C164" s="109" t="str">
        <f t="shared" ca="1" si="25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6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21"/>
        <v>0</v>
      </c>
      <c r="I164" s="42">
        <f t="shared" ca="1" si="22"/>
        <v>0</v>
      </c>
      <c r="J164" s="42">
        <f t="shared" ca="1" si="23"/>
        <v>0</v>
      </c>
      <c r="K164" s="43">
        <f t="shared" ca="1" si="24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7"/>
        <v/>
      </c>
      <c r="C165" s="109" t="str">
        <f t="shared" ca="1" si="25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6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21"/>
        <v>0</v>
      </c>
      <c r="I165" s="42">
        <f t="shared" ca="1" si="22"/>
        <v>0</v>
      </c>
      <c r="J165" s="42">
        <f t="shared" ca="1" si="23"/>
        <v>0</v>
      </c>
      <c r="K165" s="43">
        <f t="shared" ca="1" si="24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6" t="s">
        <v>984</v>
      </c>
      <c r="D168" s="566"/>
      <c r="E168" s="566"/>
      <c r="F168" s="566"/>
      <c r="G168" s="77" t="s">
        <v>9</v>
      </c>
      <c r="H168" s="55">
        <f ca="1">SUM(H14:H167)</f>
        <v>247922000</v>
      </c>
      <c r="I168" s="55">
        <f ca="1">SUM(I14:I167)</f>
        <v>0</v>
      </c>
      <c r="J168" s="55">
        <f ca="1">SUM(J14:J167)</f>
        <v>0</v>
      </c>
      <c r="K168" s="55">
        <f ca="1">SUM(K14:K167)</f>
        <v>247922000</v>
      </c>
      <c r="L168" s="44"/>
      <c r="R168" s="99"/>
      <c r="S168" s="99"/>
      <c r="T168" s="99"/>
    </row>
    <row r="169" spans="1:20" s="36" customFormat="1">
      <c r="A169" s="30"/>
      <c r="B169" s="56"/>
      <c r="C169" s="567" t="s">
        <v>455</v>
      </c>
      <c r="D169" s="567"/>
      <c r="E169" s="567"/>
      <c r="F169" s="567"/>
      <c r="G169" s="59" t="s">
        <v>9</v>
      </c>
      <c r="H169" s="60">
        <f ca="1">H168*0.1</f>
        <v>24792200</v>
      </c>
      <c r="I169" s="60">
        <f ca="1">I168*0.1</f>
        <v>0</v>
      </c>
      <c r="J169" s="60">
        <f ca="1">J168*0.1</f>
        <v>0</v>
      </c>
      <c r="K169" s="60">
        <f ca="1">K168*0.1</f>
        <v>24792200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8" t="s">
        <v>456</v>
      </c>
      <c r="D170" s="558"/>
      <c r="E170" s="558"/>
      <c r="F170" s="558"/>
      <c r="G170" s="61" t="s">
        <v>9</v>
      </c>
      <c r="H170" s="78">
        <f ca="1">SUM(H168:H169)</f>
        <v>272714200</v>
      </c>
      <c r="I170" s="78">
        <f ca="1">SUM(I168:I169)</f>
        <v>0</v>
      </c>
      <c r="J170" s="61">
        <f ca="1">SUM(J168:J169)</f>
        <v>0</v>
      </c>
      <c r="K170" s="61">
        <f ca="1">SUM(K168:K169)</f>
        <v>272714200</v>
      </c>
      <c r="L170" s="44"/>
      <c r="R170" s="99"/>
      <c r="S170" s="99"/>
      <c r="T170" s="99"/>
    </row>
    <row r="171" spans="1:20" s="36" customFormat="1">
      <c r="A171" s="30"/>
      <c r="B171" s="559" t="e">
        <f ca="1">"Terbilang : ( "&amp;L172&amp;" Rupiah )"</f>
        <v>#NAME?</v>
      </c>
      <c r="C171" s="560"/>
      <c r="D171" s="560"/>
      <c r="E171" s="560"/>
      <c r="F171" s="560"/>
      <c r="G171" s="560"/>
      <c r="H171" s="560"/>
      <c r="I171" s="560"/>
      <c r="J171" s="560"/>
      <c r="K171" s="561"/>
      <c r="L171" s="44"/>
      <c r="R171" s="58"/>
      <c r="S171" s="58"/>
      <c r="T171" s="58"/>
    </row>
    <row r="172" spans="1:20" s="36" customFormat="1">
      <c r="A172" s="30"/>
      <c r="B172" s="562"/>
      <c r="C172" s="563"/>
      <c r="D172" s="563"/>
      <c r="E172" s="563"/>
      <c r="F172" s="563"/>
      <c r="G172" s="563"/>
      <c r="H172" s="563"/>
      <c r="I172" s="563"/>
      <c r="J172" s="563"/>
      <c r="K172" s="564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3"/>
      <c r="I175" s="553"/>
      <c r="J175" s="554"/>
      <c r="K175" s="55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3"/>
      <c r="I176" s="553"/>
      <c r="J176" s="554"/>
      <c r="K176" s="55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3"/>
      <c r="I177" s="553"/>
      <c r="J177" s="554"/>
      <c r="K177" s="55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3"/>
      <c r="I182" s="553"/>
      <c r="J182" s="554"/>
      <c r="K182" s="55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Standart'!$F$14:$F$216,'RAB Standart'!$C$14:$C$216,C224)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Standart'!$F$14:$F$216,'RAB Standart'!$C$14:$C$216,C225)</f>
        <v>1</v>
      </c>
      <c r="E225" s="24">
        <f t="shared" ref="E225:E288" ca="1" si="27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Standart'!$F$14:$F$216,'RAB Standart'!$C$14:$C$216,C226)</f>
        <v>0</v>
      </c>
      <c r="E226" s="24">
        <f t="shared" ca="1" si="27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Standart'!$F$14:$F$216,'RAB Standart'!$C$14:$C$216,C227)</f>
        <v>0</v>
      </c>
      <c r="E227" s="24">
        <f t="shared" ca="1" si="27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Standart'!$F$14:$F$216,'RAB Standart'!$C$14:$C$216,C228)</f>
        <v>0</v>
      </c>
      <c r="E228" s="24">
        <f t="shared" ca="1" si="27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Standart'!$F$14:$F$216,'RAB Standart'!$C$14:$C$216,C229)</f>
        <v>1</v>
      </c>
      <c r="E229" s="24">
        <f t="shared" ca="1" si="27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Standart'!$F$14:$F$216,'RAB Standart'!$C$14:$C$216,C230)</f>
        <v>0</v>
      </c>
      <c r="E230" s="24">
        <f t="shared" ca="1" si="27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Standart'!$F$14:$F$216,'RAB Standart'!$C$14:$C$216,C231)</f>
        <v>0</v>
      </c>
      <c r="E231" s="24">
        <f t="shared" ca="1" si="27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Standart'!$F$14:$F$216,'RAB Standart'!$C$14:$C$216,C232)</f>
        <v>0</v>
      </c>
      <c r="E232" s="24">
        <f t="shared" ca="1" si="27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Standart'!$F$14:$F$216,'RAB Standart'!$C$14:$C$216,C233)</f>
        <v>0</v>
      </c>
      <c r="E233" s="24">
        <f t="shared" ca="1" si="27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Standart'!$F$14:$F$216,'RAB Standart'!$C$14:$C$216,C234)</f>
        <v>1</v>
      </c>
      <c r="E234" s="24">
        <f t="shared" ca="1" si="27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Standart'!$F$14:$F$216,'RAB Standart'!$C$14:$C$216,C235)</f>
        <v>0</v>
      </c>
      <c r="E235" s="24">
        <f t="shared" ca="1" si="27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Standart'!$F$14:$F$216,'RAB Standart'!$C$14:$C$216,C236)</f>
        <v>0</v>
      </c>
      <c r="E236" s="24">
        <f t="shared" ca="1" si="27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Standart'!$F$14:$F$216,'RAB Standart'!$C$14:$C$216,C237)</f>
        <v>0</v>
      </c>
      <c r="E237" s="24">
        <f t="shared" ca="1" si="27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Standart'!$F$14:$F$216,'RAB Standart'!$C$14:$C$216,C238)</f>
        <v>0</v>
      </c>
      <c r="E238" s="24">
        <f t="shared" ca="1" si="27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Standart'!$F$14:$F$216,'RAB Standart'!$C$14:$C$216,C239)</f>
        <v>0</v>
      </c>
      <c r="E239" s="24">
        <f t="shared" ca="1" si="27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Standart'!$F$14:$F$216,'RAB Standart'!$C$14:$C$216,C240)</f>
        <v>0</v>
      </c>
      <c r="E240" s="24">
        <f t="shared" ca="1" si="27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Standart'!$F$14:$F$216,'RAB Standart'!$C$14:$C$216,C241)</f>
        <v>0</v>
      </c>
      <c r="E241" s="24">
        <f t="shared" ca="1" si="27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Standart'!$F$14:$F$216,'RAB Standart'!$C$14:$C$216,C242)</f>
        <v>0</v>
      </c>
      <c r="E242" s="24">
        <f t="shared" ca="1" si="27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Standart'!$F$14:$F$216,'RAB Standart'!$C$14:$C$216,C243)</f>
        <v>0</v>
      </c>
      <c r="E243" s="24">
        <f t="shared" ca="1" si="27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Standart'!$F$14:$F$216,'RAB Standart'!$C$14:$C$216,C244)</f>
        <v>0</v>
      </c>
      <c r="E244" s="24">
        <f t="shared" ca="1" si="27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Standart'!$F$14:$F$216,'RAB Standart'!$C$14:$C$216,C245)</f>
        <v>0</v>
      </c>
      <c r="E245" s="24">
        <f t="shared" ca="1" si="27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Standart'!$F$14:$F$216,'RAB Standart'!$C$14:$C$216,C246)</f>
        <v>0</v>
      </c>
      <c r="E246" s="24">
        <f t="shared" ca="1" si="27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Standart'!$F$14:$F$216,'RAB Standart'!$C$14:$C$216,C247)</f>
        <v>0</v>
      </c>
      <c r="E247" s="24">
        <f t="shared" ca="1" si="27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Standart'!$F$14:$F$216,'RAB Standart'!$C$14:$C$216,C248)</f>
        <v>0</v>
      </c>
      <c r="E248" s="24">
        <f t="shared" ca="1" si="27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Standart'!$F$14:$F$216,'RAB Standart'!$C$14:$C$216,C249)</f>
        <v>0</v>
      </c>
      <c r="E249" s="24">
        <f t="shared" ca="1" si="27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Standart'!$F$14:$F$216,'RAB Standart'!$C$14:$C$216,C250)</f>
        <v>0</v>
      </c>
      <c r="E250" s="24">
        <f t="shared" ca="1" si="27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Standart'!$F$14:$F$216,'RAB Standart'!$C$14:$C$216,C251)</f>
        <v>0</v>
      </c>
      <c r="E251" s="24">
        <f t="shared" ca="1" si="27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Standart'!$F$14:$F$216,'RAB Standart'!$C$14:$C$216,C252)</f>
        <v>0</v>
      </c>
      <c r="E252" s="24">
        <f t="shared" ca="1" si="27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Standart'!$F$14:$F$216,'RAB Standart'!$C$14:$C$216,C253)</f>
        <v>0</v>
      </c>
      <c r="E253" s="24">
        <f t="shared" ca="1" si="27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Standart'!$F$14:$F$216,'RAB Standart'!$C$14:$C$216,C254)</f>
        <v>0</v>
      </c>
      <c r="E254" s="24">
        <f t="shared" ca="1" si="27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Standart'!$F$14:$F$216,'RAB Standart'!$C$14:$C$216,C255)</f>
        <v>0</v>
      </c>
      <c r="E255" s="24">
        <f t="shared" ca="1" si="27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Standart'!$F$14:$F$216,'RAB Standart'!$C$14:$C$216,C256)</f>
        <v>0</v>
      </c>
      <c r="E256" s="24">
        <f t="shared" ca="1" si="27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Standart'!$F$14:$F$216,'RAB Standart'!$C$14:$C$216,C257)</f>
        <v>0</v>
      </c>
      <c r="E257" s="24">
        <f t="shared" ca="1" si="27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Standart'!$F$14:$F$216,'RAB Standart'!$C$14:$C$216,C258)</f>
        <v>0</v>
      </c>
      <c r="E258" s="24">
        <f t="shared" ca="1" si="27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Standart'!$F$14:$F$216,'RAB Standart'!$C$14:$C$216,C259)</f>
        <v>0</v>
      </c>
      <c r="E259" s="24">
        <f t="shared" ca="1" si="27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Standart'!$F$14:$F$216,'RAB Standart'!$C$14:$C$216,C260)</f>
        <v>0</v>
      </c>
      <c r="E260" s="24">
        <f t="shared" ca="1" si="27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Standart'!$F$14:$F$216,'RAB Standart'!$C$14:$C$216,C261)</f>
        <v>0</v>
      </c>
      <c r="E261" s="24">
        <f t="shared" ca="1" si="27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Standart'!$F$14:$F$216,'RAB Standart'!$C$14:$C$216,C262)</f>
        <v>0</v>
      </c>
      <c r="E262" s="24">
        <f t="shared" ca="1" si="27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Standart'!$F$14:$F$216,'RAB Standart'!$C$14:$C$216,C263)</f>
        <v>0</v>
      </c>
      <c r="E263" s="24">
        <f t="shared" ca="1" si="27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Standart'!$F$14:$F$216,'RAB Standart'!$C$14:$C$216,C264)</f>
        <v>0</v>
      </c>
      <c r="E264" s="24">
        <f t="shared" ca="1" si="27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Standart'!$F$14:$F$216,'RAB Standart'!$C$14:$C$216,C265)</f>
        <v>0</v>
      </c>
      <c r="E265" s="24">
        <f t="shared" ca="1" si="27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Standart'!$F$14:$F$216,'RAB Standart'!$C$14:$C$216,C266)</f>
        <v>0</v>
      </c>
      <c r="E266" s="24">
        <f t="shared" ca="1" si="27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Standart'!$F$14:$F$216,'RAB Standart'!$C$14:$C$216,C267)</f>
        <v>0</v>
      </c>
      <c r="E267" s="24">
        <f t="shared" ca="1" si="27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Standart'!$F$14:$F$216,'RAB Standart'!$C$14:$C$216,C268)</f>
        <v>0</v>
      </c>
      <c r="E268" s="24">
        <f t="shared" ca="1" si="27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Standart'!$F$14:$F$216,'RAB Standart'!$C$14:$C$216,C269)</f>
        <v>0</v>
      </c>
      <c r="E269" s="24">
        <f t="shared" ca="1" si="27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Standart'!$F$14:$F$216,'RAB Standart'!$C$14:$C$216,C270)</f>
        <v>0</v>
      </c>
      <c r="E270" s="24">
        <f t="shared" ca="1" si="27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Standart'!$F$14:$F$216,'RAB Standart'!$C$14:$C$216,C271)</f>
        <v>0</v>
      </c>
      <c r="E271" s="24">
        <f t="shared" ca="1" si="27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Standart'!$F$14:$F$216,'RAB Standart'!$C$14:$C$216,C272)</f>
        <v>0</v>
      </c>
      <c r="E272" s="24">
        <f t="shared" ca="1" si="27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Standart'!$F$14:$F$216,'RAB Standart'!$C$14:$C$216,C273)</f>
        <v>0</v>
      </c>
      <c r="E273" s="24">
        <f t="shared" ca="1" si="27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Standart'!$F$14:$F$216,'RAB Standart'!$C$14:$C$216,C274)</f>
        <v>0</v>
      </c>
      <c r="E274" s="24">
        <f t="shared" ca="1" si="27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Standart'!$F$14:$F$216,'RAB Standart'!$C$14:$C$216,C275)</f>
        <v>0</v>
      </c>
      <c r="E275" s="24">
        <f t="shared" ca="1" si="27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Standart'!$F$14:$F$216,'RAB Standart'!$C$14:$C$216,C276)</f>
        <v>0</v>
      </c>
      <c r="E276" s="24">
        <f t="shared" ca="1" si="27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Standart'!$F$14:$F$216,'RAB Standart'!$C$14:$C$216,C277)</f>
        <v>0</v>
      </c>
      <c r="E277" s="24">
        <f t="shared" ca="1" si="27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Standart'!$F$14:$F$216,'RAB Standart'!$C$14:$C$216,C278)</f>
        <v>0</v>
      </c>
      <c r="E278" s="24">
        <f t="shared" ca="1" si="27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Standart'!$F$14:$F$216,'RAB Standart'!$C$14:$C$216,C279)</f>
        <v>0</v>
      </c>
      <c r="E279" s="24">
        <f t="shared" ca="1" si="27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Standart'!$F$14:$F$216,'RAB Standart'!$C$14:$C$216,C280)</f>
        <v>0</v>
      </c>
      <c r="E280" s="24">
        <f t="shared" ca="1" si="27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Standart'!$F$14:$F$216,'RAB Standart'!$C$14:$C$216,C281)</f>
        <v>0</v>
      </c>
      <c r="E281" s="24">
        <f t="shared" ca="1" si="27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Standart'!$F$14:$F$216,'RAB Standart'!$C$14:$C$216,C282)</f>
        <v>0</v>
      </c>
      <c r="E282" s="24">
        <f t="shared" ca="1" si="27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Standart'!$F$14:$F$216,'RAB Standart'!$C$14:$C$216,C283)</f>
        <v>0</v>
      </c>
      <c r="E283" s="24">
        <f t="shared" ca="1" si="27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Standart'!$F$14:$F$216,'RAB Standart'!$C$14:$C$216,C284)</f>
        <v>0</v>
      </c>
      <c r="E284" s="24">
        <f t="shared" ca="1" si="27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Standart'!$F$14:$F$216,'RAB Standart'!$C$14:$C$216,C285)</f>
        <v>0</v>
      </c>
      <c r="E285" s="24">
        <f t="shared" ca="1" si="27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Standart'!$F$14:$F$216,'RAB Standart'!$C$14:$C$216,C286)</f>
        <v>0</v>
      </c>
      <c r="E286" s="24">
        <f t="shared" ca="1" si="27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Standart'!$F$14:$F$216,'RAB Standart'!$C$14:$C$216,C287)</f>
        <v>0</v>
      </c>
      <c r="E287" s="24">
        <f t="shared" ca="1" si="27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Standart'!$F$14:$F$216,'RAB Standart'!$C$14:$C$216,C288)</f>
        <v>0</v>
      </c>
      <c r="E288" s="24">
        <f t="shared" ca="1" si="27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Standart'!$F$14:$F$216,'RAB Standart'!$C$14:$C$216,C289)</f>
        <v>0</v>
      </c>
      <c r="E289" s="24">
        <f t="shared" ref="E289:E352" ca="1" si="28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Standart'!$F$14:$F$216,'RAB Standart'!$C$14:$C$216,C290)</f>
        <v>0</v>
      </c>
      <c r="E290" s="24">
        <f t="shared" ca="1" si="28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Standart'!$F$14:$F$216,'RAB Standart'!$C$14:$C$216,C291)</f>
        <v>0</v>
      </c>
      <c r="E291" s="24">
        <f t="shared" ca="1" si="28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Standart'!$F$14:$F$216,'RAB Standart'!$C$14:$C$216,C292)</f>
        <v>0</v>
      </c>
      <c r="E292" s="24">
        <f t="shared" ca="1" si="28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Standart'!$F$14:$F$216,'RAB Standart'!$C$14:$C$216,C293)</f>
        <v>0</v>
      </c>
      <c r="E293" s="24">
        <f t="shared" ca="1" si="28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Standart'!$F$14:$F$216,'RAB Standart'!$C$14:$C$216,C294)</f>
        <v>0</v>
      </c>
      <c r="E294" s="24">
        <f t="shared" ca="1" si="28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Standart'!$F$14:$F$216,'RAB Standart'!$C$14:$C$216,C295)</f>
        <v>0</v>
      </c>
      <c r="E295" s="24">
        <f t="shared" ca="1" si="28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Standart'!$F$14:$F$216,'RAB Standart'!$C$14:$C$216,C296)</f>
        <v>0</v>
      </c>
      <c r="E296" s="24">
        <f t="shared" ca="1" si="28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Standart'!$F$14:$F$216,'RAB Standart'!$C$14:$C$216,C297)</f>
        <v>0</v>
      </c>
      <c r="E297" s="24">
        <f t="shared" ca="1" si="28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Standart'!$F$14:$F$216,'RAB Standart'!$C$14:$C$216,C298)</f>
        <v>0</v>
      </c>
      <c r="E298" s="24">
        <f t="shared" ca="1" si="28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Standart'!$F$14:$F$216,'RAB Standart'!$C$14:$C$216,C299)</f>
        <v>0</v>
      </c>
      <c r="E299" s="24">
        <f t="shared" ca="1" si="28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Standart'!$F$14:$F$216,'RAB Standart'!$C$14:$C$216,C300)</f>
        <v>0</v>
      </c>
      <c r="E300" s="24">
        <f t="shared" ca="1" si="28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Standart'!$F$14:$F$216,'RAB Standart'!$C$14:$C$216,C301)</f>
        <v>1</v>
      </c>
      <c r="E301" s="24">
        <f t="shared" ca="1" si="28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Standart'!$F$14:$F$216,'RAB Standart'!$C$14:$C$216,C302)</f>
        <v>0</v>
      </c>
      <c r="E302" s="24">
        <f t="shared" ca="1" si="28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Standart'!$F$14:$F$216,'RAB Standart'!$C$14:$C$216,C303)</f>
        <v>1</v>
      </c>
      <c r="E303" s="24">
        <f t="shared" ca="1" si="28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Standart'!$F$14:$F$216,'RAB Standart'!$C$14:$C$216,C304)</f>
        <v>1</v>
      </c>
      <c r="E304" s="24">
        <f t="shared" ca="1" si="28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Standart'!$F$14:$F$216,'RAB Standart'!$C$14:$C$216,C305)</f>
        <v>0</v>
      </c>
      <c r="E305" s="24">
        <f t="shared" ca="1" si="28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Standart'!$F$14:$F$216,'RAB Standart'!$C$14:$C$216,C306)</f>
        <v>0</v>
      </c>
      <c r="E306" s="24">
        <f t="shared" ca="1" si="28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Standart'!$F$14:$F$216,'RAB Standart'!$C$14:$C$216,C307)</f>
        <v>0</v>
      </c>
      <c r="E307" s="24">
        <f t="shared" ca="1" si="28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Standart'!$F$14:$F$216,'RAB Standart'!$C$14:$C$216,C308)</f>
        <v>0</v>
      </c>
      <c r="E308" s="24">
        <f t="shared" ca="1" si="28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Standart'!$F$14:$F$216,'RAB Standart'!$C$14:$C$216,C309)</f>
        <v>0</v>
      </c>
      <c r="E309" s="24">
        <f t="shared" ca="1" si="28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Standart'!$F$14:$F$216,'RAB Standart'!$C$14:$C$216,C310)</f>
        <v>0</v>
      </c>
      <c r="E310" s="24">
        <f t="shared" ca="1" si="28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Standart'!$F$14:$F$216,'RAB Standart'!$C$14:$C$216,C311)</f>
        <v>0</v>
      </c>
      <c r="E311" s="24">
        <f t="shared" ca="1" si="28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Standart'!$F$14:$F$216,'RAB Standart'!$C$14:$C$216,C312)</f>
        <v>1</v>
      </c>
      <c r="E312" s="24">
        <f t="shared" ca="1" si="28"/>
        <v>1</v>
      </c>
      <c r="F312" s="24">
        <f ca="1">IF(D312=0,0,SUM($E$223:E312))</f>
        <v>7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Standart'!$F$14:$F$216,'RAB Standart'!$C$14:$C$216,C313)</f>
        <v>0</v>
      </c>
      <c r="E313" s="24">
        <f t="shared" ca="1" si="28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Standart'!$F$14:$F$216,'RAB Standart'!$C$14:$C$216,C314)</f>
        <v>0</v>
      </c>
      <c r="E314" s="24">
        <f t="shared" ca="1" si="28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Standart'!$F$14:$F$216,'RAB Standart'!$C$14:$C$216,C315)</f>
        <v>0</v>
      </c>
      <c r="E315" s="24">
        <f t="shared" ca="1" si="28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Standart'!$F$14:$F$216,'RAB Standart'!$C$14:$C$216,C316)</f>
        <v>0</v>
      </c>
      <c r="E316" s="24">
        <f t="shared" ca="1" si="28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Standart'!$F$14:$F$216,'RAB Standart'!$C$14:$C$216,C317)</f>
        <v>0</v>
      </c>
      <c r="E317" s="24">
        <f t="shared" ca="1" si="28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Standart'!$F$14:$F$216,'RAB Standart'!$C$14:$C$216,C318)</f>
        <v>0</v>
      </c>
      <c r="E318" s="24">
        <f t="shared" ca="1" si="28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Standart'!$F$14:$F$216,'RAB Standart'!$C$14:$C$216,C319)</f>
        <v>0</v>
      </c>
      <c r="E319" s="24">
        <f t="shared" ca="1" si="28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Standart'!$F$14:$F$216,'RAB Standart'!$C$14:$C$216,C320)</f>
        <v>0</v>
      </c>
      <c r="E320" s="24">
        <f t="shared" ca="1" si="28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Standart'!$F$14:$F$216,'RAB Standart'!$C$14:$C$216,C321)</f>
        <v>0</v>
      </c>
      <c r="E321" s="24">
        <f t="shared" ca="1" si="28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Standart'!$F$14:$F$216,'RAB Standart'!$C$14:$C$216,C322)</f>
        <v>0</v>
      </c>
      <c r="E322" s="24">
        <f t="shared" ca="1" si="28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Standart'!$F$14:$F$216,'RAB Standart'!$C$14:$C$216,C323)</f>
        <v>0</v>
      </c>
      <c r="E323" s="24">
        <f t="shared" ca="1" si="28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Standart'!$F$14:$F$216,'RAB Standart'!$C$14:$C$216,C324)</f>
        <v>0</v>
      </c>
      <c r="E324" s="24">
        <f t="shared" ca="1" si="28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Standart'!$F$14:$F$216,'RAB Standart'!$C$14:$C$216,C325)</f>
        <v>0</v>
      </c>
      <c r="E325" s="24">
        <f t="shared" ca="1" si="28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Standart'!$F$14:$F$216,'RAB Standart'!$C$14:$C$216,C326)</f>
        <v>0</v>
      </c>
      <c r="E326" s="24">
        <f t="shared" ca="1" si="28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Standart'!$F$14:$F$216,'RAB Standart'!$C$14:$C$216,C327)</f>
        <v>0</v>
      </c>
      <c r="E327" s="24">
        <f t="shared" ca="1" si="28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Standart'!$F$14:$F$216,'RAB Standart'!$C$14:$C$216,C328)</f>
        <v>0</v>
      </c>
      <c r="E328" s="24">
        <f t="shared" ca="1" si="28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Standart'!$F$14:$F$216,'RAB Standart'!$C$14:$C$216,C329)</f>
        <v>0</v>
      </c>
      <c r="E329" s="24">
        <f t="shared" ca="1" si="28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SUMIFS('RAB Standart'!$F$14:$F$216,'RAB Standart'!$C$14:$C$216,C330)</f>
        <v>0</v>
      </c>
      <c r="E330" s="24">
        <f t="shared" ca="1" si="28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SUMIFS('RAB Standart'!$F$14:$F$216,'RAB Standart'!$C$14:$C$216,C331)</f>
        <v>1</v>
      </c>
      <c r="E331" s="24">
        <f t="shared" ca="1" si="28"/>
        <v>1</v>
      </c>
      <c r="F331" s="24">
        <f ca="1">IF(D331=0,0,SUM($E$223:E331))</f>
        <v>8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SUMIFS('RAB Standart'!$F$14:$F$216,'RAB Standart'!$C$14:$C$216,C332)</f>
        <v>0</v>
      </c>
      <c r="E332" s="24">
        <f t="shared" ca="1" si="28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SUMIFS('RAB Standart'!$F$14:$F$216,'RAB Standart'!$C$14:$C$216,C333)</f>
        <v>3</v>
      </c>
      <c r="E333" s="24">
        <f t="shared" ca="1" si="28"/>
        <v>1</v>
      </c>
      <c r="F333" s="24">
        <f ca="1">IF(D333=0,0,SUM($E$223:E333))</f>
        <v>9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SUMIFS('RAB Standart'!$F$14:$F$216,'RAB Standart'!$C$14:$C$216,C334)</f>
        <v>0</v>
      </c>
      <c r="E334" s="24">
        <f t="shared" ca="1" si="28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SUMIFS('RAB Standart'!$F$14:$F$216,'RAB Standart'!$C$14:$C$216,C335)</f>
        <v>0</v>
      </c>
      <c r="E335" s="24">
        <f t="shared" ca="1" si="28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SUMIFS('RAB Standart'!$F$14:$F$216,'RAB Standart'!$C$14:$C$216,C336)</f>
        <v>4</v>
      </c>
      <c r="E336" s="24">
        <f t="shared" ca="1" si="28"/>
        <v>1</v>
      </c>
      <c r="F336" s="24">
        <f ca="1">IF(D336=0,0,SUM($E$223:E336))</f>
        <v>10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SUMIFS('RAB Standart'!$F$14:$F$216,'RAB Standart'!$C$14:$C$216,C337)</f>
        <v>0</v>
      </c>
      <c r="E337" s="24">
        <f t="shared" ca="1" si="28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SUMIFS('RAB Standart'!$F$14:$F$216,'RAB Standart'!$C$14:$C$216,C338)</f>
        <v>2</v>
      </c>
      <c r="E338" s="24">
        <f t="shared" ca="1" si="28"/>
        <v>1</v>
      </c>
      <c r="F338" s="24">
        <f ca="1">IF(D338=0,0,SUM($E$223:E338))</f>
        <v>11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SUMIFS('RAB Standart'!$F$14:$F$216,'RAB Standart'!$C$14:$C$216,C339)</f>
        <v>0</v>
      </c>
      <c r="E339" s="24">
        <f t="shared" ca="1" si="28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SUMIFS('RAB Standart'!$F$14:$F$216,'RAB Standart'!$C$14:$C$216,C340)</f>
        <v>0</v>
      </c>
      <c r="E340" s="24">
        <f t="shared" ca="1" si="28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SUMIFS('RAB Standart'!$F$14:$F$216,'RAB Standart'!$C$14:$C$216,C341)</f>
        <v>18</v>
      </c>
      <c r="E341" s="24">
        <f t="shared" ca="1" si="28"/>
        <v>1</v>
      </c>
      <c r="F341" s="24">
        <f ca="1">IF(D341=0,0,SUM($E$223:E341))</f>
        <v>12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SUMIFS('RAB Standart'!$F$14:$F$216,'RAB Standart'!$C$14:$C$216,C342)</f>
        <v>18</v>
      </c>
      <c r="E342" s="24">
        <f t="shared" ca="1" si="28"/>
        <v>1</v>
      </c>
      <c r="F342" s="24">
        <f ca="1">IF(D342=0,0,SUM($E$223:E342))</f>
        <v>13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SUMIFS('RAB Standart'!$F$14:$F$216,'RAB Standart'!$C$14:$C$216,C343)</f>
        <v>90</v>
      </c>
      <c r="E343" s="24">
        <f t="shared" ca="1" si="28"/>
        <v>1</v>
      </c>
      <c r="F343" s="24">
        <f ca="1">IF(D343=0,0,SUM($E$223:E343))</f>
        <v>14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SUMIFS('RAB Standart'!$F$14:$F$216,'RAB Standart'!$C$14:$C$216,C344)</f>
        <v>270</v>
      </c>
      <c r="E344" s="24">
        <f t="shared" ca="1" si="28"/>
        <v>1</v>
      </c>
      <c r="F344" s="24">
        <f ca="1">IF(D344=0,0,SUM($E$223:E344))</f>
        <v>15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SUMIFS('RAB Standart'!$F$14:$F$216,'RAB Standart'!$C$14:$C$216,C345)</f>
        <v>0</v>
      </c>
      <c r="E345" s="24">
        <f t="shared" ca="1" si="28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SUMIFS('RAB Standart'!$F$14:$F$216,'RAB Standart'!$C$14:$C$216,C346)</f>
        <v>0</v>
      </c>
      <c r="E346" s="24">
        <f t="shared" ca="1" si="28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SUMIFS('RAB Standart'!$F$14:$F$216,'RAB Standart'!$C$14:$C$216,C347)</f>
        <v>0</v>
      </c>
      <c r="E347" s="24">
        <f t="shared" ca="1" si="28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SUMIFS('RAB Standart'!$F$14:$F$216,'RAB Standart'!$C$14:$C$216,C348)</f>
        <v>0</v>
      </c>
      <c r="E348" s="24">
        <f t="shared" ca="1" si="28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SUMIFS('RAB Standart'!$F$14:$F$216,'RAB Standart'!$C$14:$C$216,C349)</f>
        <v>2</v>
      </c>
      <c r="E349" s="24">
        <f t="shared" ca="1" si="28"/>
        <v>1</v>
      </c>
      <c r="F349" s="24">
        <f ca="1">IF(D349=0,0,SUM($E$223:E349))</f>
        <v>16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SUMIFS('RAB Standart'!$F$14:$F$216,'RAB Standart'!$C$14:$C$216,C350)</f>
        <v>0</v>
      </c>
      <c r="E350" s="24">
        <f t="shared" ca="1" si="28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SUMIFS('RAB Standart'!$F$14:$F$216,'RAB Standart'!$C$14:$C$216,C351)</f>
        <v>0</v>
      </c>
      <c r="E351" s="24">
        <f t="shared" ca="1" si="28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SUMIFS('RAB Standart'!$F$14:$F$216,'RAB Standart'!$C$14:$C$216,C352)</f>
        <v>35</v>
      </c>
      <c r="E352" s="24">
        <f t="shared" ca="1" si="28"/>
        <v>1</v>
      </c>
      <c r="F352" s="24">
        <f ca="1">IF(D352=0,0,SUM($E$223:E352))</f>
        <v>17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SUMIFS('RAB Standart'!$F$14:$F$216,'RAB Standart'!$C$14:$C$216,C353)</f>
        <v>0</v>
      </c>
      <c r="E353" s="24">
        <f t="shared" ref="E353:E373" ca="1" si="29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SUMIFS('RAB Standart'!$F$14:$F$216,'RAB Standart'!$C$14:$C$216,C354)</f>
        <v>0</v>
      </c>
      <c r="E354" s="24">
        <f t="shared" ca="1" si="29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SUMIFS('RAB Standart'!$F$14:$F$216,'RAB Standart'!$C$14:$C$216,C355)</f>
        <v>0</v>
      </c>
      <c r="E355" s="24">
        <f t="shared" ca="1" si="29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SUMIFS('RAB Standart'!$F$14:$F$216,'RAB Standart'!$C$14:$C$216,C356)</f>
        <v>25</v>
      </c>
      <c r="E356" s="24">
        <f t="shared" ca="1" si="29"/>
        <v>1</v>
      </c>
      <c r="F356" s="24">
        <f ca="1">IF(D356=0,0,SUM($E$223:E356))</f>
        <v>18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SUMIFS('RAB Standart'!$F$14:$F$216,'RAB Standart'!$C$14:$C$216,C357)</f>
        <v>0</v>
      </c>
      <c r="E357" s="24">
        <f t="shared" ca="1" si="29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SUMIFS('RAB Standart'!$F$14:$F$216,'RAB Standart'!$C$14:$C$216,C358)</f>
        <v>0</v>
      </c>
      <c r="E358" s="24">
        <f t="shared" ca="1" si="29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SUMIFS('RAB Standart'!$F$14:$F$216,'RAB Standart'!$C$14:$C$216,C359)</f>
        <v>0</v>
      </c>
      <c r="E359" s="24">
        <f t="shared" ca="1" si="29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SUMIFS('RAB Standart'!$F$14:$F$216,'RAB Standart'!$C$14:$C$216,C360)</f>
        <v>0</v>
      </c>
      <c r="E360" s="24">
        <f t="shared" ca="1" si="29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SUMIFS('RAB Standart'!$F$14:$F$216,'RAB Standart'!$C$14:$C$216,C361)</f>
        <v>0</v>
      </c>
      <c r="E361" s="24">
        <f t="shared" ca="1" si="29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SUMIFS('RAB Standart'!$F$14:$F$216,'RAB Standart'!$C$14:$C$216,C362)</f>
        <v>0</v>
      </c>
      <c r="E362" s="24">
        <f t="shared" ca="1" si="29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SUMIFS('RAB Standart'!$F$14:$F$216,'RAB Standart'!$C$14:$C$216,C363)</f>
        <v>0</v>
      </c>
      <c r="E363" s="24">
        <f t="shared" ca="1" si="29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SUMIFS('RAB Standart'!$F$14:$F$216,'RAB Standart'!$C$14:$C$216,C364)</f>
        <v>0</v>
      </c>
      <c r="E364" s="24">
        <f t="shared" ca="1" si="29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SUMIFS('RAB Standart'!$F$14:$F$216,'RAB Standart'!$C$14:$C$216,C365)</f>
        <v>0</v>
      </c>
      <c r="E365" s="24">
        <f t="shared" ca="1" si="29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Standart'!$F$14:$F$216,'RAB Standart'!$C$14:$C$216,C366)</f>
        <v>1</v>
      </c>
      <c r="E366" s="24">
        <f t="shared" ca="1" si="29"/>
        <v>1</v>
      </c>
      <c r="F366" s="24">
        <f ca="1">IF(D366=0,0,SUM($E$223:E366))</f>
        <v>19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Standart'!$F$14:$F$216,'RAB Standart'!$C$14:$C$216,C367)</f>
        <v>1</v>
      </c>
      <c r="E367" s="24">
        <f t="shared" ca="1" si="29"/>
        <v>1</v>
      </c>
      <c r="F367" s="24">
        <f ca="1">IF(D367=0,0,SUM($E$223:E367))</f>
        <v>20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Standart'!$F$14:$F$216,'RAB Standart'!$C$14:$C$216,C368)</f>
        <v>1</v>
      </c>
      <c r="E368" s="24">
        <f t="shared" ca="1" si="29"/>
        <v>1</v>
      </c>
      <c r="F368" s="24">
        <f ca="1">IF(D368=0,0,SUM($E$223:E368))</f>
        <v>21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Standart'!$F$14:$F$216,'RAB Standart'!$C$14:$C$216,C369)</f>
        <v>1</v>
      </c>
      <c r="E369" s="24">
        <f t="shared" ca="1" si="29"/>
        <v>1</v>
      </c>
      <c r="F369" s="24">
        <f ca="1">IF(D369=0,0,SUM($E$223:E369))</f>
        <v>22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Standart'!$F$14:$F$216,'RAB Standart'!$C$14:$C$216,C370)</f>
        <v>1</v>
      </c>
      <c r="E370" s="24">
        <f t="shared" ca="1" si="29"/>
        <v>1</v>
      </c>
      <c r="F370" s="24">
        <f ca="1">IF(D370=0,0,SUM($E$223:E370))</f>
        <v>23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Standart'!$F$14:$F$216,'RAB Standart'!$C$14:$C$216,C371)</f>
        <v>1</v>
      </c>
      <c r="E371" s="24">
        <f t="shared" ca="1" si="29"/>
        <v>1</v>
      </c>
      <c r="F371" s="24">
        <f ca="1">IF(D371=0,0,SUM($E$223:E371))</f>
        <v>24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Standart'!$F$14:$F$216,'RAB Standart'!$C$14:$C$216,C372)</f>
        <v>1</v>
      </c>
      <c r="E372" s="24">
        <f t="shared" ca="1" si="29"/>
        <v>1</v>
      </c>
      <c r="F372" s="24">
        <f ca="1">IF(D372=0,0,SUM($E$223:E372))</f>
        <v>25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Standart'!$F$14:$F$216,'RAB Standart'!$C$14:$C$216,C373)</f>
        <v>1</v>
      </c>
      <c r="E373" s="24">
        <f t="shared" ca="1" si="29"/>
        <v>1</v>
      </c>
      <c r="F373" s="24">
        <f ca="1">IF(D373=0,0,SUM($E$223:E373))</f>
        <v>26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2" priority="5" operator="equal">
      <formula>0</formula>
    </cfRule>
  </conditionalFormatting>
  <conditionalFormatting sqref="C16:C165">
    <cfRule type="cellIs" dxfId="31" priority="4" stopIfTrue="1" operator="equal">
      <formula>0</formula>
    </cfRule>
  </conditionalFormatting>
  <conditionalFormatting sqref="C16:E165">
    <cfRule type="cellIs" dxfId="30" priority="1" operator="equal">
      <formula>0</formula>
    </cfRule>
  </conditionalFormatting>
  <conditionalFormatting sqref="D224:F373">
    <cfRule type="cellIs" dxfId="29" priority="8" operator="equal">
      <formula>0</formula>
    </cfRule>
  </conditionalFormatting>
  <conditionalFormatting sqref="E1:E3 E6:E15 H12:I12 N13 F14:F15 E166:K166 G166:G223 E167:F167 H167:K167 G39:K115 G1:G38 H14:K38">
    <cfRule type="cellIs" dxfId="28" priority="43" stopIfTrue="1" operator="equal">
      <formula>0</formula>
    </cfRule>
  </conditionalFormatting>
  <conditionalFormatting sqref="E171:E65536">
    <cfRule type="cellIs" dxfId="27" priority="9" stopIfTrue="1" operator="equal">
      <formula>0</formula>
    </cfRule>
  </conditionalFormatting>
  <conditionalFormatting sqref="G224">
    <cfRule type="cellIs" dxfId="26" priority="10" operator="equal">
      <formula>0</formula>
    </cfRule>
  </conditionalFormatting>
  <conditionalFormatting sqref="G225:G65536">
    <cfRule type="cellIs" dxfId="25" priority="14" stopIfTrue="1" operator="equal">
      <formula>0</formula>
    </cfRule>
  </conditionalFormatting>
  <conditionalFormatting sqref="R14:T166 G116:K165">
    <cfRule type="cellIs" dxfId="2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8"/>
    </row>
    <row r="4" spans="4:4" ht="57" customHeight="1">
      <c r="D4" s="368">
        <v>3</v>
      </c>
    </row>
    <row r="5" spans="4:4" ht="57" customHeight="1">
      <c r="D5" s="368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9" t="s">
        <v>1425</v>
      </c>
      <c r="C2" s="599"/>
      <c r="D2" s="599"/>
      <c r="E2" s="599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604" t="s">
        <v>1499</v>
      </c>
      <c r="C4" s="605"/>
      <c r="D4" s="605"/>
      <c r="E4" s="606"/>
      <c r="F4" s="350"/>
      <c r="G4" s="350"/>
      <c r="H4" s="351"/>
      <c r="I4" s="568" t="s">
        <v>1500</v>
      </c>
      <c r="J4" s="569"/>
      <c r="K4" s="569"/>
      <c r="L4" s="570"/>
    </row>
    <row r="5" spans="1:12" ht="34.5" customHeight="1">
      <c r="A5" s="193"/>
      <c r="B5" s="353" t="s">
        <v>1351</v>
      </c>
      <c r="C5" s="200" t="s">
        <v>9</v>
      </c>
      <c r="D5" s="600" t="str">
        <f>DATA!D14</f>
        <v>PB An. PT NESTA INDONESIA JAYA</v>
      </c>
      <c r="E5" s="601"/>
      <c r="F5" s="197"/>
      <c r="G5" s="197"/>
      <c r="I5" s="354" t="s">
        <v>1351</v>
      </c>
      <c r="J5" s="200" t="s">
        <v>9</v>
      </c>
      <c r="K5" s="571" t="str">
        <f>D5</f>
        <v>PB An. PT NESTA INDONESIA JAYA</v>
      </c>
      <c r="L5" s="572"/>
    </row>
    <row r="6" spans="1:12" ht="31.5" customHeight="1">
      <c r="A6" s="193"/>
      <c r="B6" s="353" t="s">
        <v>1496</v>
      </c>
      <c r="C6" s="200" t="s">
        <v>9</v>
      </c>
      <c r="D6" s="609">
        <f>DATA!D17*1000</f>
        <v>0</v>
      </c>
      <c r="E6" s="610"/>
      <c r="F6" s="197"/>
      <c r="G6" s="197"/>
      <c r="I6" s="354" t="s">
        <v>1497</v>
      </c>
      <c r="J6" s="200" t="s">
        <v>9</v>
      </c>
      <c r="K6" s="573">
        <f>DATA!D20*1000</f>
        <v>555000</v>
      </c>
      <c r="L6" s="574"/>
    </row>
    <row r="7" spans="1:12" ht="30.75" customHeight="1">
      <c r="A7" s="193"/>
      <c r="B7" s="353" t="s">
        <v>1412</v>
      </c>
      <c r="C7" s="200" t="s">
        <v>9</v>
      </c>
      <c r="D7" s="607">
        <f>DATA!D18</f>
        <v>1</v>
      </c>
      <c r="E7" s="608"/>
      <c r="F7" s="352" t="s">
        <v>1424</v>
      </c>
      <c r="I7" s="354" t="s">
        <v>1412</v>
      </c>
      <c r="J7" s="200" t="s">
        <v>9</v>
      </c>
      <c r="K7" s="575">
        <f>DATA!D21</f>
        <v>3</v>
      </c>
      <c r="L7" s="576"/>
    </row>
    <row r="8" spans="1:12" ht="51" customHeight="1">
      <c r="A8" s="193"/>
      <c r="B8" s="353" t="s">
        <v>1413</v>
      </c>
      <c r="C8" s="200" t="s">
        <v>9</v>
      </c>
      <c r="D8" s="607">
        <f>DATA!D19</f>
        <v>220</v>
      </c>
      <c r="E8" s="608"/>
      <c r="F8" s="352" t="s">
        <v>1424</v>
      </c>
      <c r="G8" s="347">
        <v>220</v>
      </c>
      <c r="I8" s="354" t="s">
        <v>1413</v>
      </c>
      <c r="J8" s="200" t="s">
        <v>9</v>
      </c>
      <c r="K8" s="575">
        <f>DATA!D22</f>
        <v>380</v>
      </c>
      <c r="L8" s="576"/>
    </row>
    <row r="9" spans="1:12" ht="30" customHeight="1" thickBot="1">
      <c r="A9" s="193"/>
      <c r="B9" s="359" t="s">
        <v>1508</v>
      </c>
      <c r="C9" s="349" t="s">
        <v>9</v>
      </c>
      <c r="D9" s="602">
        <f>IF(D7=1,D6/(380/3^0.5),(D6/(380*3^0.5)))</f>
        <v>0</v>
      </c>
      <c r="E9" s="603"/>
      <c r="F9" s="196"/>
      <c r="G9" s="348">
        <v>380</v>
      </c>
      <c r="I9" s="360" t="s">
        <v>1508</v>
      </c>
      <c r="J9" s="349" t="s">
        <v>9</v>
      </c>
      <c r="K9" s="579">
        <f>IF(K7=1,K6/(380/3^0.5),(K6/(380*3^0.5)))</f>
        <v>843.23526157958509</v>
      </c>
      <c r="L9" s="580"/>
    </row>
    <row r="10" spans="1:12" ht="24.75" customHeight="1">
      <c r="B10" s="361"/>
      <c r="C10" s="358"/>
      <c r="D10" s="362"/>
      <c r="E10" s="362"/>
      <c r="F10" s="196"/>
      <c r="G10" s="348"/>
      <c r="I10" s="361"/>
      <c r="J10" s="358"/>
      <c r="K10" s="362"/>
      <c r="L10" s="362"/>
    </row>
    <row r="11" spans="1:12" ht="16.5" thickBot="1">
      <c r="B11" s="355" t="s">
        <v>1509</v>
      </c>
      <c r="I11" s="355" t="s">
        <v>1503</v>
      </c>
    </row>
    <row r="12" spans="1:12" ht="34.5" customHeight="1">
      <c r="A12" s="193"/>
      <c r="B12" s="383" t="s">
        <v>1501</v>
      </c>
      <c r="C12" s="377" t="s">
        <v>9</v>
      </c>
      <c r="D12" s="611"/>
      <c r="E12" s="612"/>
      <c r="F12" s="197"/>
      <c r="G12" s="197"/>
      <c r="I12" s="376" t="s">
        <v>1501</v>
      </c>
      <c r="J12" s="377" t="s">
        <v>9</v>
      </c>
      <c r="K12" s="613"/>
      <c r="L12" s="614"/>
    </row>
    <row r="13" spans="1:12" ht="31.5" customHeight="1">
      <c r="A13" s="193"/>
      <c r="B13" s="384" t="s">
        <v>1352</v>
      </c>
      <c r="C13" s="364" t="s">
        <v>9</v>
      </c>
      <c r="D13" s="617"/>
      <c r="E13" s="618"/>
      <c r="F13" s="197"/>
      <c r="G13" s="197"/>
      <c r="I13" s="378" t="s">
        <v>1352</v>
      </c>
      <c r="J13" s="364" t="s">
        <v>9</v>
      </c>
      <c r="K13" s="577"/>
      <c r="L13" s="578"/>
    </row>
    <row r="14" spans="1:12" ht="30.75" customHeight="1">
      <c r="A14" s="193"/>
      <c r="B14" s="384" t="s">
        <v>1502</v>
      </c>
      <c r="C14" s="364" t="s">
        <v>9</v>
      </c>
      <c r="D14" s="581">
        <v>50</v>
      </c>
      <c r="E14" s="582"/>
      <c r="F14" s="352" t="s">
        <v>1424</v>
      </c>
      <c r="G14" s="356">
        <v>50</v>
      </c>
      <c r="I14" s="378" t="s">
        <v>1502</v>
      </c>
      <c r="J14" s="364" t="s">
        <v>9</v>
      </c>
      <c r="K14" s="583">
        <v>200</v>
      </c>
      <c r="L14" s="584"/>
    </row>
    <row r="15" spans="1:12" ht="57" customHeight="1">
      <c r="A15" s="193"/>
      <c r="B15" s="384" t="s">
        <v>1412</v>
      </c>
      <c r="C15" s="364" t="s">
        <v>9</v>
      </c>
      <c r="D15" s="370">
        <v>3</v>
      </c>
      <c r="E15" s="379"/>
      <c r="F15" s="352" t="s">
        <v>1424</v>
      </c>
      <c r="G15" s="356">
        <v>100</v>
      </c>
      <c r="I15" s="378" t="s">
        <v>1412</v>
      </c>
      <c r="J15" s="364" t="s">
        <v>9</v>
      </c>
      <c r="K15" s="370">
        <v>3</v>
      </c>
      <c r="L15" s="379"/>
    </row>
    <row r="16" spans="1:12" ht="44.25" customHeight="1">
      <c r="A16" s="193"/>
      <c r="B16" s="384" t="s">
        <v>1512</v>
      </c>
      <c r="C16" s="364"/>
      <c r="D16" s="585">
        <v>100</v>
      </c>
      <c r="E16" s="586"/>
      <c r="F16" s="352"/>
      <c r="G16" s="356">
        <v>160</v>
      </c>
      <c r="I16" s="378" t="s">
        <v>1504</v>
      </c>
      <c r="J16" s="364" t="s">
        <v>9</v>
      </c>
      <c r="K16" s="589">
        <f>K9</f>
        <v>843.23526157958509</v>
      </c>
      <c r="L16" s="590"/>
    </row>
    <row r="17" spans="1:12" ht="34.5" customHeight="1">
      <c r="A17" s="193"/>
      <c r="B17" s="384" t="s">
        <v>1505</v>
      </c>
      <c r="C17" s="364" t="s">
        <v>9</v>
      </c>
      <c r="D17" s="587">
        <f>IF(D15=1,D14/(20/3^0.5),(D14/(20*3^0.5)))</f>
        <v>1.4433756729740645</v>
      </c>
      <c r="E17" s="588"/>
      <c r="F17" s="352" t="s">
        <v>1424</v>
      </c>
      <c r="G17" s="357">
        <v>200</v>
      </c>
      <c r="I17" s="378" t="s">
        <v>1505</v>
      </c>
      <c r="J17" s="364" t="s">
        <v>9</v>
      </c>
      <c r="K17" s="593">
        <f>IF(K15=1,K14/(20/3^0.5),(K14/(20*3^0.5)))</f>
        <v>5.7735026918962582</v>
      </c>
      <c r="L17" s="594"/>
    </row>
    <row r="18" spans="1:12" ht="34.5" customHeight="1">
      <c r="A18" s="193"/>
      <c r="B18" s="384" t="s">
        <v>1506</v>
      </c>
      <c r="C18" s="364" t="s">
        <v>9</v>
      </c>
      <c r="D18" s="587">
        <f>IF(D15=1,D14/(380/3^0.5),(D14/(380*3^0.5)))*1000</f>
        <v>75.96714068284551</v>
      </c>
      <c r="E18" s="588"/>
      <c r="F18" s="352" t="s">
        <v>1424</v>
      </c>
      <c r="G18" s="357">
        <v>250</v>
      </c>
      <c r="I18" s="378" t="s">
        <v>1506</v>
      </c>
      <c r="J18" s="364" t="s">
        <v>9</v>
      </c>
      <c r="K18" s="593">
        <f>IF(K15=1,K14/(380/3^0.5),(K14/(380*3^0.5)))*1000</f>
        <v>303.86856273138204</v>
      </c>
      <c r="L18" s="594"/>
    </row>
    <row r="19" spans="1:12" ht="30" customHeight="1">
      <c r="A19" s="193"/>
      <c r="B19" s="385" t="s">
        <v>1498</v>
      </c>
      <c r="C19" s="363" t="s">
        <v>9</v>
      </c>
      <c r="D19" s="587">
        <f>IF(D15=1,D13/(380/3^0.5),(D13/(380*3^0.5)))</f>
        <v>0</v>
      </c>
      <c r="E19" s="588"/>
      <c r="F19" s="196"/>
      <c r="G19" s="348"/>
      <c r="I19" s="380" t="s">
        <v>1498</v>
      </c>
      <c r="J19" s="363" t="s">
        <v>9</v>
      </c>
      <c r="K19" s="593">
        <f>IF(K15=1,K13/(380/3^0.5),(K13/(380*3^0.5)))</f>
        <v>0</v>
      </c>
      <c r="L19" s="594"/>
    </row>
    <row r="20" spans="1:12" ht="30" customHeight="1" thickBot="1">
      <c r="A20" s="193"/>
      <c r="B20" s="386" t="s">
        <v>1507</v>
      </c>
      <c r="C20" s="382" t="s">
        <v>9</v>
      </c>
      <c r="D20" s="615">
        <f>D16/D18</f>
        <v>1.3163586137523464</v>
      </c>
      <c r="E20" s="616"/>
      <c r="F20" s="196"/>
      <c r="G20" s="348"/>
      <c r="I20" s="381" t="s">
        <v>1498</v>
      </c>
      <c r="J20" s="382" t="s">
        <v>9</v>
      </c>
      <c r="K20" s="591">
        <f>K16/K18</f>
        <v>2.7749999999999999</v>
      </c>
      <c r="L20" s="592"/>
    </row>
    <row r="21" spans="1:12" ht="9.75" customHeight="1">
      <c r="A21" s="193"/>
      <c r="B21" s="371" t="s">
        <v>1507</v>
      </c>
      <c r="C21" s="372" t="s">
        <v>9</v>
      </c>
      <c r="D21" s="598">
        <v>1</v>
      </c>
      <c r="E21" s="598"/>
      <c r="F21" s="373"/>
      <c r="G21" s="374"/>
      <c r="H21" s="375"/>
      <c r="I21" s="371" t="s">
        <v>1498</v>
      </c>
      <c r="J21" s="372" t="s">
        <v>9</v>
      </c>
      <c r="K21" s="598">
        <v>1</v>
      </c>
      <c r="L21" s="598"/>
    </row>
    <row r="22" spans="1:12" ht="6.75" customHeight="1">
      <c r="B22" s="361"/>
      <c r="C22" s="358"/>
      <c r="D22" s="369"/>
      <c r="E22" s="369"/>
      <c r="F22" s="196"/>
      <c r="G22" s="348"/>
      <c r="J22" s="358"/>
      <c r="K22" s="369"/>
      <c r="L22" s="369"/>
    </row>
    <row r="23" spans="1:12" ht="15.75" thickBot="1"/>
    <row r="24" spans="1:12" ht="200.25" customHeight="1" thickBot="1">
      <c r="B24" s="595"/>
      <c r="C24" s="596"/>
      <c r="D24" s="596"/>
      <c r="E24" s="597"/>
      <c r="I24" s="595"/>
      <c r="J24" s="596"/>
      <c r="K24" s="596"/>
      <c r="L24" s="597"/>
    </row>
    <row r="26" spans="1:12">
      <c r="D26" s="366"/>
    </row>
    <row r="27" spans="1:12">
      <c r="D27" s="36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opLeftCell="B1" zoomScaleNormal="100" workbookViewId="0">
      <selection activeCell="B12" sqref="A12:XFD12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3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9"/>
      <c r="C1" s="619"/>
      <c r="D1" s="619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2023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5">
        <v>1084.1250458865841</v>
      </c>
      <c r="F5" s="391" t="s">
        <v>1574</v>
      </c>
      <c r="K5" s="390"/>
    </row>
    <row r="6" spans="2:11" ht="20.100000000000001" customHeight="1">
      <c r="B6" s="214" t="s">
        <v>1324</v>
      </c>
      <c r="C6" s="215" t="s">
        <v>9</v>
      </c>
      <c r="D6" s="218">
        <v>25</v>
      </c>
      <c r="F6" s="391"/>
    </row>
    <row r="7" spans="2:11" ht="20.100000000000001" customHeight="1">
      <c r="B7" s="214" t="s">
        <v>1325</v>
      </c>
      <c r="C7" s="215" t="s">
        <v>9</v>
      </c>
      <c r="D7" s="219">
        <v>2.2499999999999999E-2</v>
      </c>
    </row>
    <row r="8" spans="2:11" ht="20.100000000000001" customHeight="1">
      <c r="B8" s="214" t="s">
        <v>1415</v>
      </c>
      <c r="C8" s="215" t="s">
        <v>9</v>
      </c>
      <c r="D8" s="220">
        <f>D20-D17</f>
        <v>555</v>
      </c>
    </row>
    <row r="9" spans="2:11" ht="20.100000000000001" customHeight="1">
      <c r="B9" s="214" t="s">
        <v>1416</v>
      </c>
      <c r="C9" s="215" t="s">
        <v>9</v>
      </c>
      <c r="D9" s="220">
        <f>(D8*D25)*1000</f>
        <v>350205000</v>
      </c>
    </row>
    <row r="10" spans="2:11" ht="20.100000000000001" customHeight="1">
      <c r="B10" s="214" t="s">
        <v>1417</v>
      </c>
      <c r="C10" s="215" t="s">
        <v>9</v>
      </c>
      <c r="D10" s="220">
        <f ca="1">'RAB Standart'!K222</f>
        <v>360386893.31540936</v>
      </c>
    </row>
    <row r="11" spans="2:11" ht="20.100000000000001" customHeight="1">
      <c r="B11" s="214" t="s">
        <v>1649</v>
      </c>
      <c r="C11" s="215" t="s">
        <v>9</v>
      </c>
      <c r="D11" s="220">
        <f ca="1">'RAB Estetika'!K162</f>
        <v>0</v>
      </c>
    </row>
    <row r="12" spans="2:11" ht="9" customHeight="1">
      <c r="B12" s="620"/>
      <c r="C12" s="620"/>
      <c r="D12" s="620"/>
    </row>
    <row r="13" spans="2:11" ht="15.75" customHeight="1">
      <c r="B13" s="221"/>
      <c r="C13" s="221"/>
      <c r="D13" s="221"/>
    </row>
    <row r="14" spans="2:11" ht="33.75" customHeight="1">
      <c r="B14" s="337" t="s">
        <v>1351</v>
      </c>
      <c r="C14" s="338" t="s">
        <v>9</v>
      </c>
      <c r="D14" s="343" t="s">
        <v>1673</v>
      </c>
      <c r="E14" s="222" t="s">
        <v>1424</v>
      </c>
    </row>
    <row r="15" spans="2:11" ht="20.100000000000001" customHeight="1">
      <c r="B15" s="339" t="s">
        <v>1418</v>
      </c>
      <c r="C15" s="340" t="s">
        <v>9</v>
      </c>
      <c r="D15" s="344" t="s">
        <v>1662</v>
      </c>
      <c r="E15" s="222" t="s">
        <v>1424</v>
      </c>
    </row>
    <row r="16" spans="2:11" ht="20.100000000000001" customHeight="1">
      <c r="B16" s="339" t="s">
        <v>1419</v>
      </c>
      <c r="C16" s="340" t="s">
        <v>9</v>
      </c>
      <c r="D16" s="344" t="s">
        <v>1422</v>
      </c>
      <c r="E16" s="222" t="s">
        <v>1424</v>
      </c>
    </row>
    <row r="17" spans="2:5" ht="20.100000000000001" customHeight="1">
      <c r="B17" s="339" t="s">
        <v>1420</v>
      </c>
      <c r="C17" s="340" t="s">
        <v>9</v>
      </c>
      <c r="D17" s="345">
        <v>0</v>
      </c>
      <c r="E17" s="222" t="s">
        <v>1424</v>
      </c>
    </row>
    <row r="18" spans="2:5" ht="20.100000000000001" hidden="1" customHeight="1">
      <c r="B18" s="339" t="s">
        <v>1510</v>
      </c>
      <c r="C18" s="340"/>
      <c r="D18" s="345">
        <f>IF((D17&lt;=11),1,3)</f>
        <v>1</v>
      </c>
      <c r="E18" s="222"/>
    </row>
    <row r="19" spans="2:5" ht="20.100000000000001" hidden="1" customHeight="1">
      <c r="B19" s="339" t="s">
        <v>1511</v>
      </c>
      <c r="C19" s="340"/>
      <c r="D19" s="345">
        <f>IF((D17&lt;=11),220,380)</f>
        <v>220</v>
      </c>
      <c r="E19" s="222"/>
    </row>
    <row r="20" spans="2:5" ht="20.100000000000001" customHeight="1">
      <c r="B20" s="339" t="s">
        <v>1421</v>
      </c>
      <c r="C20" s="340" t="s">
        <v>9</v>
      </c>
      <c r="D20" s="345">
        <v>555</v>
      </c>
      <c r="E20" s="222" t="s">
        <v>1424</v>
      </c>
    </row>
    <row r="21" spans="2:5" ht="20.100000000000001" hidden="1" customHeight="1">
      <c r="B21" s="339" t="s">
        <v>1510</v>
      </c>
      <c r="C21" s="340"/>
      <c r="D21" s="345">
        <f>IF((D20&lt;=11),1,3)</f>
        <v>3</v>
      </c>
      <c r="E21" s="222"/>
    </row>
    <row r="22" spans="2:5" ht="20.100000000000001" hidden="1" customHeight="1">
      <c r="B22" s="339" t="s">
        <v>1511</v>
      </c>
      <c r="C22" s="340"/>
      <c r="D22" s="345">
        <f>IF((D20&lt;=11),220,380)</f>
        <v>380</v>
      </c>
      <c r="E22" s="222"/>
    </row>
    <row r="23" spans="2:5" ht="20.100000000000001" customHeight="1">
      <c r="B23" s="339" t="s">
        <v>1326</v>
      </c>
      <c r="C23" s="340" t="s">
        <v>9</v>
      </c>
      <c r="D23" s="344">
        <v>1553.67</v>
      </c>
      <c r="E23" s="222" t="s">
        <v>1424</v>
      </c>
    </row>
    <row r="24" spans="2:5" ht="20.100000000000001" customHeight="1">
      <c r="B24" s="339" t="s">
        <v>1327</v>
      </c>
      <c r="C24" s="340" t="s">
        <v>9</v>
      </c>
      <c r="D24" s="344">
        <v>1035.78</v>
      </c>
      <c r="E24" s="222" t="s">
        <v>1424</v>
      </c>
    </row>
    <row r="25" spans="2:5" ht="20.100000000000001" customHeight="1">
      <c r="B25" s="339" t="s">
        <v>1423</v>
      </c>
      <c r="C25" s="340" t="s">
        <v>9</v>
      </c>
      <c r="D25" s="345">
        <v>631</v>
      </c>
      <c r="E25" s="222" t="s">
        <v>1424</v>
      </c>
    </row>
    <row r="26" spans="2:5" ht="20.100000000000001" customHeight="1">
      <c r="B26" s="341" t="s">
        <v>1328</v>
      </c>
      <c r="C26" s="342" t="s">
        <v>9</v>
      </c>
      <c r="D26" s="346">
        <v>40</v>
      </c>
      <c r="E26" s="222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7" activePane="bottomLeft" state="frozen"/>
      <selection activeCell="D10" sqref="D10"/>
      <selection pane="bottomLeft" activeCell="F3" sqref="F3"/>
    </sheetView>
  </sheetViews>
  <sheetFormatPr defaultRowHeight="15"/>
  <cols>
    <col min="1" max="1" width="5" style="224" customWidth="1"/>
    <col min="2" max="2" width="6.28515625" style="224" customWidth="1"/>
    <col min="3" max="3" width="15.140625" style="224" customWidth="1"/>
    <col min="4" max="4" width="15" style="224" customWidth="1"/>
    <col min="5" max="5" width="15.140625" style="224" bestFit="1" customWidth="1"/>
    <col min="6" max="6" width="12.140625" style="224" bestFit="1" customWidth="1"/>
    <col min="7" max="7" width="10" style="224" bestFit="1" customWidth="1"/>
    <col min="8" max="8" width="15.7109375" style="224" bestFit="1" customWidth="1"/>
    <col min="9" max="9" width="14.140625" style="224" bestFit="1" customWidth="1"/>
    <col min="10" max="10" width="13.85546875" style="224" bestFit="1" customWidth="1"/>
    <col min="11" max="11" width="15.7109375" style="224" customWidth="1"/>
    <col min="12" max="12" width="11.140625" style="224" bestFit="1" customWidth="1"/>
    <col min="13" max="13" width="13.85546875" style="224" bestFit="1" customWidth="1"/>
    <col min="14" max="14" width="12.85546875" style="224" bestFit="1" customWidth="1"/>
    <col min="15" max="15" width="7" style="224" customWidth="1"/>
    <col min="16" max="17" width="12.85546875" style="224" bestFit="1" customWidth="1"/>
    <col min="18" max="18" width="1.28515625" style="224" hidden="1" customWidth="1"/>
    <col min="19" max="19" width="3" style="226" hidden="1" customWidth="1"/>
    <col min="20" max="16384" width="9.140625" style="224"/>
  </cols>
  <sheetData>
    <row r="1" spans="1:21">
      <c r="G1" s="225"/>
    </row>
    <row r="2" spans="1:21">
      <c r="G2" s="225"/>
      <c r="K2" s="504"/>
    </row>
    <row r="3" spans="1:21">
      <c r="B3" s="627" t="s">
        <v>1329</v>
      </c>
      <c r="C3" s="627"/>
      <c r="D3" s="627"/>
      <c r="E3" s="627"/>
      <c r="F3" s="227" t="str">
        <f>DATA!D14</f>
        <v>PB An. PT NESTA INDONESIA JAYA</v>
      </c>
      <c r="G3" s="225"/>
    </row>
    <row r="4" spans="1:21" ht="7.5" customHeight="1">
      <c r="B4" s="228"/>
      <c r="C4" s="228"/>
      <c r="D4" s="228"/>
      <c r="E4" s="228"/>
      <c r="F4" s="227"/>
      <c r="G4" s="225"/>
    </row>
    <row r="5" spans="1:21" ht="20.100000000000001" customHeight="1">
      <c r="B5" s="621" t="s">
        <v>1322</v>
      </c>
      <c r="C5" s="621" t="s">
        <v>1330</v>
      </c>
      <c r="D5" s="626" t="s">
        <v>1331</v>
      </c>
      <c r="E5" s="626" t="s">
        <v>1332</v>
      </c>
      <c r="F5" s="621" t="s">
        <v>1333</v>
      </c>
      <c r="G5" s="621"/>
      <c r="H5" s="621"/>
      <c r="I5" s="621"/>
      <c r="J5" s="621"/>
      <c r="K5" s="621" t="s">
        <v>1334</v>
      </c>
      <c r="L5" s="621"/>
      <c r="M5" s="229"/>
      <c r="N5" s="624" t="s">
        <v>1335</v>
      </c>
      <c r="O5" s="626" t="s">
        <v>1336</v>
      </c>
      <c r="P5" s="626" t="s">
        <v>1337</v>
      </c>
      <c r="Q5" s="626" t="s">
        <v>1338</v>
      </c>
      <c r="R5" s="230"/>
      <c r="S5" s="231"/>
      <c r="T5" s="622" t="s">
        <v>1339</v>
      </c>
      <c r="U5" s="232"/>
    </row>
    <row r="6" spans="1:21" ht="20.100000000000001" customHeight="1">
      <c r="B6" s="621"/>
      <c r="C6" s="621"/>
      <c r="D6" s="621"/>
      <c r="E6" s="621"/>
      <c r="F6" s="233" t="s">
        <v>1340</v>
      </c>
      <c r="G6" s="233" t="s">
        <v>1341</v>
      </c>
      <c r="H6" s="233" t="s">
        <v>1342</v>
      </c>
      <c r="I6" s="233" t="s">
        <v>1343</v>
      </c>
      <c r="J6" s="233" t="s">
        <v>1005</v>
      </c>
      <c r="K6" s="233" t="s">
        <v>1344</v>
      </c>
      <c r="L6" s="233" t="s">
        <v>1345</v>
      </c>
      <c r="M6" s="233" t="s">
        <v>1005</v>
      </c>
      <c r="N6" s="625"/>
      <c r="O6" s="621"/>
      <c r="P6" s="621"/>
      <c r="Q6" s="621"/>
      <c r="R6" s="230"/>
      <c r="S6" s="231"/>
      <c r="T6" s="621"/>
      <c r="U6" s="234"/>
    </row>
    <row r="7" spans="1:21" ht="20.100000000000001" customHeight="1">
      <c r="A7" s="235">
        <v>0</v>
      </c>
      <c r="B7" s="236">
        <v>2023</v>
      </c>
      <c r="C7" s="387">
        <f>DATA!D8*DATA!D26*2</f>
        <v>44400</v>
      </c>
      <c r="D7" s="238">
        <f t="shared" ref="D7:D12" si="0">C7*4/24</f>
        <v>7400</v>
      </c>
      <c r="E7" s="238">
        <f>C7-D7</f>
        <v>37000</v>
      </c>
      <c r="F7" s="239">
        <f ca="1">DATA!D10/1000000</f>
        <v>360.38689331540934</v>
      </c>
      <c r="G7" s="240" t="e">
        <f>DATA!#REF!/1000000</f>
        <v>#REF!</v>
      </c>
      <c r="H7" s="240">
        <f>C7*DATA!$D$5/1000000</f>
        <v>48.135152037364335</v>
      </c>
      <c r="I7" s="240">
        <f>(C7*DATA!$D$5*DATA!$D$7)/1000000</f>
        <v>1.0830409208406973</v>
      </c>
      <c r="J7" s="238" t="e">
        <f ca="1">SUM(F7:I7)</f>
        <v>#REF!</v>
      </c>
      <c r="K7" s="241">
        <f>DATA!D9/1000000</f>
        <v>350.20499999999998</v>
      </c>
      <c r="L7" s="238">
        <f>((D7*DATA!$D$23)/1000000)+((E7*DATA!$D$24)/1000000)</f>
        <v>49.821018000000002</v>
      </c>
      <c r="M7" s="238">
        <f>K7+L7</f>
        <v>400.02601799999997</v>
      </c>
      <c r="N7" s="238" t="e">
        <f ca="1">M7-J7</f>
        <v>#REF!</v>
      </c>
      <c r="O7" s="236">
        <v>1</v>
      </c>
      <c r="P7" s="238" t="e">
        <f ca="1">O7*N7</f>
        <v>#REF!</v>
      </c>
      <c r="Q7" s="238" t="e">
        <f ca="1">P7</f>
        <v>#REF!</v>
      </c>
      <c r="S7" s="226" t="e">
        <f ca="1">IF(Q7&lt;0,"a","")</f>
        <v>#REF!</v>
      </c>
      <c r="T7" s="242" t="str">
        <f>IF(Q5&gt;=0,"",IF(Q7&lt;0,"",IF(Q7=0,A7,(A7-(Q7/N7)))))</f>
        <v/>
      </c>
      <c r="U7" s="226"/>
    </row>
    <row r="8" spans="1:21" ht="20.100000000000001" customHeight="1">
      <c r="A8" s="235">
        <f>A7+1</f>
        <v>1</v>
      </c>
      <c r="B8" s="236">
        <f>B7+1</f>
        <v>2024</v>
      </c>
      <c r="C8" s="237">
        <f>DATA!D8*DATA!D26*12</f>
        <v>266400</v>
      </c>
      <c r="D8" s="238">
        <f t="shared" si="0"/>
        <v>44400</v>
      </c>
      <c r="E8" s="238">
        <f t="shared" ref="E8:E32" si="1">C8-D8</f>
        <v>222000</v>
      </c>
      <c r="F8" s="236"/>
      <c r="G8" s="240" t="e">
        <f>DATA!#REF!/1000000</f>
        <v>#REF!</v>
      </c>
      <c r="H8" s="240">
        <f>C8*DATA!$D$5/1000000</f>
        <v>288.81091222418598</v>
      </c>
      <c r="I8" s="240">
        <f>(C8*DATA!$D$5*DATA!$D$7)/1000000</f>
        <v>6.4982455250441848</v>
      </c>
      <c r="J8" s="238" t="e">
        <f>SUM(F8:I8)</f>
        <v>#REF!</v>
      </c>
      <c r="K8" s="243"/>
      <c r="L8" s="238">
        <f>((D8*DATA!$D$23)/1000000)+((E8*DATA!$D$24)/1000000)</f>
        <v>298.926108</v>
      </c>
      <c r="M8" s="238">
        <f t="shared" ref="M8:M32" si="2">K8+L8</f>
        <v>298.926108</v>
      </c>
      <c r="N8" s="238" t="e">
        <f>M8-J8</f>
        <v>#REF!</v>
      </c>
      <c r="O8" s="237">
        <f>1/(1+'[164]Asumsi I'!$C$3)^(KKF!A8)</f>
        <v>0.89285714285714279</v>
      </c>
      <c r="P8" s="238" t="e">
        <f>O8*N8</f>
        <v>#REF!</v>
      </c>
      <c r="Q8" s="238" t="e">
        <f ca="1">Q7+P8</f>
        <v>#REF!</v>
      </c>
      <c r="S8" s="226" t="e">
        <f t="shared" ref="S8:S32" ca="1" si="3">IF(Q8&lt;0,"a","")</f>
        <v>#REF!</v>
      </c>
      <c r="T8" s="242" t="str">
        <f>IF(Q6&gt;=0,"",IF(Q8&lt;0,"",IF(Q8=0,A8,(A8-(Q8/N8)))))</f>
        <v/>
      </c>
      <c r="U8" s="226"/>
    </row>
    <row r="9" spans="1:21" ht="20.100000000000001" customHeight="1">
      <c r="A9" s="235">
        <f t="shared" ref="A9:B24" si="4">A8+1</f>
        <v>2</v>
      </c>
      <c r="B9" s="236">
        <f t="shared" si="4"/>
        <v>2025</v>
      </c>
      <c r="C9" s="244">
        <f>+C8</f>
        <v>266400</v>
      </c>
      <c r="D9" s="238">
        <f t="shared" si="0"/>
        <v>44400</v>
      </c>
      <c r="E9" s="238">
        <f t="shared" si="1"/>
        <v>222000</v>
      </c>
      <c r="F9" s="236"/>
      <c r="G9" s="240" t="e">
        <f>DATA!#REF!/1000000</f>
        <v>#REF!</v>
      </c>
      <c r="H9" s="240">
        <f>C9*DATA!$D$5/1000000</f>
        <v>288.81091222418598</v>
      </c>
      <c r="I9" s="240">
        <f>(C9*DATA!$D$5*DATA!$D$7)/1000000</f>
        <v>6.4982455250441848</v>
      </c>
      <c r="J9" s="238" t="e">
        <f t="shared" ref="J9:J32" si="5">SUM(F9:I9)</f>
        <v>#REF!</v>
      </c>
      <c r="K9" s="238"/>
      <c r="L9" s="238">
        <f>((D9*DATA!$D$23)/1000000)+((E9*DATA!$D$24)/1000000)</f>
        <v>298.926108</v>
      </c>
      <c r="M9" s="238">
        <f t="shared" si="2"/>
        <v>298.926108</v>
      </c>
      <c r="N9" s="238" t="e">
        <f t="shared" ref="N9:N32" si="6">M9-J9</f>
        <v>#REF!</v>
      </c>
      <c r="O9" s="244">
        <f>1/(1+'[164]Asumsi I'!$C$3)^(KKF!A9)</f>
        <v>0.79719387755102034</v>
      </c>
      <c r="P9" s="238" t="e">
        <f t="shared" ref="P9:P32" si="7">O9*N9</f>
        <v>#REF!</v>
      </c>
      <c r="Q9" s="238" t="e">
        <f ca="1">Q8+P9</f>
        <v>#REF!</v>
      </c>
      <c r="S9" s="226" t="e">
        <f t="shared" ca="1" si="3"/>
        <v>#REF!</v>
      </c>
      <c r="T9" s="242" t="e">
        <f ca="1">IF(Q7&gt;=0,"",IF(Q9&lt;0,"",IF(Q9=0,A9,(A9-(Q9/N9)))))</f>
        <v>#REF!</v>
      </c>
      <c r="U9" s="226"/>
    </row>
    <row r="10" spans="1:21" ht="20.100000000000001" customHeight="1">
      <c r="A10" s="235">
        <f t="shared" si="4"/>
        <v>3</v>
      </c>
      <c r="B10" s="236">
        <f t="shared" si="4"/>
        <v>2026</v>
      </c>
      <c r="C10" s="237">
        <f t="shared" ref="C10:C32" si="8">+C9</f>
        <v>266400</v>
      </c>
      <c r="D10" s="238">
        <f t="shared" si="0"/>
        <v>44400</v>
      </c>
      <c r="E10" s="238">
        <f t="shared" si="1"/>
        <v>222000</v>
      </c>
      <c r="F10" s="236"/>
      <c r="G10" s="240" t="e">
        <f>DATA!#REF!/1000000</f>
        <v>#REF!</v>
      </c>
      <c r="H10" s="240">
        <f>C10*DATA!$D$5/1000000</f>
        <v>288.81091222418598</v>
      </c>
      <c r="I10" s="240">
        <f>(C10*DATA!$D$5*DATA!$D$7)/1000000</f>
        <v>6.4982455250441848</v>
      </c>
      <c r="J10" s="238" t="e">
        <f>SUM(F10:I10)</f>
        <v>#REF!</v>
      </c>
      <c r="K10" s="236"/>
      <c r="L10" s="238">
        <f>((D10*DATA!$D$23)/1000000)+((E10*DATA!$D$24)/1000000)</f>
        <v>298.926108</v>
      </c>
      <c r="M10" s="238">
        <f t="shared" si="2"/>
        <v>298.926108</v>
      </c>
      <c r="N10" s="238" t="e">
        <f t="shared" si="6"/>
        <v>#REF!</v>
      </c>
      <c r="O10" s="237">
        <f>1/(1+'[164]Asumsi I'!$C$3)^(KKF!A10)</f>
        <v>0.71178024781341087</v>
      </c>
      <c r="P10" s="238" t="e">
        <f t="shared" si="7"/>
        <v>#REF!</v>
      </c>
      <c r="Q10" s="238" t="e">
        <f t="shared" ref="Q10:Q30" ca="1" si="9">Q9+P10</f>
        <v>#REF!</v>
      </c>
      <c r="S10" s="226" t="e">
        <f t="shared" ca="1" si="3"/>
        <v>#REF!</v>
      </c>
      <c r="T10" s="242" t="e">
        <f t="shared" ref="T10:T32" ca="1" si="10">IF(Q8&gt;=0,"",IF(Q10&lt;0,"",IF(Q10=0,A10,(A10-(Q10/N10)))))</f>
        <v>#REF!</v>
      </c>
      <c r="U10" s="226"/>
    </row>
    <row r="11" spans="1:21" ht="20.100000000000001" customHeight="1">
      <c r="A11" s="235">
        <f t="shared" si="4"/>
        <v>4</v>
      </c>
      <c r="B11" s="236">
        <f t="shared" si="4"/>
        <v>2027</v>
      </c>
      <c r="C11" s="237">
        <f>+C10</f>
        <v>266400</v>
      </c>
      <c r="D11" s="238">
        <f t="shared" si="0"/>
        <v>44400</v>
      </c>
      <c r="E11" s="238">
        <f t="shared" si="1"/>
        <v>222000</v>
      </c>
      <c r="F11" s="236"/>
      <c r="G11" s="240" t="e">
        <f>DATA!#REF!/1000000</f>
        <v>#REF!</v>
      </c>
      <c r="H11" s="240">
        <f>C11*DATA!$D$5/1000000</f>
        <v>288.81091222418598</v>
      </c>
      <c r="I11" s="240">
        <f>(C11*DATA!$D$5*DATA!$D$7)/1000000</f>
        <v>6.4982455250441848</v>
      </c>
      <c r="J11" s="238" t="e">
        <f>SUM(F11:I11)</f>
        <v>#REF!</v>
      </c>
      <c r="K11" s="236"/>
      <c r="L11" s="238">
        <f>((D11*DATA!$D$23)/1000000)+((E11*DATA!$D$24)/1000000)</f>
        <v>298.926108</v>
      </c>
      <c r="M11" s="238">
        <f t="shared" si="2"/>
        <v>298.926108</v>
      </c>
      <c r="N11" s="238" t="e">
        <f t="shared" si="6"/>
        <v>#REF!</v>
      </c>
      <c r="O11" s="237">
        <f>1/(1+'[164]Asumsi I'!$C$3)^(KKF!A11)</f>
        <v>0.63551807840483121</v>
      </c>
      <c r="P11" s="238" t="e">
        <f t="shared" si="7"/>
        <v>#REF!</v>
      </c>
      <c r="Q11" s="238" t="e">
        <f t="shared" ca="1" si="9"/>
        <v>#REF!</v>
      </c>
      <c r="S11" s="226" t="e">
        <f t="shared" ca="1" si="3"/>
        <v>#REF!</v>
      </c>
      <c r="T11" s="242" t="e">
        <f t="shared" ca="1" si="10"/>
        <v>#REF!</v>
      </c>
      <c r="U11" s="226"/>
    </row>
    <row r="12" spans="1:21" ht="20.100000000000001" customHeight="1">
      <c r="A12" s="235">
        <f t="shared" si="4"/>
        <v>5</v>
      </c>
      <c r="B12" s="236">
        <f t="shared" si="4"/>
        <v>2028</v>
      </c>
      <c r="C12" s="237">
        <f t="shared" si="8"/>
        <v>266400</v>
      </c>
      <c r="D12" s="238">
        <f t="shared" si="0"/>
        <v>44400</v>
      </c>
      <c r="E12" s="238">
        <f>C12-D12</f>
        <v>222000</v>
      </c>
      <c r="F12" s="236"/>
      <c r="G12" s="240" t="e">
        <f>DATA!#REF!/1000000</f>
        <v>#REF!</v>
      </c>
      <c r="H12" s="240">
        <f>C12*DATA!$D$5/1000000</f>
        <v>288.81091222418598</v>
      </c>
      <c r="I12" s="240">
        <f>(C12*DATA!$D$5*DATA!$D$7)/1000000</f>
        <v>6.4982455250441848</v>
      </c>
      <c r="J12" s="238" t="e">
        <f t="shared" si="5"/>
        <v>#REF!</v>
      </c>
      <c r="K12" s="236"/>
      <c r="L12" s="238">
        <f>((D12*DATA!$D$23)/1000000)+((E12*DATA!$D$24)/1000000)</f>
        <v>298.926108</v>
      </c>
      <c r="M12" s="238">
        <f t="shared" si="2"/>
        <v>298.926108</v>
      </c>
      <c r="N12" s="238" t="e">
        <f t="shared" si="6"/>
        <v>#REF!</v>
      </c>
      <c r="O12" s="237">
        <f>1/(1+'[164]Asumsi I'!$C$3)^(KKF!A12)</f>
        <v>0.56742685571859919</v>
      </c>
      <c r="P12" s="238" t="e">
        <f t="shared" si="7"/>
        <v>#REF!</v>
      </c>
      <c r="Q12" s="238" t="e">
        <f t="shared" ca="1" si="9"/>
        <v>#REF!</v>
      </c>
      <c r="S12" s="226" t="e">
        <f t="shared" ca="1" si="3"/>
        <v>#REF!</v>
      </c>
      <c r="T12" s="242" t="e">
        <f t="shared" ca="1" si="10"/>
        <v>#REF!</v>
      </c>
      <c r="U12" s="226"/>
    </row>
    <row r="13" spans="1:21" ht="20.100000000000001" customHeight="1">
      <c r="A13" s="235">
        <f t="shared" si="4"/>
        <v>6</v>
      </c>
      <c r="B13" s="236">
        <f t="shared" si="4"/>
        <v>2029</v>
      </c>
      <c r="C13" s="237">
        <f t="shared" si="8"/>
        <v>266400</v>
      </c>
      <c r="D13" s="238">
        <f t="shared" ref="D13:D32" si="11">C13*4/24</f>
        <v>44400</v>
      </c>
      <c r="E13" s="238">
        <f t="shared" si="1"/>
        <v>222000</v>
      </c>
      <c r="F13" s="236"/>
      <c r="G13" s="240" t="e">
        <f>DATA!#REF!/1000000</f>
        <v>#REF!</v>
      </c>
      <c r="H13" s="240">
        <f>C13*DATA!$D$5/1000000</f>
        <v>288.81091222418598</v>
      </c>
      <c r="I13" s="240">
        <f>(C13*DATA!$D$5*DATA!$D$7)/1000000</f>
        <v>6.4982455250441848</v>
      </c>
      <c r="J13" s="238" t="e">
        <f t="shared" si="5"/>
        <v>#REF!</v>
      </c>
      <c r="K13" s="236"/>
      <c r="L13" s="238">
        <f>((D13*DATA!$D$23)/1000000)+((E13*DATA!$D$24)/1000000)</f>
        <v>298.926108</v>
      </c>
      <c r="M13" s="238">
        <f t="shared" si="2"/>
        <v>298.926108</v>
      </c>
      <c r="N13" s="238" t="e">
        <f t="shared" si="6"/>
        <v>#REF!</v>
      </c>
      <c r="O13" s="237">
        <f>1/(1+'[164]Asumsi I'!$C$3)^(KKF!A13)</f>
        <v>0.50663112117732068</v>
      </c>
      <c r="P13" s="238" t="e">
        <f t="shared" si="7"/>
        <v>#REF!</v>
      </c>
      <c r="Q13" s="238" t="e">
        <f t="shared" ca="1" si="9"/>
        <v>#REF!</v>
      </c>
      <c r="S13" s="226" t="e">
        <f t="shared" ca="1" si="3"/>
        <v>#REF!</v>
      </c>
      <c r="T13" s="242" t="e">
        <f t="shared" ca="1" si="10"/>
        <v>#REF!</v>
      </c>
      <c r="U13" s="226"/>
    </row>
    <row r="14" spans="1:21" ht="20.100000000000001" customHeight="1">
      <c r="A14" s="235">
        <f t="shared" si="4"/>
        <v>7</v>
      </c>
      <c r="B14" s="236">
        <f t="shared" si="4"/>
        <v>2030</v>
      </c>
      <c r="C14" s="237">
        <f t="shared" si="8"/>
        <v>266400</v>
      </c>
      <c r="D14" s="238">
        <f t="shared" si="11"/>
        <v>44400</v>
      </c>
      <c r="E14" s="238">
        <f t="shared" si="1"/>
        <v>222000</v>
      </c>
      <c r="F14" s="236"/>
      <c r="G14" s="240" t="e">
        <f>DATA!#REF!/1000000</f>
        <v>#REF!</v>
      </c>
      <c r="H14" s="240">
        <f>C14*DATA!$D$5/1000000</f>
        <v>288.81091222418598</v>
      </c>
      <c r="I14" s="240">
        <f>(C14*DATA!$D$5*DATA!$D$7)/1000000</f>
        <v>6.4982455250441848</v>
      </c>
      <c r="J14" s="238" t="e">
        <f t="shared" si="5"/>
        <v>#REF!</v>
      </c>
      <c r="K14" s="236"/>
      <c r="L14" s="238">
        <f>((D14*DATA!$D$23)/1000000)+((E14*DATA!$D$24)/1000000)</f>
        <v>298.926108</v>
      </c>
      <c r="M14" s="238">
        <f t="shared" si="2"/>
        <v>298.926108</v>
      </c>
      <c r="N14" s="238" t="e">
        <f t="shared" si="6"/>
        <v>#REF!</v>
      </c>
      <c r="O14" s="237">
        <f>1/(1+'[164]Asumsi I'!$C$3)^(KKF!A14)</f>
        <v>0.45234921533689343</v>
      </c>
      <c r="P14" s="238" t="e">
        <f t="shared" si="7"/>
        <v>#REF!</v>
      </c>
      <c r="Q14" s="238" t="e">
        <f t="shared" ca="1" si="9"/>
        <v>#REF!</v>
      </c>
      <c r="S14" s="226" t="e">
        <f t="shared" ca="1" si="3"/>
        <v>#REF!</v>
      </c>
      <c r="T14" s="242" t="e">
        <f t="shared" ca="1" si="10"/>
        <v>#REF!</v>
      </c>
      <c r="U14" s="226"/>
    </row>
    <row r="15" spans="1:21" ht="20.100000000000001" customHeight="1">
      <c r="A15" s="235">
        <f t="shared" si="4"/>
        <v>8</v>
      </c>
      <c r="B15" s="236">
        <f t="shared" si="4"/>
        <v>2031</v>
      </c>
      <c r="C15" s="237">
        <f t="shared" si="8"/>
        <v>266400</v>
      </c>
      <c r="D15" s="238">
        <f t="shared" si="11"/>
        <v>44400</v>
      </c>
      <c r="E15" s="238">
        <f t="shared" si="1"/>
        <v>222000</v>
      </c>
      <c r="F15" s="236"/>
      <c r="G15" s="240" t="e">
        <f>DATA!#REF!/1000000</f>
        <v>#REF!</v>
      </c>
      <c r="H15" s="240">
        <f>C15*DATA!$D$5/1000000</f>
        <v>288.81091222418598</v>
      </c>
      <c r="I15" s="240">
        <f>(C15*DATA!$D$5*DATA!$D$7)/1000000</f>
        <v>6.4982455250441848</v>
      </c>
      <c r="J15" s="238" t="e">
        <f t="shared" si="5"/>
        <v>#REF!</v>
      </c>
      <c r="K15" s="236"/>
      <c r="L15" s="238">
        <f>((D15*DATA!$D$23)/1000000)+((E15*DATA!$D$24)/1000000)</f>
        <v>298.926108</v>
      </c>
      <c r="M15" s="238">
        <f t="shared" si="2"/>
        <v>298.926108</v>
      </c>
      <c r="N15" s="238" t="e">
        <f t="shared" si="6"/>
        <v>#REF!</v>
      </c>
      <c r="O15" s="237">
        <f>1/(1+'[164]Asumsi I'!$C$3)^(KKF!A15)</f>
        <v>0.4038832279793691</v>
      </c>
      <c r="P15" s="238" t="e">
        <f t="shared" si="7"/>
        <v>#REF!</v>
      </c>
      <c r="Q15" s="238" t="e">
        <f t="shared" ca="1" si="9"/>
        <v>#REF!</v>
      </c>
      <c r="S15" s="226" t="e">
        <f t="shared" ca="1" si="3"/>
        <v>#REF!</v>
      </c>
      <c r="T15" s="242" t="e">
        <f t="shared" ca="1" si="10"/>
        <v>#REF!</v>
      </c>
      <c r="U15" s="226"/>
    </row>
    <row r="16" spans="1:21" ht="20.100000000000001" customHeight="1">
      <c r="A16" s="235">
        <f t="shared" si="4"/>
        <v>9</v>
      </c>
      <c r="B16" s="236">
        <f t="shared" si="4"/>
        <v>2032</v>
      </c>
      <c r="C16" s="237">
        <f t="shared" si="8"/>
        <v>266400</v>
      </c>
      <c r="D16" s="238">
        <f t="shared" si="11"/>
        <v>44400</v>
      </c>
      <c r="E16" s="238">
        <f t="shared" si="1"/>
        <v>222000</v>
      </c>
      <c r="F16" s="236"/>
      <c r="G16" s="240" t="e">
        <f>DATA!#REF!/1000000</f>
        <v>#REF!</v>
      </c>
      <c r="H16" s="240">
        <f>C16*DATA!$D$5/1000000</f>
        <v>288.81091222418598</v>
      </c>
      <c r="I16" s="240">
        <f>(C16*DATA!$D$5*DATA!$D$7)/1000000</f>
        <v>6.4982455250441848</v>
      </c>
      <c r="J16" s="238" t="e">
        <f t="shared" si="5"/>
        <v>#REF!</v>
      </c>
      <c r="K16" s="236"/>
      <c r="L16" s="238">
        <f>((D16*DATA!$D$23)/1000000)+((E16*DATA!$D$24)/1000000)</f>
        <v>298.926108</v>
      </c>
      <c r="M16" s="238">
        <f t="shared" si="2"/>
        <v>298.926108</v>
      </c>
      <c r="N16" s="238" t="e">
        <f t="shared" si="6"/>
        <v>#REF!</v>
      </c>
      <c r="O16" s="237">
        <f>1/(1+'[164]Asumsi I'!$C$3)^(KKF!A16)</f>
        <v>0.36061002498157957</v>
      </c>
      <c r="P16" s="238" t="e">
        <f t="shared" si="7"/>
        <v>#REF!</v>
      </c>
      <c r="Q16" s="238" t="e">
        <f t="shared" ca="1" si="9"/>
        <v>#REF!</v>
      </c>
      <c r="S16" s="226" t="e">
        <f t="shared" ca="1" si="3"/>
        <v>#REF!</v>
      </c>
      <c r="T16" s="242" t="e">
        <f t="shared" ca="1" si="10"/>
        <v>#REF!</v>
      </c>
      <c r="U16" s="226"/>
    </row>
    <row r="17" spans="1:21" ht="20.100000000000001" customHeight="1">
      <c r="A17" s="235">
        <f t="shared" si="4"/>
        <v>10</v>
      </c>
      <c r="B17" s="236">
        <f t="shared" si="4"/>
        <v>2033</v>
      </c>
      <c r="C17" s="237">
        <f t="shared" si="8"/>
        <v>266400</v>
      </c>
      <c r="D17" s="238">
        <f t="shared" si="11"/>
        <v>44400</v>
      </c>
      <c r="E17" s="238">
        <f t="shared" si="1"/>
        <v>222000</v>
      </c>
      <c r="F17" s="236"/>
      <c r="G17" s="240" t="e">
        <f>DATA!#REF!/1000000</f>
        <v>#REF!</v>
      </c>
      <c r="H17" s="240">
        <f>C17*DATA!$D$5/1000000</f>
        <v>288.81091222418598</v>
      </c>
      <c r="I17" s="240">
        <f>(C17*DATA!$D$5*DATA!$D$7)/1000000</f>
        <v>6.4982455250441848</v>
      </c>
      <c r="J17" s="238" t="e">
        <f t="shared" si="5"/>
        <v>#REF!</v>
      </c>
      <c r="K17" s="236"/>
      <c r="L17" s="238">
        <f>((D17*DATA!$D$23)/1000000)+((E17*DATA!$D$24)/1000000)</f>
        <v>298.926108</v>
      </c>
      <c r="M17" s="238">
        <f t="shared" si="2"/>
        <v>298.926108</v>
      </c>
      <c r="N17" s="238" t="e">
        <f t="shared" si="6"/>
        <v>#REF!</v>
      </c>
      <c r="O17" s="237">
        <f>1/(1+'[164]Asumsi I'!$C$3)^(KKF!A17)</f>
        <v>0.32197323659069599</v>
      </c>
      <c r="P17" s="238" t="e">
        <f t="shared" si="7"/>
        <v>#REF!</v>
      </c>
      <c r="Q17" s="238" t="e">
        <f t="shared" ca="1" si="9"/>
        <v>#REF!</v>
      </c>
      <c r="S17" s="226" t="e">
        <f t="shared" ca="1" si="3"/>
        <v>#REF!</v>
      </c>
      <c r="T17" s="242" t="e">
        <f t="shared" ca="1" si="10"/>
        <v>#REF!</v>
      </c>
      <c r="U17" s="226"/>
    </row>
    <row r="18" spans="1:21" ht="20.100000000000001" customHeight="1">
      <c r="A18" s="235">
        <f t="shared" si="4"/>
        <v>11</v>
      </c>
      <c r="B18" s="236">
        <f t="shared" si="4"/>
        <v>2034</v>
      </c>
      <c r="C18" s="237">
        <f t="shared" si="8"/>
        <v>266400</v>
      </c>
      <c r="D18" s="238">
        <f t="shared" si="11"/>
        <v>44400</v>
      </c>
      <c r="E18" s="238">
        <f t="shared" si="1"/>
        <v>222000</v>
      </c>
      <c r="F18" s="236"/>
      <c r="G18" s="240" t="e">
        <f>DATA!#REF!/1000000</f>
        <v>#REF!</v>
      </c>
      <c r="H18" s="240">
        <f>C18*DATA!$D$5/1000000</f>
        <v>288.81091222418598</v>
      </c>
      <c r="I18" s="240">
        <f>(C18*DATA!$D$5*DATA!$D$7)/1000000</f>
        <v>6.4982455250441848</v>
      </c>
      <c r="J18" s="238" t="e">
        <f t="shared" si="5"/>
        <v>#REF!</v>
      </c>
      <c r="K18" s="236"/>
      <c r="L18" s="238">
        <f>((D18*DATA!$D$23)/1000000)+((E18*DATA!$D$24)/1000000)</f>
        <v>298.926108</v>
      </c>
      <c r="M18" s="238">
        <f t="shared" si="2"/>
        <v>298.926108</v>
      </c>
      <c r="N18" s="238" t="e">
        <f t="shared" si="6"/>
        <v>#REF!</v>
      </c>
      <c r="O18" s="237">
        <f>1/(1+'[164]Asumsi I'!$C$3)^(KKF!A18)</f>
        <v>0.28747610409883567</v>
      </c>
      <c r="P18" s="238" t="e">
        <f t="shared" si="7"/>
        <v>#REF!</v>
      </c>
      <c r="Q18" s="238" t="e">
        <f t="shared" ca="1" si="9"/>
        <v>#REF!</v>
      </c>
      <c r="S18" s="226" t="e">
        <f t="shared" ca="1" si="3"/>
        <v>#REF!</v>
      </c>
      <c r="T18" s="242" t="e">
        <f t="shared" ca="1" si="10"/>
        <v>#REF!</v>
      </c>
      <c r="U18" s="226"/>
    </row>
    <row r="19" spans="1:21" ht="20.100000000000001" customHeight="1">
      <c r="A19" s="235">
        <f t="shared" si="4"/>
        <v>12</v>
      </c>
      <c r="B19" s="236">
        <f t="shared" si="4"/>
        <v>2035</v>
      </c>
      <c r="C19" s="237">
        <f t="shared" si="8"/>
        <v>266400</v>
      </c>
      <c r="D19" s="238">
        <f t="shared" si="11"/>
        <v>44400</v>
      </c>
      <c r="E19" s="238">
        <f t="shared" si="1"/>
        <v>222000</v>
      </c>
      <c r="F19" s="236"/>
      <c r="G19" s="240" t="e">
        <f>DATA!#REF!/1000000</f>
        <v>#REF!</v>
      </c>
      <c r="H19" s="240">
        <f>C19*DATA!$D$5/1000000</f>
        <v>288.81091222418598</v>
      </c>
      <c r="I19" s="240">
        <f>(C19*DATA!$D$5*DATA!$D$7)/1000000</f>
        <v>6.4982455250441848</v>
      </c>
      <c r="J19" s="238" t="e">
        <f t="shared" si="5"/>
        <v>#REF!</v>
      </c>
      <c r="K19" s="236"/>
      <c r="L19" s="238">
        <f>((D19*DATA!$D$23)/1000000)+((E19*DATA!$D$24)/1000000)</f>
        <v>298.926108</v>
      </c>
      <c r="M19" s="238">
        <f t="shared" si="2"/>
        <v>298.926108</v>
      </c>
      <c r="N19" s="238" t="e">
        <f t="shared" si="6"/>
        <v>#REF!</v>
      </c>
      <c r="O19" s="237">
        <f>1/(1+'[164]Asumsi I'!$C$3)^(KKF!A19)</f>
        <v>0.25667509294538904</v>
      </c>
      <c r="P19" s="238" t="e">
        <f t="shared" si="7"/>
        <v>#REF!</v>
      </c>
      <c r="Q19" s="238" t="e">
        <f t="shared" ca="1" si="9"/>
        <v>#REF!</v>
      </c>
      <c r="S19" s="226" t="e">
        <f t="shared" ca="1" si="3"/>
        <v>#REF!</v>
      </c>
      <c r="T19" s="242" t="e">
        <f t="shared" ca="1" si="10"/>
        <v>#REF!</v>
      </c>
      <c r="U19" s="226"/>
    </row>
    <row r="20" spans="1:21" ht="20.100000000000001" customHeight="1">
      <c r="A20" s="235">
        <f t="shared" si="4"/>
        <v>13</v>
      </c>
      <c r="B20" s="236">
        <f t="shared" si="4"/>
        <v>2036</v>
      </c>
      <c r="C20" s="237">
        <f t="shared" si="8"/>
        <v>266400</v>
      </c>
      <c r="D20" s="238">
        <f t="shared" si="11"/>
        <v>44400</v>
      </c>
      <c r="E20" s="238">
        <f t="shared" si="1"/>
        <v>222000</v>
      </c>
      <c r="F20" s="236"/>
      <c r="G20" s="240" t="e">
        <f>DATA!#REF!/1000000</f>
        <v>#REF!</v>
      </c>
      <c r="H20" s="240">
        <f>C20*DATA!$D$5/1000000</f>
        <v>288.81091222418598</v>
      </c>
      <c r="I20" s="240">
        <f>(C20*DATA!$D$5*DATA!$D$7)/1000000</f>
        <v>6.4982455250441848</v>
      </c>
      <c r="J20" s="238" t="e">
        <f t="shared" si="5"/>
        <v>#REF!</v>
      </c>
      <c r="K20" s="236"/>
      <c r="L20" s="238">
        <f>((D20*DATA!$D$23)/1000000)+((E20*DATA!$D$24)/1000000)</f>
        <v>298.926108</v>
      </c>
      <c r="M20" s="238">
        <f t="shared" si="2"/>
        <v>298.926108</v>
      </c>
      <c r="N20" s="238" t="e">
        <f t="shared" si="6"/>
        <v>#REF!</v>
      </c>
      <c r="O20" s="237">
        <f>1/(1+'[164]Asumsi I'!$C$3)^(KKF!A20)</f>
        <v>0.22917419012981158</v>
      </c>
      <c r="P20" s="238" t="e">
        <f t="shared" si="7"/>
        <v>#REF!</v>
      </c>
      <c r="Q20" s="238" t="e">
        <f t="shared" ca="1" si="9"/>
        <v>#REF!</v>
      </c>
      <c r="S20" s="226" t="e">
        <f t="shared" ca="1" si="3"/>
        <v>#REF!</v>
      </c>
      <c r="T20" s="242" t="e">
        <f t="shared" ca="1" si="10"/>
        <v>#REF!</v>
      </c>
      <c r="U20" s="226"/>
    </row>
    <row r="21" spans="1:21" ht="20.100000000000001" customHeight="1">
      <c r="A21" s="235">
        <f t="shared" si="4"/>
        <v>14</v>
      </c>
      <c r="B21" s="236">
        <f t="shared" si="4"/>
        <v>2037</v>
      </c>
      <c r="C21" s="237">
        <f t="shared" si="8"/>
        <v>266400</v>
      </c>
      <c r="D21" s="238">
        <f t="shared" si="11"/>
        <v>44400</v>
      </c>
      <c r="E21" s="238">
        <f t="shared" si="1"/>
        <v>222000</v>
      </c>
      <c r="F21" s="236"/>
      <c r="G21" s="240" t="e">
        <f>DATA!#REF!/1000000</f>
        <v>#REF!</v>
      </c>
      <c r="H21" s="240">
        <f>C21*DATA!$D$5/1000000</f>
        <v>288.81091222418598</v>
      </c>
      <c r="I21" s="240">
        <f>(C21*DATA!$D$5*DATA!$D$7)/1000000</f>
        <v>6.4982455250441848</v>
      </c>
      <c r="J21" s="238" t="e">
        <f t="shared" si="5"/>
        <v>#REF!</v>
      </c>
      <c r="K21" s="236"/>
      <c r="L21" s="238">
        <f>((D21*DATA!$D$23)/1000000)+((E21*DATA!$D$24)/1000000)</f>
        <v>298.926108</v>
      </c>
      <c r="M21" s="238">
        <f t="shared" si="2"/>
        <v>298.926108</v>
      </c>
      <c r="N21" s="238" t="e">
        <f t="shared" si="6"/>
        <v>#REF!</v>
      </c>
      <c r="O21" s="237">
        <f>1/(1+'[164]Asumsi I'!$C$3)^(KKF!A21)</f>
        <v>0.20461981261590317</v>
      </c>
      <c r="P21" s="238" t="e">
        <f t="shared" si="7"/>
        <v>#REF!</v>
      </c>
      <c r="Q21" s="238" t="e">
        <f t="shared" ca="1" si="9"/>
        <v>#REF!</v>
      </c>
      <c r="S21" s="226" t="e">
        <f t="shared" ca="1" si="3"/>
        <v>#REF!</v>
      </c>
      <c r="T21" s="242" t="e">
        <f t="shared" ca="1" si="10"/>
        <v>#REF!</v>
      </c>
      <c r="U21" s="226"/>
    </row>
    <row r="22" spans="1:21" ht="20.100000000000001" customHeight="1">
      <c r="A22" s="235">
        <f t="shared" si="4"/>
        <v>15</v>
      </c>
      <c r="B22" s="236">
        <f t="shared" si="4"/>
        <v>2038</v>
      </c>
      <c r="C22" s="237">
        <f t="shared" si="8"/>
        <v>266400</v>
      </c>
      <c r="D22" s="238">
        <f t="shared" si="11"/>
        <v>44400</v>
      </c>
      <c r="E22" s="238">
        <f t="shared" si="1"/>
        <v>222000</v>
      </c>
      <c r="F22" s="236"/>
      <c r="G22" s="240" t="e">
        <f>DATA!#REF!/1000000</f>
        <v>#REF!</v>
      </c>
      <c r="H22" s="240">
        <f>C22*DATA!$D$5/1000000</f>
        <v>288.81091222418598</v>
      </c>
      <c r="I22" s="240">
        <f>(C22*DATA!$D$5*DATA!$D$7)/1000000</f>
        <v>6.4982455250441848</v>
      </c>
      <c r="J22" s="238" t="e">
        <f t="shared" si="5"/>
        <v>#REF!</v>
      </c>
      <c r="K22" s="236"/>
      <c r="L22" s="238">
        <f>((D22*DATA!$D$23)/1000000)+((E22*DATA!$D$24)/1000000)</f>
        <v>298.926108</v>
      </c>
      <c r="M22" s="238">
        <f t="shared" si="2"/>
        <v>298.926108</v>
      </c>
      <c r="N22" s="238" t="e">
        <f t="shared" si="6"/>
        <v>#REF!</v>
      </c>
      <c r="O22" s="237">
        <f>1/(1+'[164]Asumsi I'!$C$3)^(KKF!A22)</f>
        <v>0.18269626126419927</v>
      </c>
      <c r="P22" s="238" t="e">
        <f t="shared" si="7"/>
        <v>#REF!</v>
      </c>
      <c r="Q22" s="238" t="e">
        <f t="shared" ca="1" si="9"/>
        <v>#REF!</v>
      </c>
      <c r="S22" s="226" t="e">
        <f t="shared" ca="1" si="3"/>
        <v>#REF!</v>
      </c>
      <c r="T22" s="242" t="e">
        <f t="shared" ca="1" si="10"/>
        <v>#REF!</v>
      </c>
      <c r="U22" s="226"/>
    </row>
    <row r="23" spans="1:21" ht="20.100000000000001" customHeight="1">
      <c r="A23" s="235">
        <f t="shared" si="4"/>
        <v>16</v>
      </c>
      <c r="B23" s="236">
        <f t="shared" si="4"/>
        <v>2039</v>
      </c>
      <c r="C23" s="237">
        <f t="shared" si="8"/>
        <v>266400</v>
      </c>
      <c r="D23" s="238">
        <f t="shared" si="11"/>
        <v>44400</v>
      </c>
      <c r="E23" s="238">
        <f t="shared" si="1"/>
        <v>222000</v>
      </c>
      <c r="F23" s="236"/>
      <c r="G23" s="240" t="e">
        <f>DATA!#REF!/1000000</f>
        <v>#REF!</v>
      </c>
      <c r="H23" s="240">
        <f>C23*DATA!$D$5/1000000</f>
        <v>288.81091222418598</v>
      </c>
      <c r="I23" s="240">
        <f>(C23*DATA!$D$5*DATA!$D$7)/1000000</f>
        <v>6.4982455250441848</v>
      </c>
      <c r="J23" s="238" t="e">
        <f t="shared" si="5"/>
        <v>#REF!</v>
      </c>
      <c r="K23" s="236"/>
      <c r="L23" s="238">
        <f>((D23*DATA!$D$23)/1000000)+((E23*DATA!$D$24)/1000000)</f>
        <v>298.926108</v>
      </c>
      <c r="M23" s="238">
        <f t="shared" si="2"/>
        <v>298.926108</v>
      </c>
      <c r="N23" s="238" t="e">
        <f t="shared" si="6"/>
        <v>#REF!</v>
      </c>
      <c r="O23" s="237">
        <f>1/(1+'[164]Asumsi I'!$C$3)^(KKF!A23)</f>
        <v>0.16312166184303503</v>
      </c>
      <c r="P23" s="238" t="e">
        <f t="shared" si="7"/>
        <v>#REF!</v>
      </c>
      <c r="Q23" s="238" t="e">
        <f t="shared" ca="1" si="9"/>
        <v>#REF!</v>
      </c>
      <c r="S23" s="226" t="e">
        <f t="shared" ca="1" si="3"/>
        <v>#REF!</v>
      </c>
      <c r="T23" s="242" t="e">
        <f t="shared" ca="1" si="10"/>
        <v>#REF!</v>
      </c>
      <c r="U23" s="226"/>
    </row>
    <row r="24" spans="1:21" ht="20.100000000000001" customHeight="1">
      <c r="A24" s="235">
        <f t="shared" si="4"/>
        <v>17</v>
      </c>
      <c r="B24" s="236">
        <f t="shared" si="4"/>
        <v>2040</v>
      </c>
      <c r="C24" s="237">
        <f t="shared" si="8"/>
        <v>266400</v>
      </c>
      <c r="D24" s="238">
        <f t="shared" si="11"/>
        <v>44400</v>
      </c>
      <c r="E24" s="238">
        <f t="shared" si="1"/>
        <v>222000</v>
      </c>
      <c r="F24" s="236"/>
      <c r="G24" s="240" t="e">
        <f>DATA!#REF!/1000000</f>
        <v>#REF!</v>
      </c>
      <c r="H24" s="240">
        <f>C24*DATA!$D$5/1000000</f>
        <v>288.81091222418598</v>
      </c>
      <c r="I24" s="240">
        <f>(C24*DATA!$D$5*DATA!$D$7)/1000000</f>
        <v>6.4982455250441848</v>
      </c>
      <c r="J24" s="238" t="e">
        <f t="shared" si="5"/>
        <v>#REF!</v>
      </c>
      <c r="K24" s="236"/>
      <c r="L24" s="238">
        <f>((D24*DATA!$D$23)/1000000)+((E24*DATA!$D$24)/1000000)</f>
        <v>298.926108</v>
      </c>
      <c r="M24" s="238">
        <f t="shared" si="2"/>
        <v>298.926108</v>
      </c>
      <c r="N24" s="238" t="e">
        <f t="shared" si="6"/>
        <v>#REF!</v>
      </c>
      <c r="O24" s="237">
        <f>1/(1+'[164]Asumsi I'!$C$3)^(KKF!A24)</f>
        <v>0.14564434093128129</v>
      </c>
      <c r="P24" s="238" t="e">
        <f t="shared" si="7"/>
        <v>#REF!</v>
      </c>
      <c r="Q24" s="238" t="e">
        <f t="shared" ca="1" si="9"/>
        <v>#REF!</v>
      </c>
      <c r="S24" s="226" t="e">
        <f t="shared" ca="1" si="3"/>
        <v>#REF!</v>
      </c>
      <c r="T24" s="242" t="e">
        <f t="shared" ca="1" si="10"/>
        <v>#REF!</v>
      </c>
      <c r="U24" s="226"/>
    </row>
    <row r="25" spans="1:21" ht="20.100000000000001" customHeight="1">
      <c r="A25" s="235">
        <f t="shared" ref="A25:B32" si="12">A24+1</f>
        <v>18</v>
      </c>
      <c r="B25" s="236">
        <f t="shared" si="12"/>
        <v>2041</v>
      </c>
      <c r="C25" s="237">
        <f t="shared" si="8"/>
        <v>266400</v>
      </c>
      <c r="D25" s="238">
        <f t="shared" si="11"/>
        <v>44400</v>
      </c>
      <c r="E25" s="238">
        <f t="shared" si="1"/>
        <v>222000</v>
      </c>
      <c r="F25" s="236"/>
      <c r="G25" s="240" t="e">
        <f>DATA!#REF!/1000000</f>
        <v>#REF!</v>
      </c>
      <c r="H25" s="240">
        <f>C25*DATA!$D$5/1000000</f>
        <v>288.81091222418598</v>
      </c>
      <c r="I25" s="240">
        <f>(C25*DATA!$D$5*DATA!$D$7)/1000000</f>
        <v>6.4982455250441848</v>
      </c>
      <c r="J25" s="238" t="e">
        <f t="shared" si="5"/>
        <v>#REF!</v>
      </c>
      <c r="K25" s="236"/>
      <c r="L25" s="238">
        <f>((D25*DATA!$D$23)/1000000)+((E25*DATA!$D$24)/1000000)</f>
        <v>298.926108</v>
      </c>
      <c r="M25" s="238">
        <f t="shared" si="2"/>
        <v>298.926108</v>
      </c>
      <c r="N25" s="238" t="e">
        <f t="shared" si="6"/>
        <v>#REF!</v>
      </c>
      <c r="O25" s="237">
        <f>1/(1+'[164]Asumsi I'!$C$3)^(KKF!A25)</f>
        <v>0.13003959011721541</v>
      </c>
      <c r="P25" s="238" t="e">
        <f t="shared" si="7"/>
        <v>#REF!</v>
      </c>
      <c r="Q25" s="238" t="e">
        <f t="shared" ca="1" si="9"/>
        <v>#REF!</v>
      </c>
      <c r="S25" s="226" t="e">
        <f t="shared" ca="1" si="3"/>
        <v>#REF!</v>
      </c>
      <c r="T25" s="242" t="e">
        <f t="shared" ca="1" si="10"/>
        <v>#REF!</v>
      </c>
      <c r="U25" s="226"/>
    </row>
    <row r="26" spans="1:21" ht="20.100000000000001" customHeight="1">
      <c r="A26" s="235">
        <f t="shared" si="12"/>
        <v>19</v>
      </c>
      <c r="B26" s="236">
        <f t="shared" si="12"/>
        <v>2042</v>
      </c>
      <c r="C26" s="237">
        <f t="shared" si="8"/>
        <v>266400</v>
      </c>
      <c r="D26" s="238">
        <f t="shared" si="11"/>
        <v>44400</v>
      </c>
      <c r="E26" s="238">
        <f t="shared" si="1"/>
        <v>222000</v>
      </c>
      <c r="F26" s="236"/>
      <c r="G26" s="240" t="e">
        <f>DATA!#REF!/1000000</f>
        <v>#REF!</v>
      </c>
      <c r="H26" s="240">
        <f>C26*DATA!$D$5/1000000</f>
        <v>288.81091222418598</v>
      </c>
      <c r="I26" s="240">
        <f>(C26*DATA!$D$5*DATA!$D$7)/1000000</f>
        <v>6.4982455250441848</v>
      </c>
      <c r="J26" s="238" t="e">
        <f t="shared" si="5"/>
        <v>#REF!</v>
      </c>
      <c r="K26" s="236"/>
      <c r="L26" s="238">
        <f>((D26*DATA!$D$23)/1000000)+((E26*DATA!$D$24)/1000000)</f>
        <v>298.926108</v>
      </c>
      <c r="M26" s="238">
        <f t="shared" si="2"/>
        <v>298.926108</v>
      </c>
      <c r="N26" s="238" t="e">
        <f t="shared" si="6"/>
        <v>#REF!</v>
      </c>
      <c r="O26" s="237">
        <f>1/(1+'[164]Asumsi I'!$C$3)^(KKF!A26)</f>
        <v>0.1161067768903709</v>
      </c>
      <c r="P26" s="238" t="e">
        <f t="shared" si="7"/>
        <v>#REF!</v>
      </c>
      <c r="Q26" s="238" t="e">
        <f t="shared" ca="1" si="9"/>
        <v>#REF!</v>
      </c>
      <c r="S26" s="226" t="e">
        <f t="shared" ca="1" si="3"/>
        <v>#REF!</v>
      </c>
      <c r="T26" s="242" t="e">
        <f t="shared" ca="1" si="10"/>
        <v>#REF!</v>
      </c>
      <c r="U26" s="226"/>
    </row>
    <row r="27" spans="1:21" ht="20.100000000000001" customHeight="1">
      <c r="A27" s="235">
        <f t="shared" si="12"/>
        <v>20</v>
      </c>
      <c r="B27" s="236">
        <f t="shared" si="12"/>
        <v>2043</v>
      </c>
      <c r="C27" s="237">
        <f t="shared" si="8"/>
        <v>266400</v>
      </c>
      <c r="D27" s="238">
        <f t="shared" si="11"/>
        <v>44400</v>
      </c>
      <c r="E27" s="238">
        <f t="shared" si="1"/>
        <v>222000</v>
      </c>
      <c r="F27" s="236"/>
      <c r="G27" s="240" t="e">
        <f>DATA!#REF!/1000000</f>
        <v>#REF!</v>
      </c>
      <c r="H27" s="240">
        <f>C27*DATA!$D$5/1000000</f>
        <v>288.81091222418598</v>
      </c>
      <c r="I27" s="240">
        <f>(C27*DATA!$D$5*DATA!$D$7)/1000000</f>
        <v>6.4982455250441848</v>
      </c>
      <c r="J27" s="238" t="e">
        <f t="shared" si="5"/>
        <v>#REF!</v>
      </c>
      <c r="K27" s="236"/>
      <c r="L27" s="238">
        <f>((D27*DATA!$D$23)/1000000)+((E27*DATA!$D$24)/1000000)</f>
        <v>298.926108</v>
      </c>
      <c r="M27" s="238">
        <f t="shared" si="2"/>
        <v>298.926108</v>
      </c>
      <c r="N27" s="238" t="e">
        <f t="shared" si="6"/>
        <v>#REF!</v>
      </c>
      <c r="O27" s="237">
        <f>1/(1+'[164]Asumsi I'!$C$3)^(KKF!A27)</f>
        <v>0.1036667650806883</v>
      </c>
      <c r="P27" s="238" t="e">
        <f t="shared" si="7"/>
        <v>#REF!</v>
      </c>
      <c r="Q27" s="238" t="e">
        <f t="shared" ca="1" si="9"/>
        <v>#REF!</v>
      </c>
      <c r="S27" s="226" t="e">
        <f t="shared" ca="1" si="3"/>
        <v>#REF!</v>
      </c>
      <c r="T27" s="242" t="e">
        <f t="shared" ca="1" si="10"/>
        <v>#REF!</v>
      </c>
      <c r="U27" s="226"/>
    </row>
    <row r="28" spans="1:21" ht="20.100000000000001" customHeight="1">
      <c r="A28" s="235">
        <f t="shared" si="12"/>
        <v>21</v>
      </c>
      <c r="B28" s="236">
        <f t="shared" si="12"/>
        <v>2044</v>
      </c>
      <c r="C28" s="237">
        <f t="shared" si="8"/>
        <v>266400</v>
      </c>
      <c r="D28" s="238">
        <f t="shared" si="11"/>
        <v>44400</v>
      </c>
      <c r="E28" s="238">
        <f t="shared" si="1"/>
        <v>222000</v>
      </c>
      <c r="F28" s="236"/>
      <c r="G28" s="240" t="e">
        <f>DATA!#REF!/1000000</f>
        <v>#REF!</v>
      </c>
      <c r="H28" s="240">
        <f>C28*DATA!$D$5/1000000</f>
        <v>288.81091222418598</v>
      </c>
      <c r="I28" s="240">
        <f>(C28*DATA!$D$5*DATA!$D$7)/1000000</f>
        <v>6.4982455250441848</v>
      </c>
      <c r="J28" s="238" t="e">
        <f t="shared" si="5"/>
        <v>#REF!</v>
      </c>
      <c r="K28" s="236"/>
      <c r="L28" s="238">
        <f>((D28*DATA!$D$23)/1000000)+((E28*DATA!$D$24)/1000000)</f>
        <v>298.926108</v>
      </c>
      <c r="M28" s="238">
        <f t="shared" si="2"/>
        <v>298.926108</v>
      </c>
      <c r="N28" s="238" t="e">
        <f t="shared" si="6"/>
        <v>#REF!</v>
      </c>
      <c r="O28" s="237">
        <f>1/(1+'[164]Asumsi I'!$C$3)^(KKF!A28)</f>
        <v>9.2559611679185971E-2</v>
      </c>
      <c r="P28" s="238" t="e">
        <f t="shared" si="7"/>
        <v>#REF!</v>
      </c>
      <c r="Q28" s="238" t="e">
        <f t="shared" ca="1" si="9"/>
        <v>#REF!</v>
      </c>
      <c r="S28" s="226" t="e">
        <f t="shared" ca="1" si="3"/>
        <v>#REF!</v>
      </c>
      <c r="T28" s="242" t="e">
        <f t="shared" ca="1" si="10"/>
        <v>#REF!</v>
      </c>
      <c r="U28" s="226"/>
    </row>
    <row r="29" spans="1:21" ht="20.100000000000001" customHeight="1">
      <c r="A29" s="235">
        <f t="shared" si="12"/>
        <v>22</v>
      </c>
      <c r="B29" s="236">
        <f t="shared" si="12"/>
        <v>2045</v>
      </c>
      <c r="C29" s="237">
        <f t="shared" si="8"/>
        <v>266400</v>
      </c>
      <c r="D29" s="238">
        <f t="shared" si="11"/>
        <v>44400</v>
      </c>
      <c r="E29" s="238">
        <f t="shared" si="1"/>
        <v>222000</v>
      </c>
      <c r="F29" s="236"/>
      <c r="G29" s="240" t="e">
        <f>DATA!#REF!/1000000</f>
        <v>#REF!</v>
      </c>
      <c r="H29" s="240">
        <f>C29*DATA!$D$5/1000000</f>
        <v>288.81091222418598</v>
      </c>
      <c r="I29" s="240">
        <f>(C29*DATA!$D$5*DATA!$D$7)/1000000</f>
        <v>6.4982455250441848</v>
      </c>
      <c r="J29" s="238" t="e">
        <f t="shared" si="5"/>
        <v>#REF!</v>
      </c>
      <c r="K29" s="236"/>
      <c r="L29" s="238">
        <f>((D29*DATA!$D$23)/1000000)+((E29*DATA!$D$24)/1000000)</f>
        <v>298.926108</v>
      </c>
      <c r="M29" s="238">
        <f t="shared" si="2"/>
        <v>298.926108</v>
      </c>
      <c r="N29" s="238" t="e">
        <f t="shared" si="6"/>
        <v>#REF!</v>
      </c>
      <c r="O29" s="237">
        <f>1/(1+'[164]Asumsi I'!$C$3)^(KKF!A29)</f>
        <v>8.2642510427844609E-2</v>
      </c>
      <c r="P29" s="238" t="e">
        <f t="shared" si="7"/>
        <v>#REF!</v>
      </c>
      <c r="Q29" s="238" t="e">
        <f t="shared" ca="1" si="9"/>
        <v>#REF!</v>
      </c>
      <c r="S29" s="226" t="e">
        <f t="shared" ca="1" si="3"/>
        <v>#REF!</v>
      </c>
      <c r="T29" s="242" t="e">
        <f t="shared" ca="1" si="10"/>
        <v>#REF!</v>
      </c>
      <c r="U29" s="226"/>
    </row>
    <row r="30" spans="1:21" ht="20.100000000000001" customHeight="1">
      <c r="A30" s="235">
        <f t="shared" si="12"/>
        <v>23</v>
      </c>
      <c r="B30" s="236">
        <f t="shared" si="12"/>
        <v>2046</v>
      </c>
      <c r="C30" s="237">
        <f t="shared" si="8"/>
        <v>266400</v>
      </c>
      <c r="D30" s="238">
        <f t="shared" si="11"/>
        <v>44400</v>
      </c>
      <c r="E30" s="238">
        <f t="shared" si="1"/>
        <v>222000</v>
      </c>
      <c r="F30" s="236"/>
      <c r="G30" s="240" t="e">
        <f>DATA!#REF!/1000000</f>
        <v>#REF!</v>
      </c>
      <c r="H30" s="240">
        <f>C30*DATA!$D$5/1000000</f>
        <v>288.81091222418598</v>
      </c>
      <c r="I30" s="240">
        <f>(C30*DATA!$D$5*DATA!$D$7)/1000000</f>
        <v>6.4982455250441848</v>
      </c>
      <c r="J30" s="238" t="e">
        <f t="shared" si="5"/>
        <v>#REF!</v>
      </c>
      <c r="K30" s="236"/>
      <c r="L30" s="238">
        <f>((D30*DATA!$D$23)/1000000)+((E30*DATA!$D$24)/1000000)</f>
        <v>298.926108</v>
      </c>
      <c r="M30" s="238">
        <f t="shared" si="2"/>
        <v>298.926108</v>
      </c>
      <c r="N30" s="238" t="e">
        <f t="shared" si="6"/>
        <v>#REF!</v>
      </c>
      <c r="O30" s="237">
        <f>1/(1+'[164]Asumsi I'!$C$3)^(KKF!A30)</f>
        <v>7.3787955739146982E-2</v>
      </c>
      <c r="P30" s="238" t="e">
        <f t="shared" si="7"/>
        <v>#REF!</v>
      </c>
      <c r="Q30" s="238" t="e">
        <f t="shared" ca="1" si="9"/>
        <v>#REF!</v>
      </c>
      <c r="S30" s="226" t="e">
        <f t="shared" ca="1" si="3"/>
        <v>#REF!</v>
      </c>
      <c r="T30" s="242" t="e">
        <f t="shared" ca="1" si="10"/>
        <v>#REF!</v>
      </c>
      <c r="U30" s="226"/>
    </row>
    <row r="31" spans="1:21" ht="20.100000000000001" customHeight="1">
      <c r="A31" s="235">
        <f t="shared" si="12"/>
        <v>24</v>
      </c>
      <c r="B31" s="236">
        <f t="shared" si="12"/>
        <v>2047</v>
      </c>
      <c r="C31" s="237">
        <f t="shared" si="8"/>
        <v>266400</v>
      </c>
      <c r="D31" s="238">
        <f t="shared" si="11"/>
        <v>44400</v>
      </c>
      <c r="E31" s="238">
        <f t="shared" si="1"/>
        <v>222000</v>
      </c>
      <c r="F31" s="236"/>
      <c r="G31" s="240" t="e">
        <f>DATA!#REF!/1000000</f>
        <v>#REF!</v>
      </c>
      <c r="H31" s="240">
        <f>C31*DATA!$D$5/1000000</f>
        <v>288.81091222418598</v>
      </c>
      <c r="I31" s="240">
        <f>(C31*DATA!$D$5*DATA!$D$7)/1000000</f>
        <v>6.4982455250441848</v>
      </c>
      <c r="J31" s="238" t="e">
        <f t="shared" si="5"/>
        <v>#REF!</v>
      </c>
      <c r="K31" s="236"/>
      <c r="L31" s="238">
        <f>((D31*DATA!$D$23)/1000000)+((E31*DATA!$D$24)/1000000)</f>
        <v>298.926108</v>
      </c>
      <c r="M31" s="238">
        <f t="shared" si="2"/>
        <v>298.926108</v>
      </c>
      <c r="N31" s="238" t="e">
        <f t="shared" si="6"/>
        <v>#REF!</v>
      </c>
      <c r="O31" s="237">
        <f>1/(1+'[164]Asumsi I'!$C$3)^(KKF!A31)</f>
        <v>6.5882103338524081E-2</v>
      </c>
      <c r="P31" s="238" t="e">
        <f t="shared" si="7"/>
        <v>#REF!</v>
      </c>
      <c r="Q31" s="238" t="e">
        <f ca="1">Q30+P31</f>
        <v>#REF!</v>
      </c>
      <c r="S31" s="226" t="e">
        <f t="shared" ca="1" si="3"/>
        <v>#REF!</v>
      </c>
      <c r="T31" s="242" t="e">
        <f t="shared" ca="1" si="10"/>
        <v>#REF!</v>
      </c>
      <c r="U31" s="226"/>
    </row>
    <row r="32" spans="1:21" ht="20.100000000000001" customHeight="1">
      <c r="A32" s="235">
        <f t="shared" si="12"/>
        <v>25</v>
      </c>
      <c r="B32" s="236">
        <f>B30+1</f>
        <v>2047</v>
      </c>
      <c r="C32" s="237">
        <f t="shared" si="8"/>
        <v>266400</v>
      </c>
      <c r="D32" s="238">
        <f t="shared" si="11"/>
        <v>44400</v>
      </c>
      <c r="E32" s="238">
        <f t="shared" si="1"/>
        <v>222000</v>
      </c>
      <c r="F32" s="236"/>
      <c r="G32" s="240" t="e">
        <f>DATA!#REF!/1000000</f>
        <v>#REF!</v>
      </c>
      <c r="H32" s="240">
        <f>C32*DATA!$D$5/1000000</f>
        <v>288.81091222418598</v>
      </c>
      <c r="I32" s="240">
        <f>(C32*DATA!$D$5*DATA!$D$7)/1000000</f>
        <v>6.4982455250441848</v>
      </c>
      <c r="J32" s="238" t="e">
        <f t="shared" si="5"/>
        <v>#REF!</v>
      </c>
      <c r="K32" s="236"/>
      <c r="L32" s="238">
        <f>((D32*DATA!$D$23)/1000000)+((E32*DATA!$D$24)/1000000)</f>
        <v>298.926108</v>
      </c>
      <c r="M32" s="238">
        <f t="shared" si="2"/>
        <v>298.926108</v>
      </c>
      <c r="N32" s="238" t="e">
        <f t="shared" si="6"/>
        <v>#REF!</v>
      </c>
      <c r="O32" s="237">
        <f>1/(1+'[164]Asumsi I'!$C$3)^(KKF!A32)</f>
        <v>5.8823306552253637E-2</v>
      </c>
      <c r="P32" s="238" t="e">
        <f t="shared" si="7"/>
        <v>#REF!</v>
      </c>
      <c r="Q32" s="238" t="e">
        <f ca="1">Q31+P32</f>
        <v>#REF!</v>
      </c>
      <c r="S32" s="226" t="e">
        <f t="shared" ca="1" si="3"/>
        <v>#REF!</v>
      </c>
      <c r="T32" s="242" t="e">
        <f t="shared" ca="1" si="10"/>
        <v>#REF!</v>
      </c>
      <c r="U32" s="226"/>
    </row>
    <row r="33" spans="2:22" ht="20.100000000000001" customHeight="1">
      <c r="B33" s="245"/>
      <c r="C33" s="245"/>
      <c r="D33" s="245"/>
      <c r="E33" s="245"/>
      <c r="F33" s="623" t="s">
        <v>1346</v>
      </c>
      <c r="G33" s="623"/>
      <c r="H33" s="623"/>
      <c r="I33" s="246"/>
      <c r="J33" s="247" t="e">
        <f ca="1">SUM(J7:J32)</f>
        <v>#REF!</v>
      </c>
      <c r="K33" s="623" t="s">
        <v>1347</v>
      </c>
      <c r="L33" s="623"/>
      <c r="M33" s="247">
        <f>SUM(M7:M32)</f>
        <v>7873.1787179999965</v>
      </c>
      <c r="N33" s="245"/>
      <c r="O33" s="245"/>
      <c r="P33" s="248"/>
      <c r="Q33" s="248"/>
      <c r="S33" s="226">
        <f ca="1">COUNTIF(S7:S32,"a")</f>
        <v>0</v>
      </c>
    </row>
    <row r="34" spans="2:22" ht="20.100000000000001" customHeight="1">
      <c r="B34" s="245"/>
      <c r="C34" s="245"/>
      <c r="D34" s="245"/>
      <c r="E34" s="245"/>
      <c r="F34" s="249"/>
      <c r="G34" s="249"/>
      <c r="H34" s="249"/>
      <c r="I34" s="249"/>
      <c r="J34" s="250"/>
      <c r="K34" s="249"/>
      <c r="L34" s="249"/>
      <c r="M34" s="250"/>
      <c r="N34" s="245"/>
      <c r="O34" s="245"/>
      <c r="P34" s="251" t="s">
        <v>1348</v>
      </c>
      <c r="Q34" s="252" t="e">
        <f ca="1">+J7/N32</f>
        <v>#REF!</v>
      </c>
      <c r="V34" s="253"/>
    </row>
    <row r="35" spans="2:22" ht="20.100000000000001" customHeight="1">
      <c r="B35" s="245"/>
      <c r="C35" s="245"/>
      <c r="D35" s="245"/>
      <c r="E35" s="245"/>
      <c r="F35" s="249"/>
      <c r="G35" s="249"/>
      <c r="H35" s="249"/>
      <c r="I35" s="249"/>
      <c r="J35" s="250"/>
      <c r="K35" s="249"/>
      <c r="L35" s="249"/>
      <c r="M35" s="250"/>
      <c r="N35" s="245"/>
      <c r="O35" s="245"/>
      <c r="P35" s="251" t="s">
        <v>1349</v>
      </c>
      <c r="Q35" s="254" t="e">
        <f ca="1">AVERAGE(T7:T32)</f>
        <v>#REF!</v>
      </c>
    </row>
    <row r="36" spans="2:22" ht="20.100000000000001" customHeight="1">
      <c r="B36" s="245"/>
      <c r="C36" s="245"/>
      <c r="D36" s="245"/>
      <c r="E36" s="245"/>
      <c r="F36" s="249"/>
      <c r="G36" s="249"/>
      <c r="H36" s="249"/>
      <c r="I36" s="249"/>
      <c r="J36" s="250"/>
      <c r="K36" s="249"/>
      <c r="L36" s="249"/>
      <c r="M36" s="250"/>
      <c r="N36" s="245"/>
      <c r="O36" s="245"/>
      <c r="P36" s="251" t="s">
        <v>1350</v>
      </c>
      <c r="Q36" s="255" t="e">
        <f ca="1">M33/J33</f>
        <v>#REF!</v>
      </c>
    </row>
    <row r="37" spans="2:22" ht="20.100000000000001" customHeight="1">
      <c r="B37" s="245"/>
      <c r="C37" s="245"/>
      <c r="D37" s="245"/>
      <c r="E37" s="245"/>
      <c r="F37" s="249"/>
      <c r="G37" s="249"/>
      <c r="H37" s="249"/>
      <c r="I37" s="249"/>
      <c r="J37" s="250"/>
      <c r="K37" s="249"/>
      <c r="L37" s="249"/>
      <c r="M37" s="250"/>
      <c r="N37" s="245"/>
      <c r="O37" s="245"/>
      <c r="P37" s="251" t="s">
        <v>1001</v>
      </c>
      <c r="Q37" s="256" t="e">
        <f ca="1">+NPV(0.12,N7:N32)</f>
        <v>#REF!</v>
      </c>
    </row>
    <row r="38" spans="2:22" ht="20.100000000000001" customHeight="1">
      <c r="B38" s="245"/>
      <c r="C38" s="245"/>
      <c r="D38" s="245"/>
      <c r="E38" s="245"/>
      <c r="F38" s="249"/>
      <c r="G38" s="249"/>
      <c r="H38" s="249"/>
      <c r="I38" s="249"/>
      <c r="J38" s="250"/>
      <c r="K38" s="249"/>
      <c r="L38" s="249"/>
      <c r="M38" s="250"/>
      <c r="N38" s="245"/>
      <c r="O38" s="245"/>
      <c r="P38" s="251" t="s">
        <v>1002</v>
      </c>
      <c r="Q38" s="257" t="e">
        <f ca="1">IRR(N7:N32,DATA!D4)</f>
        <v>#VALUE!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37"/>
  <sheetViews>
    <sheetView showGridLines="0" topLeftCell="A4" zoomScale="85" zoomScaleNormal="85" zoomScaleSheetLayoutView="85" workbookViewId="0">
      <pane ySplit="10" topLeftCell="A125" activePane="bottomLeft" state="frozen"/>
      <selection activeCell="F152" sqref="F152"/>
      <selection pane="bottomLeft" activeCell="C135" sqref="C135"/>
    </sheetView>
  </sheetViews>
  <sheetFormatPr defaultRowHeight="15"/>
  <cols>
    <col min="1" max="1" width="8.28515625" style="258" customWidth="1"/>
    <col min="2" max="2" width="5.140625" style="259" customWidth="1"/>
    <col min="3" max="3" width="56.5703125" style="331" customWidth="1"/>
    <col min="4" max="4" width="13.7109375" style="331" customWidth="1"/>
    <col min="5" max="5" width="12.5703125" style="262" customWidth="1"/>
    <col min="6" max="6" width="7.7109375" style="262" customWidth="1"/>
    <col min="7" max="7" width="12.7109375" style="262" customWidth="1"/>
    <col min="8" max="8" width="18.140625" style="263" customWidth="1"/>
    <col min="9" max="9" width="16.7109375" style="263" customWidth="1"/>
    <col min="10" max="11" width="16.7109375" style="264" customWidth="1"/>
    <col min="12" max="12" width="3.7109375" style="264" customWidth="1"/>
    <col min="13" max="13" width="14" style="264" customWidth="1"/>
    <col min="14" max="14" width="15" style="264" customWidth="1"/>
    <col min="15" max="15" width="9.140625" style="265" customWidth="1"/>
    <col min="16" max="16" width="12.7109375" style="266" customWidth="1"/>
    <col min="17" max="17" width="12.7109375" style="265" customWidth="1"/>
    <col min="18" max="18" width="2.42578125" style="265" customWidth="1"/>
    <col min="19" max="22" width="10.85546875" style="265" customWidth="1"/>
    <col min="23" max="24" width="9.140625" style="265" customWidth="1"/>
    <col min="25" max="16384" width="9.140625" style="265"/>
  </cols>
  <sheetData>
    <row r="1" spans="1:22">
      <c r="C1" s="260" t="s">
        <v>985</v>
      </c>
      <c r="D1" s="261"/>
      <c r="U1" s="258"/>
    </row>
    <row r="2" spans="1:22">
      <c r="C2" s="260" t="s">
        <v>1321</v>
      </c>
      <c r="D2" s="261"/>
      <c r="T2" s="266"/>
      <c r="U2" s="267" t="s">
        <v>1009</v>
      </c>
      <c r="V2" s="266"/>
    </row>
    <row r="3" spans="1:22">
      <c r="C3" s="260" t="s">
        <v>1411</v>
      </c>
      <c r="D3" s="261"/>
      <c r="O3" s="646" t="s">
        <v>1009</v>
      </c>
      <c r="P3" s="646"/>
      <c r="Q3" s="268"/>
      <c r="T3" s="266"/>
      <c r="U3" s="267" t="s">
        <v>1014</v>
      </c>
      <c r="V3" s="266"/>
    </row>
    <row r="4" spans="1:22" ht="15.75" customHeight="1">
      <c r="B4" s="647" t="s">
        <v>1646</v>
      </c>
      <c r="C4" s="647"/>
      <c r="D4" s="647"/>
      <c r="E4" s="647"/>
      <c r="F4" s="647"/>
      <c r="G4" s="647"/>
      <c r="H4" s="647"/>
      <c r="I4" s="647"/>
      <c r="J4" s="647"/>
      <c r="K4" s="647"/>
      <c r="O4" s="646"/>
      <c r="P4" s="646"/>
      <c r="T4" s="266"/>
      <c r="U4" s="266"/>
      <c r="V4" s="266"/>
    </row>
    <row r="5" spans="1:22">
      <c r="C5" s="269"/>
      <c r="D5" s="261"/>
      <c r="T5" s="266"/>
      <c r="U5" s="267"/>
      <c r="V5" s="266"/>
    </row>
    <row r="6" spans="1:22" ht="15" customHeight="1">
      <c r="C6" s="269"/>
      <c r="D6" s="261"/>
      <c r="E6" s="270" t="s">
        <v>1010</v>
      </c>
      <c r="F6" s="271" t="s">
        <v>9</v>
      </c>
      <c r="G6" s="630" t="s">
        <v>1670</v>
      </c>
      <c r="H6" s="630"/>
      <c r="I6" s="630"/>
      <c r="J6" s="630"/>
      <c r="K6" s="630"/>
      <c r="T6" s="266"/>
      <c r="U6" s="267"/>
      <c r="V6" s="266"/>
    </row>
    <row r="7" spans="1:22">
      <c r="C7" s="269"/>
      <c r="D7" s="261"/>
      <c r="E7" s="270" t="s">
        <v>1011</v>
      </c>
      <c r="F7" s="271" t="s">
        <v>9</v>
      </c>
      <c r="G7" s="270" t="s">
        <v>1672</v>
      </c>
      <c r="J7" s="272"/>
      <c r="T7" s="266"/>
      <c r="U7" s="267"/>
      <c r="V7" s="266"/>
    </row>
    <row r="8" spans="1:22">
      <c r="C8" s="269"/>
      <c r="D8" s="261"/>
      <c r="E8" s="270" t="s">
        <v>1012</v>
      </c>
      <c r="F8" s="271" t="s">
        <v>9</v>
      </c>
      <c r="G8" s="270" t="s">
        <v>1411</v>
      </c>
      <c r="J8" s="272"/>
      <c r="T8" s="266"/>
      <c r="U8" s="267"/>
      <c r="V8" s="266"/>
    </row>
    <row r="9" spans="1:22">
      <c r="C9" s="269"/>
      <c r="D9" s="261"/>
      <c r="E9" s="270" t="s">
        <v>1013</v>
      </c>
      <c r="F9" s="271" t="s">
        <v>9</v>
      </c>
      <c r="G9" s="270" t="s">
        <v>1652</v>
      </c>
      <c r="J9" s="272"/>
      <c r="T9" s="266"/>
      <c r="U9" s="267"/>
      <c r="V9" s="266"/>
    </row>
    <row r="10" spans="1:22" ht="15.75" thickBot="1">
      <c r="C10" s="261"/>
      <c r="D10" s="261"/>
      <c r="T10" s="266"/>
      <c r="U10" s="266"/>
      <c r="V10" s="266"/>
    </row>
    <row r="11" spans="1:22" ht="21" customHeight="1">
      <c r="B11" s="649" t="s">
        <v>0</v>
      </c>
      <c r="C11" s="651" t="s">
        <v>1</v>
      </c>
      <c r="D11" s="640" t="s">
        <v>34</v>
      </c>
      <c r="E11" s="640" t="s">
        <v>35</v>
      </c>
      <c r="F11" s="640" t="s">
        <v>2</v>
      </c>
      <c r="G11" s="654" t="s">
        <v>33</v>
      </c>
      <c r="H11" s="640" t="s">
        <v>3</v>
      </c>
      <c r="I11" s="640"/>
      <c r="J11" s="640"/>
      <c r="K11" s="641"/>
      <c r="O11" s="273"/>
      <c r="P11" s="274"/>
      <c r="Q11" s="273"/>
      <c r="S11" s="275"/>
      <c r="T11" s="276"/>
      <c r="U11" s="276"/>
      <c r="V11" s="276"/>
    </row>
    <row r="12" spans="1:22" ht="15" customHeight="1">
      <c r="B12" s="650"/>
      <c r="C12" s="652"/>
      <c r="D12" s="644"/>
      <c r="E12" s="644"/>
      <c r="F12" s="644"/>
      <c r="G12" s="655"/>
      <c r="H12" s="642" t="s">
        <v>38</v>
      </c>
      <c r="I12" s="642" t="s">
        <v>5</v>
      </c>
      <c r="J12" s="644" t="s">
        <v>39</v>
      </c>
      <c r="K12" s="645" t="s">
        <v>4</v>
      </c>
      <c r="O12" s="274"/>
      <c r="P12" s="274"/>
      <c r="Q12" s="274"/>
      <c r="S12" s="275"/>
      <c r="T12" s="275"/>
      <c r="U12" s="275"/>
      <c r="V12" s="275"/>
    </row>
    <row r="13" spans="1:22" ht="15" customHeight="1">
      <c r="B13" s="650"/>
      <c r="C13" s="653"/>
      <c r="D13" s="644"/>
      <c r="E13" s="644"/>
      <c r="F13" s="644"/>
      <c r="G13" s="656"/>
      <c r="H13" s="643"/>
      <c r="I13" s="643"/>
      <c r="J13" s="644"/>
      <c r="K13" s="645"/>
      <c r="O13" s="277"/>
      <c r="P13" s="277"/>
      <c r="Q13" s="277"/>
      <c r="S13" s="275"/>
      <c r="T13" s="275"/>
      <c r="U13" s="275"/>
      <c r="V13" s="275"/>
    </row>
    <row r="14" spans="1:22" s="287" customFormat="1" ht="15.75" customHeight="1">
      <c r="A14" s="258"/>
      <c r="B14" s="278"/>
      <c r="C14" s="279"/>
      <c r="D14" s="280"/>
      <c r="E14" s="281"/>
      <c r="F14" s="282"/>
      <c r="G14" s="282"/>
      <c r="H14" s="283"/>
      <c r="I14" s="283"/>
      <c r="J14" s="283"/>
      <c r="K14" s="284"/>
      <c r="L14" s="264"/>
      <c r="M14" s="264"/>
      <c r="N14" s="264"/>
      <c r="O14" s="285"/>
      <c r="P14" s="285"/>
      <c r="Q14" s="266"/>
      <c r="R14" s="258"/>
      <c r="S14" s="286"/>
      <c r="T14" s="263"/>
      <c r="U14" s="263"/>
      <c r="V14" s="263"/>
    </row>
    <row r="15" spans="1:22" s="287" customFormat="1" ht="15.75" customHeight="1">
      <c r="A15" s="258"/>
      <c r="B15" s="291" t="s">
        <v>10</v>
      </c>
      <c r="C15" s="292" t="s">
        <v>1664</v>
      </c>
      <c r="D15" s="280" t="str">
        <f ca="1">IF(ISERROR(OFFSET('HARGA SATUAN'!$D$6,MATCH('RAB Standart'!C15,'HARGA SATUAN'!$C$7:$C$1509,0),0)),"",OFFSET('HARGA SATUAN'!$D$6,MATCH('RAB Standart'!C15,'HARGA SATUAN'!$C$7:$C$1509,0),0))</f>
        <v/>
      </c>
      <c r="E15" s="281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0"/>
      <c r="G15" s="282">
        <f ca="1">IF(ISERROR(OFFSET('HARGA SATUAN'!$I$6,MATCH('RAB Standart'!C15,'HARGA SATUAN'!$C$7:$C$1509,0),0)),0,OFFSET('HARGA SATUAN'!$I$6,MATCH('RAB Standart'!C15,'HARGA SATUAN'!$C$7:$C$1509,0),0))</f>
        <v>0</v>
      </c>
      <c r="H15" s="283">
        <f t="shared" ref="H15:H17" ca="1" si="0">IF(OR(D15="MDU",D15="MDU-KD"),(IF($O$3="RAB NON MDU","PLN KD",G15*F15)),0)</f>
        <v>0</v>
      </c>
      <c r="I15" s="283">
        <f t="shared" ref="I15:I17" ca="1" si="1">IF(D15="HDW",G15*F15,0)</f>
        <v>0</v>
      </c>
      <c r="J15" s="283">
        <f t="shared" ref="J15:J17" ca="1" si="2">IF(D15="JASA",G15*F15,0)</f>
        <v>0</v>
      </c>
      <c r="K15" s="284">
        <f t="shared" ref="K15:K17" ca="1" si="3">SUM(H15:J15)</f>
        <v>0</v>
      </c>
      <c r="L15" s="264"/>
      <c r="M15" s="264"/>
      <c r="N15" s="264"/>
      <c r="O15" s="285"/>
      <c r="P15" s="285"/>
      <c r="Q15" s="266"/>
      <c r="R15" s="258"/>
      <c r="S15" s="286"/>
      <c r="T15" s="263"/>
      <c r="U15" s="263"/>
      <c r="V15" s="263"/>
    </row>
    <row r="16" spans="1:22" s="287" customFormat="1" ht="15.75" customHeight="1">
      <c r="A16" s="258"/>
      <c r="B16" s="495">
        <v>1</v>
      </c>
      <c r="C16" s="496" t="s">
        <v>99</v>
      </c>
      <c r="D16" s="280" t="str">
        <f ca="1">IF(ISERROR(OFFSET('HARGA SATUAN'!$D$6,MATCH('RAB Standart'!C16,'HARGA SATUAN'!$C$7:$C$1509,0),0)),"",OFFSET('HARGA SATUAN'!$D$6,MATCH('RAB Standart'!C16,'HARGA SATUAN'!$C$7:$C$1509,0),0))</f>
        <v>HDW</v>
      </c>
      <c r="E16" s="281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290">
        <v>3</v>
      </c>
      <c r="G16" s="282">
        <f ca="1">IF(ISERROR(OFFSET('HARGA SATUAN'!$I$6,MATCH('RAB Standart'!C16,'HARGA SATUAN'!$C$7:$C$1509,0),0)),0,OFFSET('HARGA SATUAN'!$I$6,MATCH('RAB Standart'!C16,'HARGA SATUAN'!$C$7:$C$1509,0),0))</f>
        <v>8609100</v>
      </c>
      <c r="H16" s="283">
        <f t="shared" ca="1" si="0"/>
        <v>0</v>
      </c>
      <c r="I16" s="283">
        <f t="shared" ca="1" si="1"/>
        <v>25827300</v>
      </c>
      <c r="J16" s="283">
        <f t="shared" ca="1" si="2"/>
        <v>0</v>
      </c>
      <c r="K16" s="284">
        <f t="shared" ca="1" si="3"/>
        <v>25827300</v>
      </c>
      <c r="L16" s="264"/>
      <c r="M16" s="264"/>
      <c r="N16" s="264"/>
      <c r="O16" s="285"/>
      <c r="P16" s="285"/>
      <c r="Q16" s="266"/>
      <c r="R16" s="258"/>
      <c r="S16" s="286"/>
      <c r="T16" s="263"/>
      <c r="U16" s="263"/>
      <c r="V16" s="263"/>
    </row>
    <row r="17" spans="1:22" s="287" customFormat="1" ht="15.75" customHeight="1">
      <c r="A17" s="258"/>
      <c r="B17" s="495">
        <v>2</v>
      </c>
      <c r="C17" s="496" t="s">
        <v>6</v>
      </c>
      <c r="D17" s="280" t="str">
        <f ca="1">IF(ISERROR(OFFSET('HARGA SATUAN'!$D$6,MATCH('RAB Standart'!C17,'HARGA SATUAN'!$C$7:$C$1509,0),0)),"",OFFSET('HARGA SATUAN'!$D$6,MATCH('RAB Standart'!C17,'HARGA SATUAN'!$C$7:$C$1509,0),0))</f>
        <v>JASA</v>
      </c>
      <c r="E17" s="281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290">
        <v>3</v>
      </c>
      <c r="G17" s="282">
        <f ca="1">IF(ISERROR(OFFSET('HARGA SATUAN'!$I$6,MATCH('RAB Standart'!C17,'HARGA SATUAN'!$C$7:$C$1509,0),0)),0,OFFSET('HARGA SATUAN'!$I$6,MATCH('RAB Standart'!C17,'HARGA SATUAN'!$C$7:$C$1509,0),0))</f>
        <v>10066.666666666668</v>
      </c>
      <c r="H17" s="283">
        <f t="shared" ca="1" si="0"/>
        <v>0</v>
      </c>
      <c r="I17" s="283">
        <f t="shared" ca="1" si="1"/>
        <v>0</v>
      </c>
      <c r="J17" s="283">
        <f t="shared" ca="1" si="2"/>
        <v>30200.000000000004</v>
      </c>
      <c r="K17" s="284">
        <f t="shared" ca="1" si="3"/>
        <v>30200.000000000004</v>
      </c>
      <c r="L17" s="264"/>
      <c r="M17" s="264"/>
      <c r="N17" s="264"/>
      <c r="O17" s="285"/>
      <c r="P17" s="285"/>
      <c r="Q17" s="266"/>
      <c r="R17" s="258"/>
      <c r="S17" s="286"/>
      <c r="T17" s="263"/>
      <c r="U17" s="263"/>
      <c r="V17" s="263"/>
    </row>
    <row r="18" spans="1:22" s="287" customFormat="1" ht="15.75" customHeight="1">
      <c r="A18" s="258"/>
      <c r="B18" s="495"/>
      <c r="C18" s="496"/>
      <c r="D18" s="280" t="str">
        <f ca="1">IF(ISERROR(OFFSET('HARGA SATUAN'!$D$6,MATCH('RAB Standart'!C18,'HARGA SATUAN'!$C$7:$C$1509,0),0)),"",OFFSET('HARGA SATUAN'!$D$6,MATCH('RAB Standart'!C18,'HARGA SATUAN'!$C$7:$C$1509,0),0))</f>
        <v/>
      </c>
      <c r="E18" s="281" t="str">
        <f ca="1">IF(B18="+","Unit",IF(ISERROR(OFFSET('HARGA SATUAN'!$E$6,MATCH('RAB Standart'!C18,'HARGA SATUAN'!$C$7:$C$1509,0),0)),"",OFFSET('HARGA SATUAN'!$E$6,MATCH('RAB Standart'!C18,'HARGA SATUAN'!$C$7:$C$1509,0),0)))</f>
        <v/>
      </c>
      <c r="F18" s="290"/>
      <c r="G18" s="282">
        <f ca="1">IF(ISERROR(OFFSET('HARGA SATUAN'!$I$6,MATCH('RAB Standart'!C18,'HARGA SATUAN'!$C$7:$C$1509,0),0)),0,OFFSET('HARGA SATUAN'!$I$6,MATCH('RAB Standart'!C18,'HARGA SATUAN'!$C$7:$C$1509,0),0))</f>
        <v>0</v>
      </c>
      <c r="H18" s="283">
        <f t="shared" ref="H18:H19" ca="1" si="4">IF(OR(D18="MDU",D18="MDU-KD"),(IF($O$3="RAB NON MDU","PLN KD",G18*F18)),0)</f>
        <v>0</v>
      </c>
      <c r="I18" s="283">
        <f t="shared" ref="I18:I19" ca="1" si="5">IF(D18="HDW",G18*F18,0)</f>
        <v>0</v>
      </c>
      <c r="J18" s="283">
        <f t="shared" ref="J18:J19" ca="1" si="6">IF(D18="JASA",G18*F18,0)</f>
        <v>0</v>
      </c>
      <c r="K18" s="284">
        <f t="shared" ref="K18:K19" ca="1" si="7">SUM(H18:J18)</f>
        <v>0</v>
      </c>
      <c r="L18" s="264"/>
      <c r="M18" s="264"/>
      <c r="N18" s="264"/>
      <c r="O18" s="285"/>
      <c r="P18" s="285"/>
      <c r="Q18" s="266"/>
      <c r="R18" s="258"/>
      <c r="S18" s="286"/>
      <c r="T18" s="263"/>
      <c r="U18" s="263"/>
      <c r="V18" s="263"/>
    </row>
    <row r="19" spans="1:22" s="289" customFormat="1" ht="14.25" customHeight="1">
      <c r="A19" s="258"/>
      <c r="B19" s="291" t="s">
        <v>1621</v>
      </c>
      <c r="C19" s="292" t="s">
        <v>1620</v>
      </c>
      <c r="D19" s="280" t="str">
        <f ca="1">IF(ISERROR(OFFSET('HARGA SATUAN'!$D$6,MATCH('RAB Standart'!C19,'HARGA SATUAN'!$C$7:$C$1509,0),0)),"",OFFSET('HARGA SATUAN'!$D$6,MATCH('RAB Standart'!C19,'HARGA SATUAN'!$C$7:$C$1509,0),0))</f>
        <v/>
      </c>
      <c r="E19" s="281" t="str">
        <f ca="1">IF(B19="+","Unit",IF(ISERROR(OFFSET('HARGA SATUAN'!$E$6,MATCH('RAB Standart'!C19,'HARGA SATUAN'!$C$7:$C$1509,0),0)),"",OFFSET('HARGA SATUAN'!$E$6,MATCH('RAB Standart'!C19,'HARGA SATUAN'!$C$7:$C$1509,0),0)))</f>
        <v/>
      </c>
      <c r="F19" s="290"/>
      <c r="G19" s="282">
        <f ca="1">IF(ISERROR(OFFSET('HARGA SATUAN'!$I$6,MATCH('RAB Standart'!C19,'HARGA SATUAN'!$C$7:$C$1509,0),0)),0,OFFSET('HARGA SATUAN'!$I$6,MATCH('RAB Standart'!C19,'HARGA SATUAN'!$C$7:$C$1509,0),0))</f>
        <v>0</v>
      </c>
      <c r="H19" s="283">
        <f t="shared" ca="1" si="4"/>
        <v>0</v>
      </c>
      <c r="I19" s="283">
        <f t="shared" ca="1" si="5"/>
        <v>0</v>
      </c>
      <c r="J19" s="283">
        <f t="shared" ca="1" si="6"/>
        <v>0</v>
      </c>
      <c r="K19" s="284">
        <f t="shared" ca="1" si="7"/>
        <v>0</v>
      </c>
      <c r="L19" s="288"/>
      <c r="M19" s="288"/>
      <c r="N19" s="288"/>
      <c r="O19" s="285"/>
      <c r="P19" s="285"/>
      <c r="Q19" s="266"/>
      <c r="R19" s="258"/>
      <c r="S19" s="286"/>
      <c r="T19" s="263"/>
      <c r="U19" s="263"/>
      <c r="V19" s="263"/>
    </row>
    <row r="20" spans="1:22" s="289" customFormat="1" ht="14.25" customHeight="1">
      <c r="A20" s="258"/>
      <c r="B20" s="293" t="s">
        <v>1008</v>
      </c>
      <c r="C20" s="494" t="s">
        <v>1623</v>
      </c>
      <c r="D20" s="280" t="str">
        <f ca="1">IF(ISERROR(OFFSET('HARGA SATUAN'!$D$6,MATCH('RAB Standart'!C20,'HARGA SATUAN'!$C$7:$C$1509,0),0)),"",OFFSET('HARGA SATUAN'!$D$6,MATCH('RAB Standart'!C20,'HARGA SATUAN'!$C$7:$C$1509,0),0))</f>
        <v/>
      </c>
      <c r="E20" s="281" t="str">
        <f ca="1">IF(B20="+","Unit",IF(ISERROR(OFFSET('HARGA SATUAN'!$E$6,MATCH('RAB Standart'!C20,'HARGA SATUAN'!$C$7:$C$1509,0),0)),"",OFFSET('HARGA SATUAN'!$E$6,MATCH('RAB Standart'!C20,'HARGA SATUAN'!$C$7:$C$1509,0),0)))</f>
        <v>Unit</v>
      </c>
      <c r="F20" s="290">
        <v>2</v>
      </c>
      <c r="G20" s="282">
        <f ca="1">IF(ISERROR(OFFSET('HARGA SATUAN'!$I$6,MATCH('RAB Standart'!C20,'HARGA SATUAN'!$C$7:$C$1509,0),0)),0,OFFSET('HARGA SATUAN'!$I$6,MATCH('RAB Standart'!C20,'HARGA SATUAN'!$C$7:$C$1509,0),0))</f>
        <v>0</v>
      </c>
      <c r="H20" s="283">
        <f t="shared" ref="H20:H38" ca="1" si="8">IF(OR(D20="MDU",D20="MDU-KD"),(IF($O$3="RAB NON MDU","PLN KD",G20*F20)),0)</f>
        <v>0</v>
      </c>
      <c r="I20" s="283">
        <f t="shared" ref="I20:I38" ca="1" si="9">IF(D20="HDW",G20*F20,0)</f>
        <v>0</v>
      </c>
      <c r="J20" s="283">
        <f t="shared" ref="J20:J38" ca="1" si="10">IF(D20="JASA",G20*F20,0)</f>
        <v>0</v>
      </c>
      <c r="K20" s="284">
        <f t="shared" ref="K20:K38" ca="1" si="11">SUM(H20:J20)</f>
        <v>0</v>
      </c>
      <c r="L20" s="288"/>
      <c r="M20" s="288"/>
      <c r="N20" s="288"/>
      <c r="O20" s="285"/>
      <c r="P20" s="285"/>
      <c r="Q20" s="266"/>
      <c r="R20" s="258"/>
      <c r="S20" s="286"/>
      <c r="T20" s="263"/>
      <c r="U20" s="263"/>
      <c r="V20" s="263"/>
    </row>
    <row r="21" spans="1:22" s="289" customFormat="1" ht="14.25" customHeight="1">
      <c r="A21" s="258"/>
      <c r="B21" s="293">
        <v>1</v>
      </c>
      <c r="C21" s="494" t="s">
        <v>1575</v>
      </c>
      <c r="D21" s="280" t="str">
        <f ca="1">IF(ISERROR(OFFSET('HARGA SATUAN'!$D$6,MATCH('RAB Standart'!C21,'HARGA SATUAN'!$C$7:$C$1509,0),0)),"",OFFSET('HARGA SATUAN'!$D$6,MATCH('RAB Standart'!C21,'HARGA SATUAN'!$C$7:$C$1509,0),0))</f>
        <v>MDU-KD</v>
      </c>
      <c r="E21" s="281" t="str">
        <f ca="1">IF(B21="+","Unit",IF(ISERROR(OFFSET('HARGA SATUAN'!$E$6,MATCH('RAB Standart'!C21,'HARGA SATUAN'!$C$7:$C$1509,0),0)),"",OFFSET('HARGA SATUAN'!$E$6,MATCH('RAB Standart'!C21,'HARGA SATUAN'!$C$7:$C$1509,0),0)))</f>
        <v>Set</v>
      </c>
      <c r="F21" s="290">
        <f>F20*3</f>
        <v>6</v>
      </c>
      <c r="G21" s="282">
        <f ca="1">IF(ISERROR(OFFSET('HARGA SATUAN'!$I$6,MATCH('RAB Standart'!C21,'HARGA SATUAN'!$C$7:$C$1509,0),0)),0,OFFSET('HARGA SATUAN'!$I$6,MATCH('RAB Standart'!C21,'HARGA SATUAN'!$C$7:$C$1509,0),0))</f>
        <v>430000</v>
      </c>
      <c r="H21" s="283">
        <f t="shared" ca="1" si="8"/>
        <v>2580000</v>
      </c>
      <c r="I21" s="283">
        <f t="shared" ca="1" si="9"/>
        <v>0</v>
      </c>
      <c r="J21" s="283">
        <f t="shared" ca="1" si="10"/>
        <v>0</v>
      </c>
      <c r="K21" s="284">
        <f t="shared" ca="1" si="11"/>
        <v>2580000</v>
      </c>
      <c r="L21" s="288"/>
      <c r="M21" s="288"/>
      <c r="N21" s="288"/>
      <c r="O21" s="285"/>
      <c r="P21" s="285"/>
      <c r="Q21" s="266"/>
      <c r="R21" s="258"/>
      <c r="S21" s="286"/>
      <c r="T21" s="263"/>
      <c r="U21" s="263"/>
      <c r="V21" s="263"/>
    </row>
    <row r="22" spans="1:22" s="289" customFormat="1" ht="14.25" customHeight="1">
      <c r="A22" s="258"/>
      <c r="B22" s="293">
        <v>2</v>
      </c>
      <c r="C22" s="494" t="s">
        <v>145</v>
      </c>
      <c r="D22" s="280" t="str">
        <f ca="1">IF(ISERROR(OFFSET('HARGA SATUAN'!$D$6,MATCH('RAB Standart'!C22,'HARGA SATUAN'!$C$7:$C$1509,0),0)),"",OFFSET('HARGA SATUAN'!$D$6,MATCH('RAB Standart'!C22,'HARGA SATUAN'!$C$7:$C$1509,0),0))</f>
        <v>HDW</v>
      </c>
      <c r="E22" s="281" t="str">
        <f ca="1">IF(B22="+","Unit",IF(ISERROR(OFFSET('HARGA SATUAN'!$E$6,MATCH('RAB Standart'!C22,'HARGA SATUAN'!$C$7:$C$1509,0),0)),"",OFFSET('HARGA SATUAN'!$E$6,MATCH('RAB Standart'!C22,'HARGA SATUAN'!$C$7:$C$1509,0),0)))</f>
        <v>Mtr</v>
      </c>
      <c r="F22" s="290">
        <f>F20*1</f>
        <v>2</v>
      </c>
      <c r="G22" s="282">
        <f ca="1">IF(ISERROR(OFFSET('HARGA SATUAN'!$I$6,MATCH('RAB Standart'!C22,'HARGA SATUAN'!$C$7:$C$1509,0),0)),0,OFFSET('HARGA SATUAN'!$I$6,MATCH('RAB Standart'!C22,'HARGA SATUAN'!$C$7:$C$1509,0),0))</f>
        <v>7789</v>
      </c>
      <c r="H22" s="283">
        <f t="shared" ca="1" si="8"/>
        <v>0</v>
      </c>
      <c r="I22" s="283">
        <f t="shared" ca="1" si="9"/>
        <v>15578</v>
      </c>
      <c r="J22" s="283">
        <f t="shared" ca="1" si="10"/>
        <v>0</v>
      </c>
      <c r="K22" s="284">
        <f t="shared" ca="1" si="11"/>
        <v>15578</v>
      </c>
      <c r="L22" s="288"/>
      <c r="M22" s="288"/>
      <c r="N22" s="288"/>
      <c r="O22" s="285"/>
      <c r="P22" s="285"/>
      <c r="Q22" s="266"/>
      <c r="R22" s="258"/>
      <c r="S22" s="286"/>
      <c r="T22" s="263"/>
      <c r="U22" s="263"/>
      <c r="V22" s="263"/>
    </row>
    <row r="23" spans="1:22" s="289" customFormat="1" ht="14.25" customHeight="1">
      <c r="A23" s="258"/>
      <c r="B23" s="293">
        <v>3</v>
      </c>
      <c r="C23" s="494" t="s">
        <v>150</v>
      </c>
      <c r="D23" s="280" t="str">
        <f ca="1">IF(ISERROR(OFFSET('HARGA SATUAN'!$D$6,MATCH('RAB Standart'!C23,'HARGA SATUAN'!$C$7:$C$1509,0),0)),"",OFFSET('HARGA SATUAN'!$D$6,MATCH('RAB Standart'!C23,'HARGA SATUAN'!$C$7:$C$1509,0),0))</f>
        <v>HDW</v>
      </c>
      <c r="E23" s="281" t="str">
        <f ca="1">IF(B23="+","Unit",IF(ISERROR(OFFSET('HARGA SATUAN'!$E$6,MATCH('RAB Standart'!C23,'HARGA SATUAN'!$C$7:$C$1509,0),0)),"",OFFSET('HARGA SATUAN'!$E$6,MATCH('RAB Standart'!C23,'HARGA SATUAN'!$C$7:$C$1509,0),0)))</f>
        <v>Bh</v>
      </c>
      <c r="F23" s="290">
        <f>F20*2</f>
        <v>4</v>
      </c>
      <c r="G23" s="282">
        <f ca="1">IF(ISERROR(OFFSET('HARGA SATUAN'!$I$6,MATCH('RAB Standart'!C23,'HARGA SATUAN'!$C$7:$C$1509,0),0)),0,OFFSET('HARGA SATUAN'!$I$6,MATCH('RAB Standart'!C23,'HARGA SATUAN'!$C$7:$C$1509,0),0))</f>
        <v>40000</v>
      </c>
      <c r="H23" s="283">
        <f t="shared" ca="1" si="8"/>
        <v>0</v>
      </c>
      <c r="I23" s="283">
        <f t="shared" ca="1" si="9"/>
        <v>160000</v>
      </c>
      <c r="J23" s="283">
        <f t="shared" ca="1" si="10"/>
        <v>0</v>
      </c>
      <c r="K23" s="284">
        <f t="shared" ca="1" si="11"/>
        <v>160000</v>
      </c>
      <c r="L23" s="288"/>
      <c r="M23" s="288"/>
      <c r="N23" s="288"/>
      <c r="O23" s="285"/>
      <c r="P23" s="285"/>
      <c r="Q23" s="266"/>
      <c r="R23" s="258"/>
      <c r="S23" s="286"/>
      <c r="T23" s="263"/>
      <c r="U23" s="263"/>
      <c r="V23" s="263"/>
    </row>
    <row r="24" spans="1:22" s="289" customFormat="1" ht="14.25" customHeight="1">
      <c r="A24" s="258"/>
      <c r="B24" s="293">
        <v>4</v>
      </c>
      <c r="C24" s="494" t="s">
        <v>18</v>
      </c>
      <c r="D24" s="280" t="str">
        <f ca="1">IF(ISERROR(OFFSET('HARGA SATUAN'!$D$6,MATCH('RAB Standart'!C24,'HARGA SATUAN'!$C$7:$C$1509,0),0)),"",OFFSET('HARGA SATUAN'!$D$6,MATCH('RAB Standart'!C24,'HARGA SATUAN'!$C$7:$C$1509,0),0))</f>
        <v>HDW</v>
      </c>
      <c r="E24" s="281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290">
        <f>F20*1</f>
        <v>2</v>
      </c>
      <c r="G24" s="282">
        <f ca="1">IF(ISERROR(OFFSET('HARGA SATUAN'!$I$6,MATCH('RAB Standart'!C24,'HARGA SATUAN'!$C$7:$C$1509,0),0)),0,OFFSET('HARGA SATUAN'!$I$6,MATCH('RAB Standart'!C24,'HARGA SATUAN'!$C$7:$C$1509,0),0))</f>
        <v>26500</v>
      </c>
      <c r="H24" s="283">
        <f t="shared" ca="1" si="8"/>
        <v>0</v>
      </c>
      <c r="I24" s="283">
        <f t="shared" ca="1" si="9"/>
        <v>53000</v>
      </c>
      <c r="J24" s="283">
        <f t="shared" ca="1" si="10"/>
        <v>0</v>
      </c>
      <c r="K24" s="284">
        <f t="shared" ca="1" si="11"/>
        <v>53000</v>
      </c>
      <c r="L24" s="288"/>
      <c r="M24" s="288"/>
      <c r="N24" s="288"/>
      <c r="O24" s="285"/>
      <c r="P24" s="285"/>
      <c r="Q24" s="266"/>
      <c r="R24" s="258"/>
      <c r="S24" s="286"/>
      <c r="T24" s="263"/>
      <c r="U24" s="263"/>
      <c r="V24" s="263"/>
    </row>
    <row r="25" spans="1:22" s="289" customFormat="1" ht="14.25" customHeight="1">
      <c r="A25" s="258"/>
      <c r="B25" s="293">
        <v>5</v>
      </c>
      <c r="C25" s="494" t="s">
        <v>156</v>
      </c>
      <c r="D25" s="280" t="str">
        <f ca="1">IF(ISERROR(OFFSET('HARGA SATUAN'!$D$6,MATCH('RAB Standart'!C25,'HARGA SATUAN'!$C$7:$C$1509,0),0)),"",OFFSET('HARGA SATUAN'!$D$6,MATCH('RAB Standart'!C25,'HARGA SATUAN'!$C$7:$C$1509,0),0))</f>
        <v>HDW</v>
      </c>
      <c r="E25" s="281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90">
        <f>F20*4</f>
        <v>8</v>
      </c>
      <c r="G25" s="282">
        <f ca="1">IF(ISERROR(OFFSET('HARGA SATUAN'!$I$6,MATCH('RAB Standart'!C25,'HARGA SATUAN'!$C$7:$C$1509,0),0)),0,OFFSET('HARGA SATUAN'!$I$6,MATCH('RAB Standart'!C25,'HARGA SATUAN'!$C$7:$C$1509,0),0))</f>
        <v>7938</v>
      </c>
      <c r="H25" s="283">
        <f t="shared" ca="1" si="8"/>
        <v>0</v>
      </c>
      <c r="I25" s="283">
        <f t="shared" ca="1" si="9"/>
        <v>63504</v>
      </c>
      <c r="J25" s="283">
        <f t="shared" ca="1" si="10"/>
        <v>0</v>
      </c>
      <c r="K25" s="284">
        <f t="shared" ca="1" si="11"/>
        <v>63504</v>
      </c>
      <c r="L25" s="288"/>
      <c r="M25" s="288"/>
      <c r="N25" s="288"/>
      <c r="O25" s="285"/>
      <c r="P25" s="285"/>
      <c r="Q25" s="266"/>
      <c r="R25" s="258"/>
      <c r="S25" s="286"/>
      <c r="T25" s="263"/>
      <c r="U25" s="263"/>
      <c r="V25" s="263"/>
    </row>
    <row r="26" spans="1:22" s="289" customFormat="1" ht="14.25" customHeight="1">
      <c r="A26" s="258"/>
      <c r="B26" s="293">
        <v>6</v>
      </c>
      <c r="C26" s="494" t="s">
        <v>166</v>
      </c>
      <c r="D26" s="280" t="str">
        <f ca="1">IF(ISERROR(OFFSET('HARGA SATUAN'!$D$6,MATCH('RAB Standart'!C26,'HARGA SATUAN'!$C$7:$C$1509,0),0)),"",OFFSET('HARGA SATUAN'!$D$6,MATCH('RAB Standart'!C26,'HARGA SATUAN'!$C$7:$C$1509,0),0))</f>
        <v>HDW</v>
      </c>
      <c r="E26" s="281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90">
        <f>F20*4</f>
        <v>8</v>
      </c>
      <c r="G26" s="282">
        <f ca="1">IF(ISERROR(OFFSET('HARGA SATUAN'!$I$6,MATCH('RAB Standart'!C26,'HARGA SATUAN'!$C$7:$C$1509,0),0)),0,OFFSET('HARGA SATUAN'!$I$6,MATCH('RAB Standart'!C26,'HARGA SATUAN'!$C$7:$C$1509,0),0))</f>
        <v>45000</v>
      </c>
      <c r="H26" s="283">
        <f t="shared" ca="1" si="8"/>
        <v>0</v>
      </c>
      <c r="I26" s="283">
        <f t="shared" ca="1" si="9"/>
        <v>360000</v>
      </c>
      <c r="J26" s="283">
        <f t="shared" ca="1" si="10"/>
        <v>0</v>
      </c>
      <c r="K26" s="284">
        <f t="shared" ca="1" si="11"/>
        <v>360000</v>
      </c>
      <c r="L26" s="288"/>
      <c r="M26" s="288"/>
      <c r="N26" s="288"/>
      <c r="O26" s="285"/>
      <c r="P26" s="285"/>
      <c r="Q26" s="266"/>
      <c r="R26" s="258"/>
      <c r="S26" s="286"/>
      <c r="T26" s="263"/>
      <c r="U26" s="263"/>
      <c r="V26" s="263"/>
    </row>
    <row r="27" spans="1:22" s="289" customFormat="1" ht="14.25" customHeight="1">
      <c r="A27" s="258"/>
      <c r="B27" s="293">
        <v>7</v>
      </c>
      <c r="C27" s="494" t="s">
        <v>172</v>
      </c>
      <c r="D27" s="280" t="str">
        <f ca="1">IF(ISERROR(OFFSET('HARGA SATUAN'!$D$6,MATCH('RAB Standart'!C27,'HARGA SATUAN'!$C$7:$C$1509,0),0)),"",OFFSET('HARGA SATUAN'!$D$6,MATCH('RAB Standart'!C27,'HARGA SATUAN'!$C$7:$C$1509,0),0))</f>
        <v>HDW</v>
      </c>
      <c r="E27" s="281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90">
        <f>F20*1</f>
        <v>2</v>
      </c>
      <c r="G27" s="282">
        <f ca="1">IF(ISERROR(OFFSET('HARGA SATUAN'!$I$6,MATCH('RAB Standart'!C27,'HARGA SATUAN'!$C$7:$C$1509,0),0)),0,OFFSET('HARGA SATUAN'!$I$6,MATCH('RAB Standart'!C27,'HARGA SATUAN'!$C$7:$C$1509,0),0))</f>
        <v>15500</v>
      </c>
      <c r="H27" s="283">
        <f t="shared" ca="1" si="8"/>
        <v>0</v>
      </c>
      <c r="I27" s="283">
        <f t="shared" ca="1" si="9"/>
        <v>31000</v>
      </c>
      <c r="J27" s="283">
        <f t="shared" ca="1" si="10"/>
        <v>0</v>
      </c>
      <c r="K27" s="284">
        <f t="shared" ca="1" si="11"/>
        <v>31000</v>
      </c>
      <c r="L27" s="288"/>
      <c r="M27" s="288"/>
      <c r="N27" s="288"/>
      <c r="O27" s="285"/>
      <c r="P27" s="285"/>
      <c r="Q27" s="266"/>
      <c r="R27" s="258"/>
      <c r="S27" s="286"/>
      <c r="T27" s="263"/>
      <c r="U27" s="263"/>
      <c r="V27" s="263"/>
    </row>
    <row r="28" spans="1:22" s="289" customFormat="1" ht="14.25" customHeight="1">
      <c r="A28" s="258"/>
      <c r="B28" s="293">
        <v>8</v>
      </c>
      <c r="C28" s="494" t="s">
        <v>587</v>
      </c>
      <c r="D28" s="280" t="str">
        <f ca="1">IF(ISERROR(OFFSET('HARGA SATUAN'!$D$6,MATCH('RAB Standart'!C28,'HARGA SATUAN'!$C$7:$C$1509,0),0)),"",OFFSET('HARGA SATUAN'!$D$6,MATCH('RAB Standart'!C28,'HARGA SATUAN'!$C$7:$C$1509,0),0))</f>
        <v>HDW</v>
      </c>
      <c r="E28" s="281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90">
        <f>F20*2</f>
        <v>4</v>
      </c>
      <c r="G28" s="282">
        <f ca="1">IF(ISERROR(OFFSET('HARGA SATUAN'!$I$6,MATCH('RAB Standart'!C28,'HARGA SATUAN'!$C$7:$C$1509,0),0)),0,OFFSET('HARGA SATUAN'!$I$6,MATCH('RAB Standart'!C28,'HARGA SATUAN'!$C$7:$C$1509,0),0))</f>
        <v>380500</v>
      </c>
      <c r="H28" s="283">
        <f t="shared" ca="1" si="8"/>
        <v>0</v>
      </c>
      <c r="I28" s="283">
        <f t="shared" ca="1" si="9"/>
        <v>1522000</v>
      </c>
      <c r="J28" s="283">
        <f t="shared" ca="1" si="10"/>
        <v>0</v>
      </c>
      <c r="K28" s="284">
        <f t="shared" ca="1" si="11"/>
        <v>1522000</v>
      </c>
      <c r="L28" s="288"/>
      <c r="M28" s="288"/>
      <c r="N28" s="288"/>
      <c r="O28" s="285"/>
      <c r="P28" s="285"/>
      <c r="Q28" s="266"/>
      <c r="R28" s="258"/>
      <c r="S28" s="286"/>
      <c r="T28" s="263"/>
      <c r="U28" s="263"/>
      <c r="V28" s="263"/>
    </row>
    <row r="29" spans="1:22" s="289" customFormat="1" ht="14.25" customHeight="1">
      <c r="A29" s="258"/>
      <c r="B29" s="293">
        <v>9</v>
      </c>
      <c r="C29" s="494" t="s">
        <v>210</v>
      </c>
      <c r="D29" s="280" t="str">
        <f ca="1">IF(ISERROR(OFFSET('HARGA SATUAN'!$D$6,MATCH('RAB Standart'!C29,'HARGA SATUAN'!$C$7:$C$1509,0),0)),"",OFFSET('HARGA SATUAN'!$D$6,MATCH('RAB Standart'!C29,'HARGA SATUAN'!$C$7:$C$1509,0),0))</f>
        <v>HDW</v>
      </c>
      <c r="E29" s="281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0">
        <f>F20*4</f>
        <v>8</v>
      </c>
      <c r="G29" s="282">
        <f ca="1">IF(ISERROR(OFFSET('HARGA SATUAN'!$I$6,MATCH('RAB Standart'!C29,'HARGA SATUAN'!$C$7:$C$1509,0),0)),0,OFFSET('HARGA SATUAN'!$I$6,MATCH('RAB Standart'!C29,'HARGA SATUAN'!$C$7:$C$1509,0),0))</f>
        <v>11400</v>
      </c>
      <c r="H29" s="283">
        <f t="shared" ca="1" si="8"/>
        <v>0</v>
      </c>
      <c r="I29" s="283">
        <f t="shared" ca="1" si="9"/>
        <v>91200</v>
      </c>
      <c r="J29" s="283">
        <f t="shared" ca="1" si="10"/>
        <v>0</v>
      </c>
      <c r="K29" s="284">
        <f t="shared" ca="1" si="11"/>
        <v>91200</v>
      </c>
      <c r="L29" s="288"/>
      <c r="M29" s="288"/>
      <c r="N29" s="288"/>
      <c r="O29" s="285"/>
      <c r="P29" s="285"/>
      <c r="Q29" s="266"/>
      <c r="R29" s="258"/>
      <c r="S29" s="286"/>
      <c r="T29" s="263"/>
      <c r="U29" s="263"/>
      <c r="V29" s="263"/>
    </row>
    <row r="30" spans="1:22" s="289" customFormat="1" ht="14.25" customHeight="1">
      <c r="A30" s="258"/>
      <c r="B30" s="293">
        <v>10</v>
      </c>
      <c r="C30" s="494" t="s">
        <v>211</v>
      </c>
      <c r="D30" s="280" t="str">
        <f ca="1">IF(ISERROR(OFFSET('HARGA SATUAN'!$D$6,MATCH('RAB Standart'!C30,'HARGA SATUAN'!$C$7:$C$1509,0),0)),"",OFFSET('HARGA SATUAN'!$D$6,MATCH('RAB Standart'!C30,'HARGA SATUAN'!$C$7:$C$1509,0),0))</f>
        <v>HDW</v>
      </c>
      <c r="E30" s="281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0">
        <f>F20*2</f>
        <v>4</v>
      </c>
      <c r="G30" s="282">
        <f ca="1">IF(ISERROR(OFFSET('HARGA SATUAN'!$I$6,MATCH('RAB Standart'!C30,'HARGA SATUAN'!$C$7:$C$1509,0),0)),0,OFFSET('HARGA SATUAN'!$I$6,MATCH('RAB Standart'!C30,'HARGA SATUAN'!$C$7:$C$1509,0),0))</f>
        <v>29600</v>
      </c>
      <c r="H30" s="283">
        <f t="shared" ca="1" si="8"/>
        <v>0</v>
      </c>
      <c r="I30" s="283">
        <f t="shared" ca="1" si="9"/>
        <v>118400</v>
      </c>
      <c r="J30" s="283">
        <f t="shared" ca="1" si="10"/>
        <v>0</v>
      </c>
      <c r="K30" s="284">
        <f t="shared" ca="1" si="11"/>
        <v>118400</v>
      </c>
      <c r="L30" s="288"/>
      <c r="M30" s="288"/>
      <c r="N30" s="288"/>
      <c r="O30" s="285"/>
      <c r="P30" s="285"/>
      <c r="Q30" s="266"/>
      <c r="R30" s="258"/>
      <c r="S30" s="286"/>
      <c r="T30" s="263"/>
      <c r="U30" s="263"/>
      <c r="V30" s="263"/>
    </row>
    <row r="31" spans="1:22" s="289" customFormat="1" ht="14.25" customHeight="1">
      <c r="A31" s="258"/>
      <c r="B31" s="293">
        <v>11</v>
      </c>
      <c r="C31" s="494" t="s">
        <v>216</v>
      </c>
      <c r="D31" s="280" t="str">
        <f ca="1">IF(ISERROR(OFFSET('HARGA SATUAN'!$D$6,MATCH('RAB Standart'!C31,'HARGA SATUAN'!$C$7:$C$1509,0),0)),"",OFFSET('HARGA SATUAN'!$D$6,MATCH('RAB Standart'!C31,'HARGA SATUAN'!$C$7:$C$1509,0),0))</f>
        <v>HDW</v>
      </c>
      <c r="E31" s="281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0">
        <f>F20*1</f>
        <v>2</v>
      </c>
      <c r="G31" s="282">
        <f ca="1">IF(ISERROR(OFFSET('HARGA SATUAN'!$I$6,MATCH('RAB Standart'!C31,'HARGA SATUAN'!$C$7:$C$1509,0),0)),0,OFFSET('HARGA SATUAN'!$I$6,MATCH('RAB Standart'!C31,'HARGA SATUAN'!$C$7:$C$1509,0),0))</f>
        <v>27815</v>
      </c>
      <c r="H31" s="283">
        <f t="shared" ca="1" si="8"/>
        <v>0</v>
      </c>
      <c r="I31" s="283">
        <f t="shared" ca="1" si="9"/>
        <v>55630</v>
      </c>
      <c r="J31" s="283">
        <f t="shared" ca="1" si="10"/>
        <v>0</v>
      </c>
      <c r="K31" s="284">
        <f t="shared" ca="1" si="11"/>
        <v>55630</v>
      </c>
      <c r="L31" s="288"/>
      <c r="M31" s="288"/>
      <c r="N31" s="288"/>
      <c r="O31" s="285"/>
      <c r="P31" s="285"/>
      <c r="Q31" s="266"/>
      <c r="R31" s="258"/>
      <c r="S31" s="286"/>
      <c r="T31" s="263"/>
      <c r="U31" s="263"/>
      <c r="V31" s="263"/>
    </row>
    <row r="32" spans="1:22" s="289" customFormat="1" ht="14.25" customHeight="1">
      <c r="A32" s="258"/>
      <c r="B32" s="293">
        <v>12</v>
      </c>
      <c r="C32" s="494" t="s">
        <v>15</v>
      </c>
      <c r="D32" s="280" t="str">
        <f ca="1">IF(ISERROR(OFFSET('HARGA SATUAN'!$D$6,MATCH('RAB Standart'!C32,'HARGA SATUAN'!$C$7:$C$1509,0),0)),"",OFFSET('HARGA SATUAN'!$D$6,MATCH('RAB Standart'!C32,'HARGA SATUAN'!$C$7:$C$1509,0),0))</f>
        <v>HDW</v>
      </c>
      <c r="E32" s="281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0">
        <f>F20*3</f>
        <v>6</v>
      </c>
      <c r="G32" s="282">
        <f ca="1">IF(ISERROR(OFFSET('HARGA SATUAN'!$I$6,MATCH('RAB Standart'!C32,'HARGA SATUAN'!$C$7:$C$1509,0),0)),0,OFFSET('HARGA SATUAN'!$I$6,MATCH('RAB Standart'!C32,'HARGA SATUAN'!$C$7:$C$1509,0),0))</f>
        <v>23936</v>
      </c>
      <c r="H32" s="283">
        <f t="shared" ca="1" si="8"/>
        <v>0</v>
      </c>
      <c r="I32" s="283">
        <f t="shared" ca="1" si="9"/>
        <v>143616</v>
      </c>
      <c r="J32" s="283">
        <f t="shared" ca="1" si="10"/>
        <v>0</v>
      </c>
      <c r="K32" s="284">
        <f t="shared" ca="1" si="11"/>
        <v>143616</v>
      </c>
      <c r="L32" s="288"/>
      <c r="M32" s="288"/>
      <c r="N32" s="288"/>
      <c r="O32" s="285"/>
      <c r="P32" s="285"/>
      <c r="Q32" s="266"/>
      <c r="R32" s="258"/>
      <c r="S32" s="286"/>
      <c r="T32" s="263"/>
      <c r="U32" s="263"/>
      <c r="V32" s="263"/>
    </row>
    <row r="33" spans="1:22" s="289" customFormat="1" ht="14.25" customHeight="1">
      <c r="A33" s="258"/>
      <c r="B33" s="293">
        <v>13</v>
      </c>
      <c r="C33" s="494" t="s">
        <v>28</v>
      </c>
      <c r="D33" s="280" t="str">
        <f ca="1">IF(ISERROR(OFFSET('HARGA SATUAN'!$D$6,MATCH('RAB Standart'!C33,'HARGA SATUAN'!$C$7:$C$1509,0),0)),"",OFFSET('HARGA SATUAN'!$D$6,MATCH('RAB Standart'!C33,'HARGA SATUAN'!$C$7:$C$1509,0),0))</f>
        <v>HDW</v>
      </c>
      <c r="E33" s="281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90">
        <f>F20*1</f>
        <v>2</v>
      </c>
      <c r="G33" s="282">
        <f ca="1">IF(ISERROR(OFFSET('HARGA SATUAN'!$I$6,MATCH('RAB Standart'!C33,'HARGA SATUAN'!$C$7:$C$1509,0),0)),0,OFFSET('HARGA SATUAN'!$I$6,MATCH('RAB Standart'!C33,'HARGA SATUAN'!$C$7:$C$1509,0),0))</f>
        <v>63500</v>
      </c>
      <c r="H33" s="283">
        <f t="shared" ca="1" si="8"/>
        <v>0</v>
      </c>
      <c r="I33" s="283">
        <f t="shared" ca="1" si="9"/>
        <v>127000</v>
      </c>
      <c r="J33" s="283">
        <f t="shared" ca="1" si="10"/>
        <v>0</v>
      </c>
      <c r="K33" s="284">
        <f t="shared" ca="1" si="11"/>
        <v>127000</v>
      </c>
      <c r="L33" s="288"/>
      <c r="M33" s="288"/>
      <c r="N33" s="288"/>
      <c r="O33" s="285"/>
      <c r="P33" s="285"/>
      <c r="Q33" s="266"/>
      <c r="R33" s="258"/>
      <c r="S33" s="286"/>
      <c r="T33" s="263"/>
      <c r="U33" s="263"/>
      <c r="V33" s="263"/>
    </row>
    <row r="34" spans="1:22" s="289" customFormat="1" ht="14.25" customHeight="1">
      <c r="A34" s="258"/>
      <c r="B34" s="293">
        <v>14</v>
      </c>
      <c r="C34" s="494" t="s">
        <v>240</v>
      </c>
      <c r="D34" s="280" t="str">
        <f ca="1">IF(ISERROR(OFFSET('HARGA SATUAN'!$D$6,MATCH('RAB Standart'!C34,'HARGA SATUAN'!$C$7:$C$1509,0),0)),"",OFFSET('HARGA SATUAN'!$D$6,MATCH('RAB Standart'!C34,'HARGA SATUAN'!$C$7:$C$1509,0),0))</f>
        <v>HDW</v>
      </c>
      <c r="E34" s="281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90">
        <f>F20*1</f>
        <v>2</v>
      </c>
      <c r="G34" s="282">
        <f ca="1">IF(ISERROR(OFFSET('HARGA SATUAN'!$I$6,MATCH('RAB Standart'!C34,'HARGA SATUAN'!$C$7:$C$1509,0),0)),0,OFFSET('HARGA SATUAN'!$I$6,MATCH('RAB Standart'!C34,'HARGA SATUAN'!$C$7:$C$1509,0),0))</f>
        <v>57690</v>
      </c>
      <c r="H34" s="283">
        <f t="shared" ca="1" si="8"/>
        <v>0</v>
      </c>
      <c r="I34" s="283">
        <f t="shared" ca="1" si="9"/>
        <v>115380</v>
      </c>
      <c r="J34" s="283">
        <f t="shared" ca="1" si="10"/>
        <v>0</v>
      </c>
      <c r="K34" s="284">
        <f t="shared" ca="1" si="11"/>
        <v>115380</v>
      </c>
      <c r="L34" s="288"/>
      <c r="M34" s="288"/>
      <c r="N34" s="288"/>
      <c r="O34" s="285"/>
      <c r="P34" s="285"/>
      <c r="Q34" s="266"/>
      <c r="R34" s="258"/>
      <c r="S34" s="286"/>
      <c r="T34" s="263"/>
      <c r="U34" s="263"/>
      <c r="V34" s="263"/>
    </row>
    <row r="35" spans="1:22" s="289" customFormat="1" ht="14.25" customHeight="1">
      <c r="A35" s="258"/>
      <c r="B35" s="293">
        <v>15</v>
      </c>
      <c r="C35" s="494" t="s">
        <v>17</v>
      </c>
      <c r="D35" s="280" t="str">
        <f ca="1">IF(ISERROR(OFFSET('HARGA SATUAN'!$D$6,MATCH('RAB Standart'!C35,'HARGA SATUAN'!$C$7:$C$1509,0),0)),"",OFFSET('HARGA SATUAN'!$D$6,MATCH('RAB Standart'!C35,'HARGA SATUAN'!$C$7:$C$1509,0),0))</f>
        <v>HDW</v>
      </c>
      <c r="E35" s="281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90">
        <f>F20*3</f>
        <v>6</v>
      </c>
      <c r="G35" s="282">
        <f ca="1">IF(ISERROR(OFFSET('HARGA SATUAN'!$I$6,MATCH('RAB Standart'!C35,'HARGA SATUAN'!$C$7:$C$1509,0),0)),0,OFFSET('HARGA SATUAN'!$I$6,MATCH('RAB Standart'!C35,'HARGA SATUAN'!$C$7:$C$1509,0),0))</f>
        <v>16000</v>
      </c>
      <c r="H35" s="283">
        <f t="shared" ca="1" si="8"/>
        <v>0</v>
      </c>
      <c r="I35" s="283">
        <f t="shared" ca="1" si="9"/>
        <v>96000</v>
      </c>
      <c r="J35" s="283">
        <f t="shared" ca="1" si="10"/>
        <v>0</v>
      </c>
      <c r="K35" s="284">
        <f t="shared" ca="1" si="11"/>
        <v>96000</v>
      </c>
      <c r="L35" s="288"/>
      <c r="M35" s="288"/>
      <c r="N35" s="288"/>
      <c r="O35" s="285"/>
      <c r="P35" s="285"/>
      <c r="Q35" s="266"/>
      <c r="R35" s="258"/>
      <c r="S35" s="286"/>
      <c r="T35" s="263"/>
      <c r="U35" s="263"/>
      <c r="V35" s="263"/>
    </row>
    <row r="36" spans="1:22" s="289" customFormat="1" ht="14.25" customHeight="1">
      <c r="A36" s="258"/>
      <c r="B36" s="293">
        <v>16</v>
      </c>
      <c r="C36" s="494" t="s">
        <v>258</v>
      </c>
      <c r="D36" s="280" t="str">
        <f ca="1">IF(ISERROR(OFFSET('HARGA SATUAN'!$D$6,MATCH('RAB Standart'!C36,'HARGA SATUAN'!$C$7:$C$1509,0),0)),"",OFFSET('HARGA SATUAN'!$D$6,MATCH('RAB Standart'!C36,'HARGA SATUAN'!$C$7:$C$1509,0),0))</f>
        <v>HDW</v>
      </c>
      <c r="E36" s="281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90">
        <f>F20*1</f>
        <v>2</v>
      </c>
      <c r="G36" s="282">
        <f ca="1">IF(ISERROR(OFFSET('HARGA SATUAN'!$I$6,MATCH('RAB Standart'!C36,'HARGA SATUAN'!$C$7:$C$1509,0),0)),0,OFFSET('HARGA SATUAN'!$I$6,MATCH('RAB Standart'!C36,'HARGA SATUAN'!$C$7:$C$1509,0),0))</f>
        <v>33501.866666666669</v>
      </c>
      <c r="H36" s="283">
        <f t="shared" ca="1" si="8"/>
        <v>0</v>
      </c>
      <c r="I36" s="283">
        <f t="shared" ca="1" si="9"/>
        <v>67003.733333333337</v>
      </c>
      <c r="J36" s="283">
        <f t="shared" ca="1" si="10"/>
        <v>0</v>
      </c>
      <c r="K36" s="284">
        <f t="shared" ca="1" si="11"/>
        <v>67003.733333333337</v>
      </c>
      <c r="L36" s="288"/>
      <c r="M36" s="288"/>
      <c r="N36" s="288"/>
      <c r="O36" s="285"/>
      <c r="P36" s="285"/>
      <c r="Q36" s="266"/>
      <c r="R36" s="258"/>
      <c r="S36" s="286"/>
      <c r="T36" s="263"/>
      <c r="U36" s="263"/>
      <c r="V36" s="263"/>
    </row>
    <row r="37" spans="1:22" s="289" customFormat="1" ht="14.25" customHeight="1">
      <c r="A37" s="258"/>
      <c r="B37" s="293">
        <v>17</v>
      </c>
      <c r="C37" s="494" t="s">
        <v>16</v>
      </c>
      <c r="D37" s="280" t="str">
        <f ca="1">IF(ISERROR(OFFSET('HARGA SATUAN'!$D$6,MATCH('RAB Standart'!C37,'HARGA SATUAN'!$C$7:$C$1509,0),0)),"",OFFSET('HARGA SATUAN'!$D$6,MATCH('RAB Standart'!C37,'HARGA SATUAN'!$C$7:$C$1509,0),0))</f>
        <v>HDW</v>
      </c>
      <c r="E37" s="281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0">
        <f>F20*11</f>
        <v>22</v>
      </c>
      <c r="G37" s="282">
        <f ca="1">IF(ISERROR(OFFSET('HARGA SATUAN'!$I$6,MATCH('RAB Standart'!C37,'HARGA SATUAN'!$C$7:$C$1509,0),0)),0,OFFSET('HARGA SATUAN'!$I$6,MATCH('RAB Standart'!C37,'HARGA SATUAN'!$C$7:$C$1509,0),0))</f>
        <v>2500</v>
      </c>
      <c r="H37" s="283">
        <f t="shared" ca="1" si="8"/>
        <v>0</v>
      </c>
      <c r="I37" s="283">
        <f t="shared" ca="1" si="9"/>
        <v>55000</v>
      </c>
      <c r="J37" s="283">
        <f t="shared" ca="1" si="10"/>
        <v>0</v>
      </c>
      <c r="K37" s="284">
        <f t="shared" ca="1" si="11"/>
        <v>55000</v>
      </c>
      <c r="L37" s="288"/>
      <c r="M37" s="288"/>
      <c r="N37" s="288"/>
      <c r="O37" s="285"/>
      <c r="P37" s="285"/>
      <c r="Q37" s="266"/>
      <c r="R37" s="258"/>
      <c r="S37" s="286"/>
      <c r="T37" s="263"/>
      <c r="U37" s="263"/>
      <c r="V37" s="263"/>
    </row>
    <row r="38" spans="1:22" s="289" customFormat="1" ht="14.25" customHeight="1">
      <c r="A38" s="258"/>
      <c r="B38" s="293">
        <v>18</v>
      </c>
      <c r="C38" s="494" t="s">
        <v>697</v>
      </c>
      <c r="D38" s="280" t="str">
        <f ca="1">IF(ISERROR(OFFSET('HARGA SATUAN'!$D$6,MATCH('RAB Standart'!C38,'HARGA SATUAN'!$C$7:$C$1509,0),0)),"",OFFSET('HARGA SATUAN'!$D$6,MATCH('RAB Standart'!C38,'HARGA SATUAN'!$C$7:$C$1509,0),0))</f>
        <v>JASA</v>
      </c>
      <c r="E38" s="281" t="str">
        <f ca="1">IF(B38="+","Unit",IF(ISERROR(OFFSET('HARGA SATUAN'!$E$6,MATCH('RAB Standart'!C38,'HARGA SATUAN'!$C$7:$C$1509,0),0)),"",OFFSET('HARGA SATUAN'!$E$6,MATCH('RAB Standart'!C38,'HARGA SATUAN'!$C$7:$C$1509,0),0)))</f>
        <v>Unit</v>
      </c>
      <c r="F38" s="290">
        <f>F20*1</f>
        <v>2</v>
      </c>
      <c r="G38" s="282">
        <f ca="1">IF(ISERROR(OFFSET('HARGA SATUAN'!$I$6,MATCH('RAB Standart'!C38,'HARGA SATUAN'!$C$7:$C$1509,0),0)),0,OFFSET('HARGA SATUAN'!$I$6,MATCH('RAB Standart'!C38,'HARGA SATUAN'!$C$7:$C$1509,0),0))</f>
        <v>134700</v>
      </c>
      <c r="H38" s="283">
        <f t="shared" ca="1" si="8"/>
        <v>0</v>
      </c>
      <c r="I38" s="283">
        <f t="shared" ca="1" si="9"/>
        <v>0</v>
      </c>
      <c r="J38" s="283">
        <f t="shared" ca="1" si="10"/>
        <v>269400</v>
      </c>
      <c r="K38" s="284">
        <f t="shared" ca="1" si="11"/>
        <v>269400</v>
      </c>
      <c r="L38" s="288"/>
      <c r="M38" s="288"/>
      <c r="N38" s="288"/>
      <c r="O38" s="285"/>
      <c r="P38" s="285"/>
      <c r="Q38" s="266"/>
      <c r="R38" s="258"/>
      <c r="S38" s="286"/>
      <c r="T38" s="263"/>
      <c r="U38" s="263"/>
      <c r="V38" s="263"/>
    </row>
    <row r="39" spans="1:22" s="289" customFormat="1" ht="14.25" customHeight="1">
      <c r="A39" s="258"/>
      <c r="B39" s="293"/>
      <c r="C39" s="494"/>
      <c r="D39" s="280"/>
      <c r="E39" s="281"/>
      <c r="F39" s="290"/>
      <c r="G39" s="282"/>
      <c r="H39" s="283"/>
      <c r="I39" s="283"/>
      <c r="J39" s="283"/>
      <c r="K39" s="284"/>
      <c r="L39" s="288"/>
      <c r="M39" s="288"/>
      <c r="N39" s="288"/>
      <c r="O39" s="285"/>
      <c r="P39" s="285"/>
      <c r="Q39" s="266"/>
      <c r="R39" s="258"/>
      <c r="S39" s="286"/>
      <c r="T39" s="263"/>
      <c r="U39" s="263"/>
      <c r="V39" s="263"/>
    </row>
    <row r="40" spans="1:22" s="289" customFormat="1" ht="14.25" customHeight="1">
      <c r="A40" s="258"/>
      <c r="B40" s="293" t="s">
        <v>1008</v>
      </c>
      <c r="C40" s="494" t="s">
        <v>1677</v>
      </c>
      <c r="D40" s="280" t="str">
        <f ca="1">IF(ISERROR(OFFSET('HARGA SATUAN'!$D$6,MATCH('RAB Standart'!C40,'HARGA SATUAN'!$C$7:$C$1509,0),0)),"",OFFSET('HARGA SATUAN'!$D$6,MATCH('RAB Standart'!C40,'HARGA SATUAN'!$C$7:$C$1509,0),0))</f>
        <v/>
      </c>
      <c r="E40" s="281" t="str">
        <f ca="1">IF(B40="+","Unit",IF(ISERROR(OFFSET('HARGA SATUAN'!$E$6,MATCH('RAB Standart'!C40,'HARGA SATUAN'!$C$7:$C$1509,0),0)),"",OFFSET('HARGA SATUAN'!$E$6,MATCH('RAB Standart'!C40,'HARGA SATUAN'!$C$7:$C$1509,0),0)))</f>
        <v>Unit</v>
      </c>
      <c r="F40" s="290">
        <v>1</v>
      </c>
      <c r="G40" s="282">
        <f ca="1">IF(ISERROR(OFFSET('HARGA SATUAN'!$I$6,MATCH('RAB Standart'!C40,'HARGA SATUAN'!$C$7:$C$1509,0),0)),0,OFFSET('HARGA SATUAN'!$I$6,MATCH('RAB Standart'!C40,'HARGA SATUAN'!$C$7:$C$1509,0),0))</f>
        <v>0</v>
      </c>
      <c r="H40" s="283">
        <f t="shared" ref="H40:H62" ca="1" si="12">IF(OR(D40="MDU",D40="MDU-KD"),(IF($O$3="RAB NON MDU","PLN KD",G40*F40)),0)</f>
        <v>0</v>
      </c>
      <c r="I40" s="283">
        <f t="shared" ref="I40:I62" ca="1" si="13">IF(D40="HDW",G40*F40,0)</f>
        <v>0</v>
      </c>
      <c r="J40" s="283">
        <f t="shared" ref="J40:J62" ca="1" si="14">IF(D40="JASA",G40*F40,0)</f>
        <v>0</v>
      </c>
      <c r="K40" s="284">
        <f t="shared" ref="K40:K62" ca="1" si="15">SUM(H40:J40)</f>
        <v>0</v>
      </c>
      <c r="L40" s="288"/>
      <c r="M40" s="288"/>
      <c r="N40" s="288"/>
      <c r="O40" s="285"/>
      <c r="P40" s="285"/>
      <c r="Q40" s="266"/>
      <c r="R40" s="258"/>
      <c r="S40" s="286"/>
      <c r="T40" s="263"/>
      <c r="U40" s="263"/>
      <c r="V40" s="263"/>
    </row>
    <row r="41" spans="1:22" s="289" customFormat="1" ht="14.25" customHeight="1">
      <c r="A41" s="258"/>
      <c r="B41" s="293">
        <v>1</v>
      </c>
      <c r="C41" s="494" t="s">
        <v>27</v>
      </c>
      <c r="D41" s="280" t="str">
        <f ca="1">IF(ISERROR(OFFSET('HARGA SATUAN'!$D$6,MATCH('RAB Standart'!C41,'HARGA SATUAN'!$C$7:$C$1509,0),0)),"",OFFSET('HARGA SATUAN'!$D$6,MATCH('RAB Standart'!C41,'HARGA SATUAN'!$C$7:$C$1509,0),0))</f>
        <v>MDU-KD</v>
      </c>
      <c r="E41" s="281" t="str">
        <f ca="1">IF(B41="+","Unit",IF(ISERROR(OFFSET('HARGA SATUAN'!$E$6,MATCH('RAB Standart'!C41,'HARGA SATUAN'!$C$7:$C$1509,0),0)),"",OFFSET('HARGA SATUAN'!$E$6,MATCH('RAB Standart'!C41,'HARGA SATUAN'!$C$7:$C$1509,0),0)))</f>
        <v>Bh</v>
      </c>
      <c r="F41" s="290">
        <f>F40*1</f>
        <v>1</v>
      </c>
      <c r="G41" s="282">
        <f ca="1">IF(ISERROR(OFFSET('HARGA SATUAN'!$I$6,MATCH('RAB Standart'!C41,'HARGA SATUAN'!$C$7:$C$1509,0),0)),0,OFFSET('HARGA SATUAN'!$I$6,MATCH('RAB Standart'!C41,'HARGA SATUAN'!$C$7:$C$1509,0),0))</f>
        <v>176900</v>
      </c>
      <c r="H41" s="283">
        <f t="shared" ca="1" si="12"/>
        <v>176900</v>
      </c>
      <c r="I41" s="283">
        <f t="shared" ca="1" si="13"/>
        <v>0</v>
      </c>
      <c r="J41" s="283">
        <f t="shared" ca="1" si="14"/>
        <v>0</v>
      </c>
      <c r="K41" s="284">
        <f t="shared" ca="1" si="15"/>
        <v>176900</v>
      </c>
      <c r="L41" s="288"/>
      <c r="M41" s="288"/>
      <c r="N41" s="288"/>
      <c r="O41" s="285"/>
      <c r="P41" s="285"/>
      <c r="Q41" s="266"/>
      <c r="R41" s="258"/>
      <c r="S41" s="286"/>
      <c r="T41" s="263"/>
      <c r="U41" s="263"/>
      <c r="V41" s="263"/>
    </row>
    <row r="42" spans="1:22" s="289" customFormat="1" ht="14.25" customHeight="1">
      <c r="A42" s="258"/>
      <c r="B42" s="293">
        <v>2</v>
      </c>
      <c r="C42" s="494" t="s">
        <v>30</v>
      </c>
      <c r="D42" s="280" t="str">
        <f ca="1">IF(ISERROR(OFFSET('HARGA SATUAN'!$D$6,MATCH('RAB Standart'!C42,'HARGA SATUAN'!$C$7:$C$1509,0),0)),"",OFFSET('HARGA SATUAN'!$D$6,MATCH('RAB Standart'!C42,'HARGA SATUAN'!$C$7:$C$1509,0),0))</f>
        <v>MDU-KD</v>
      </c>
      <c r="E42" s="281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290">
        <f>F40*2</f>
        <v>2</v>
      </c>
      <c r="G42" s="282">
        <f ca="1">IF(ISERROR(OFFSET('HARGA SATUAN'!$I$6,MATCH('RAB Standart'!C42,'HARGA SATUAN'!$C$7:$C$1509,0),0)),0,OFFSET('HARGA SATUAN'!$I$6,MATCH('RAB Standart'!C42,'HARGA SATUAN'!$C$7:$C$1509,0),0))</f>
        <v>235900</v>
      </c>
      <c r="H42" s="283">
        <f t="shared" ca="1" si="12"/>
        <v>471800</v>
      </c>
      <c r="I42" s="283">
        <f t="shared" ca="1" si="13"/>
        <v>0</v>
      </c>
      <c r="J42" s="283">
        <f t="shared" ca="1" si="14"/>
        <v>0</v>
      </c>
      <c r="K42" s="284">
        <f t="shared" ca="1" si="15"/>
        <v>471800</v>
      </c>
      <c r="L42" s="288"/>
      <c r="M42" s="288"/>
      <c r="N42" s="288"/>
      <c r="O42" s="285"/>
      <c r="P42" s="285"/>
      <c r="Q42" s="266"/>
      <c r="R42" s="258"/>
      <c r="S42" s="286"/>
      <c r="T42" s="263"/>
      <c r="U42" s="263"/>
      <c r="V42" s="263"/>
    </row>
    <row r="43" spans="1:22" s="289" customFormat="1" ht="14.25" customHeight="1">
      <c r="A43" s="258"/>
      <c r="B43" s="293">
        <v>3</v>
      </c>
      <c r="C43" s="494" t="s">
        <v>1575</v>
      </c>
      <c r="D43" s="280" t="str">
        <f ca="1">IF(ISERROR(OFFSET('HARGA SATUAN'!$D$6,MATCH('RAB Standart'!C43,'HARGA SATUAN'!$C$7:$C$1509,0),0)),"",OFFSET('HARGA SATUAN'!$D$6,MATCH('RAB Standart'!C43,'HARGA SATUAN'!$C$7:$C$1509,0),0))</f>
        <v>MDU-KD</v>
      </c>
      <c r="E43" s="281" t="str">
        <f ca="1">IF(B43="+","Unit",IF(ISERROR(OFFSET('HARGA SATUAN'!$E$6,MATCH('RAB Standart'!C43,'HARGA SATUAN'!$C$7:$C$1509,0),0)),"",OFFSET('HARGA SATUAN'!$E$6,MATCH('RAB Standart'!C43,'HARGA SATUAN'!$C$7:$C$1509,0),0)))</f>
        <v>Set</v>
      </c>
      <c r="F43" s="290">
        <f>F40*6</f>
        <v>6</v>
      </c>
      <c r="G43" s="282">
        <f ca="1">IF(ISERROR(OFFSET('HARGA SATUAN'!$I$6,MATCH('RAB Standart'!C43,'HARGA SATUAN'!$C$7:$C$1509,0),0)),0,OFFSET('HARGA SATUAN'!$I$6,MATCH('RAB Standart'!C43,'HARGA SATUAN'!$C$7:$C$1509,0),0))</f>
        <v>430000</v>
      </c>
      <c r="H43" s="283">
        <f t="shared" ca="1" si="12"/>
        <v>2580000</v>
      </c>
      <c r="I43" s="283">
        <f t="shared" ca="1" si="13"/>
        <v>0</v>
      </c>
      <c r="J43" s="283">
        <f t="shared" ca="1" si="14"/>
        <v>0</v>
      </c>
      <c r="K43" s="284">
        <f t="shared" ca="1" si="15"/>
        <v>2580000</v>
      </c>
      <c r="L43" s="288"/>
      <c r="M43" s="288"/>
      <c r="N43" s="288"/>
      <c r="O43" s="285"/>
      <c r="P43" s="285"/>
      <c r="Q43" s="266"/>
      <c r="R43" s="258"/>
      <c r="S43" s="286"/>
      <c r="T43" s="263"/>
      <c r="U43" s="263"/>
      <c r="V43" s="263"/>
    </row>
    <row r="44" spans="1:22" s="289" customFormat="1" ht="14.25" customHeight="1">
      <c r="A44" s="258"/>
      <c r="B44" s="293">
        <v>4</v>
      </c>
      <c r="C44" s="494" t="s">
        <v>145</v>
      </c>
      <c r="D44" s="280" t="str">
        <f ca="1">IF(ISERROR(OFFSET('HARGA SATUAN'!$D$6,MATCH('RAB Standart'!C44,'HARGA SATUAN'!$C$7:$C$1509,0),0)),"",OFFSET('HARGA SATUAN'!$D$6,MATCH('RAB Standart'!C44,'HARGA SATUAN'!$C$7:$C$1509,0),0))</f>
        <v>HDW</v>
      </c>
      <c r="E44" s="281" t="str">
        <f ca="1">IF(B44="+","Unit",IF(ISERROR(OFFSET('HARGA SATUAN'!$E$6,MATCH('RAB Standart'!C44,'HARGA SATUAN'!$C$7:$C$1509,0),0)),"",OFFSET('HARGA SATUAN'!$E$6,MATCH('RAB Standart'!C44,'HARGA SATUAN'!$C$7:$C$1509,0),0)))</f>
        <v>Mtr</v>
      </c>
      <c r="F44" s="290">
        <f>F40*2</f>
        <v>2</v>
      </c>
      <c r="G44" s="282">
        <f ca="1">IF(ISERROR(OFFSET('HARGA SATUAN'!$I$6,MATCH('RAB Standart'!C44,'HARGA SATUAN'!$C$7:$C$1509,0),0)),0,OFFSET('HARGA SATUAN'!$I$6,MATCH('RAB Standart'!C44,'HARGA SATUAN'!$C$7:$C$1509,0),0))</f>
        <v>7789</v>
      </c>
      <c r="H44" s="283">
        <f t="shared" ca="1" si="12"/>
        <v>0</v>
      </c>
      <c r="I44" s="283">
        <f t="shared" ca="1" si="13"/>
        <v>15578</v>
      </c>
      <c r="J44" s="283">
        <f t="shared" ca="1" si="14"/>
        <v>0</v>
      </c>
      <c r="K44" s="284">
        <f t="shared" ca="1" si="15"/>
        <v>15578</v>
      </c>
      <c r="L44" s="288"/>
      <c r="M44" s="288"/>
      <c r="N44" s="288"/>
      <c r="O44" s="285"/>
      <c r="P44" s="285"/>
      <c r="Q44" s="266"/>
      <c r="R44" s="258"/>
      <c r="S44" s="286"/>
      <c r="T44" s="263"/>
      <c r="U44" s="263"/>
      <c r="V44" s="263"/>
    </row>
    <row r="45" spans="1:22" s="289" customFormat="1" ht="14.25" customHeight="1">
      <c r="A45" s="258"/>
      <c r="B45" s="293">
        <v>5</v>
      </c>
      <c r="C45" s="494" t="s">
        <v>150</v>
      </c>
      <c r="D45" s="280" t="str">
        <f ca="1">IF(ISERROR(OFFSET('HARGA SATUAN'!$D$6,MATCH('RAB Standart'!C45,'HARGA SATUAN'!$C$7:$C$1509,0),0)),"",OFFSET('HARGA SATUAN'!$D$6,MATCH('RAB Standart'!C45,'HARGA SATUAN'!$C$7:$C$1509,0),0))</f>
        <v>HDW</v>
      </c>
      <c r="E45" s="281" t="str">
        <f ca="1">IF(B45="+","Unit",IF(ISERROR(OFFSET('HARGA SATUAN'!$E$6,MATCH('RAB Standart'!C45,'HARGA SATUAN'!$C$7:$C$1509,0),0)),"",OFFSET('HARGA SATUAN'!$E$6,MATCH('RAB Standart'!C45,'HARGA SATUAN'!$C$7:$C$1509,0),0)))</f>
        <v>Bh</v>
      </c>
      <c r="F45" s="290">
        <f>F40*2</f>
        <v>2</v>
      </c>
      <c r="G45" s="282">
        <f ca="1">IF(ISERROR(OFFSET('HARGA SATUAN'!$I$6,MATCH('RAB Standart'!C45,'HARGA SATUAN'!$C$7:$C$1509,0),0)),0,OFFSET('HARGA SATUAN'!$I$6,MATCH('RAB Standart'!C45,'HARGA SATUAN'!$C$7:$C$1509,0),0))</f>
        <v>40000</v>
      </c>
      <c r="H45" s="283">
        <f t="shared" ca="1" si="12"/>
        <v>0</v>
      </c>
      <c r="I45" s="283">
        <f t="shared" ca="1" si="13"/>
        <v>80000</v>
      </c>
      <c r="J45" s="283">
        <f t="shared" ca="1" si="14"/>
        <v>0</v>
      </c>
      <c r="K45" s="284">
        <f t="shared" ca="1" si="15"/>
        <v>80000</v>
      </c>
      <c r="L45" s="288"/>
      <c r="M45" s="288"/>
      <c r="N45" s="288"/>
      <c r="O45" s="285"/>
      <c r="P45" s="285"/>
      <c r="Q45" s="266"/>
      <c r="R45" s="258"/>
      <c r="S45" s="286"/>
      <c r="T45" s="263"/>
      <c r="U45" s="263"/>
      <c r="V45" s="263"/>
    </row>
    <row r="46" spans="1:22" s="289" customFormat="1" ht="14.25" customHeight="1">
      <c r="A46" s="258"/>
      <c r="B46" s="293">
        <v>6</v>
      </c>
      <c r="C46" s="494" t="s">
        <v>18</v>
      </c>
      <c r="D46" s="280" t="str">
        <f ca="1">IF(ISERROR(OFFSET('HARGA SATUAN'!$D$6,MATCH('RAB Standart'!C46,'HARGA SATUAN'!$C$7:$C$1509,0),0)),"",OFFSET('HARGA SATUAN'!$D$6,MATCH('RAB Standart'!C46,'HARGA SATUAN'!$C$7:$C$1509,0),0))</f>
        <v>HDW</v>
      </c>
      <c r="E46" s="281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290">
        <f>F40*3</f>
        <v>3</v>
      </c>
      <c r="G46" s="282">
        <f ca="1">IF(ISERROR(OFFSET('HARGA SATUAN'!$I$6,MATCH('RAB Standart'!C46,'HARGA SATUAN'!$C$7:$C$1509,0),0)),0,OFFSET('HARGA SATUAN'!$I$6,MATCH('RAB Standart'!C46,'HARGA SATUAN'!$C$7:$C$1509,0),0))</f>
        <v>26500</v>
      </c>
      <c r="H46" s="283">
        <f t="shared" ca="1" si="12"/>
        <v>0</v>
      </c>
      <c r="I46" s="283">
        <f t="shared" ca="1" si="13"/>
        <v>79500</v>
      </c>
      <c r="J46" s="283">
        <f t="shared" ca="1" si="14"/>
        <v>0</v>
      </c>
      <c r="K46" s="284">
        <f t="shared" ca="1" si="15"/>
        <v>79500</v>
      </c>
      <c r="L46" s="288"/>
      <c r="M46" s="288"/>
      <c r="N46" s="288"/>
      <c r="O46" s="285"/>
      <c r="P46" s="285"/>
      <c r="Q46" s="266"/>
      <c r="R46" s="258"/>
      <c r="S46" s="286"/>
      <c r="T46" s="263"/>
      <c r="U46" s="263"/>
      <c r="V46" s="263"/>
    </row>
    <row r="47" spans="1:22" s="289" customFormat="1" ht="14.25" customHeight="1">
      <c r="A47" s="258"/>
      <c r="B47" s="293">
        <v>7</v>
      </c>
      <c r="C47" s="494" t="s">
        <v>156</v>
      </c>
      <c r="D47" s="280" t="str">
        <f ca="1">IF(ISERROR(OFFSET('HARGA SATUAN'!$D$6,MATCH('RAB Standart'!C47,'HARGA SATUAN'!$C$7:$C$1509,0),0)),"",OFFSET('HARGA SATUAN'!$D$6,MATCH('RAB Standart'!C47,'HARGA SATUAN'!$C$7:$C$1509,0),0))</f>
        <v>HDW</v>
      </c>
      <c r="E47" s="281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290">
        <f>F40*4</f>
        <v>4</v>
      </c>
      <c r="G47" s="282">
        <f ca="1">IF(ISERROR(OFFSET('HARGA SATUAN'!$I$6,MATCH('RAB Standart'!C47,'HARGA SATUAN'!$C$7:$C$1509,0),0)),0,OFFSET('HARGA SATUAN'!$I$6,MATCH('RAB Standart'!C47,'HARGA SATUAN'!$C$7:$C$1509,0),0))</f>
        <v>7938</v>
      </c>
      <c r="H47" s="283">
        <f t="shared" ca="1" si="12"/>
        <v>0</v>
      </c>
      <c r="I47" s="283">
        <f t="shared" ca="1" si="13"/>
        <v>31752</v>
      </c>
      <c r="J47" s="283">
        <f t="shared" ca="1" si="14"/>
        <v>0</v>
      </c>
      <c r="K47" s="284">
        <f t="shared" ca="1" si="15"/>
        <v>31752</v>
      </c>
      <c r="L47" s="288"/>
      <c r="M47" s="288"/>
      <c r="N47" s="288"/>
      <c r="O47" s="285"/>
      <c r="P47" s="285"/>
      <c r="Q47" s="266"/>
      <c r="R47" s="258"/>
      <c r="S47" s="286"/>
      <c r="T47" s="263"/>
      <c r="U47" s="263"/>
      <c r="V47" s="263"/>
    </row>
    <row r="48" spans="1:22" s="289" customFormat="1" ht="14.25" customHeight="1">
      <c r="A48" s="258"/>
      <c r="B48" s="293">
        <v>8</v>
      </c>
      <c r="C48" s="494" t="s">
        <v>166</v>
      </c>
      <c r="D48" s="280" t="str">
        <f ca="1">IF(ISERROR(OFFSET('HARGA SATUAN'!$D$6,MATCH('RAB Standart'!C48,'HARGA SATUAN'!$C$7:$C$1509,0),0)),"",OFFSET('HARGA SATUAN'!$D$6,MATCH('RAB Standart'!C48,'HARGA SATUAN'!$C$7:$C$1509,0),0))</f>
        <v>HDW</v>
      </c>
      <c r="E48" s="281" t="str">
        <f ca="1">IF(B48="+","Unit",IF(ISERROR(OFFSET('HARGA SATUAN'!$E$6,MATCH('RAB Standart'!C48,'HARGA SATUAN'!$C$7:$C$1509,0),0)),"",OFFSET('HARGA SATUAN'!$E$6,MATCH('RAB Standart'!C48,'HARGA SATUAN'!$C$7:$C$1509,0),0)))</f>
        <v>Bh</v>
      </c>
      <c r="F48" s="290">
        <f>F40*4</f>
        <v>4</v>
      </c>
      <c r="G48" s="282">
        <f ca="1">IF(ISERROR(OFFSET('HARGA SATUAN'!$I$6,MATCH('RAB Standart'!C48,'HARGA SATUAN'!$C$7:$C$1509,0),0)),0,OFFSET('HARGA SATUAN'!$I$6,MATCH('RAB Standart'!C48,'HARGA SATUAN'!$C$7:$C$1509,0),0))</f>
        <v>45000</v>
      </c>
      <c r="H48" s="283">
        <f t="shared" ca="1" si="12"/>
        <v>0</v>
      </c>
      <c r="I48" s="283">
        <f t="shared" ca="1" si="13"/>
        <v>180000</v>
      </c>
      <c r="J48" s="283">
        <f t="shared" ca="1" si="14"/>
        <v>0</v>
      </c>
      <c r="K48" s="284">
        <f t="shared" ca="1" si="15"/>
        <v>180000</v>
      </c>
      <c r="L48" s="288"/>
      <c r="M48" s="288"/>
      <c r="N48" s="288"/>
      <c r="O48" s="285"/>
      <c r="P48" s="285"/>
      <c r="Q48" s="266"/>
      <c r="R48" s="258"/>
      <c r="S48" s="286"/>
      <c r="T48" s="263"/>
      <c r="U48" s="263"/>
      <c r="V48" s="263"/>
    </row>
    <row r="49" spans="1:22" s="289" customFormat="1" ht="14.25" customHeight="1">
      <c r="A49" s="258"/>
      <c r="B49" s="293">
        <v>9</v>
      </c>
      <c r="C49" s="494" t="s">
        <v>171</v>
      </c>
      <c r="D49" s="280" t="str">
        <f ca="1">IF(ISERROR(OFFSET('HARGA SATUAN'!$D$6,MATCH('RAB Standart'!C49,'HARGA SATUAN'!$C$7:$C$1509,0),0)),"",OFFSET('HARGA SATUAN'!$D$6,MATCH('RAB Standart'!C49,'HARGA SATUAN'!$C$7:$C$1509,0),0))</f>
        <v>HDW</v>
      </c>
      <c r="E49" s="281" t="str">
        <f ca="1">IF(B49="+","Unit",IF(ISERROR(OFFSET('HARGA SATUAN'!$E$6,MATCH('RAB Standart'!C49,'HARGA SATUAN'!$C$7:$C$1509,0),0)),"",OFFSET('HARGA SATUAN'!$E$6,MATCH('RAB Standart'!C49,'HARGA SATUAN'!$C$7:$C$1509,0),0)))</f>
        <v>Bh</v>
      </c>
      <c r="F49" s="290">
        <f>F40*1</f>
        <v>1</v>
      </c>
      <c r="G49" s="282">
        <f ca="1">IF(ISERROR(OFFSET('HARGA SATUAN'!$I$6,MATCH('RAB Standart'!C49,'HARGA SATUAN'!$C$7:$C$1509,0),0)),0,OFFSET('HARGA SATUAN'!$I$6,MATCH('RAB Standart'!C49,'HARGA SATUAN'!$C$7:$C$1509,0),0))</f>
        <v>95000</v>
      </c>
      <c r="H49" s="283">
        <f t="shared" ca="1" si="12"/>
        <v>0</v>
      </c>
      <c r="I49" s="283">
        <f t="shared" ca="1" si="13"/>
        <v>95000</v>
      </c>
      <c r="J49" s="283">
        <f t="shared" ca="1" si="14"/>
        <v>0</v>
      </c>
      <c r="K49" s="284">
        <f t="shared" ca="1" si="15"/>
        <v>95000</v>
      </c>
      <c r="L49" s="288"/>
      <c r="M49" s="288"/>
      <c r="N49" s="288"/>
      <c r="O49" s="285"/>
      <c r="P49" s="285"/>
      <c r="Q49" s="266"/>
      <c r="R49" s="258"/>
      <c r="S49" s="286"/>
      <c r="T49" s="263"/>
      <c r="U49" s="263"/>
      <c r="V49" s="263"/>
    </row>
    <row r="50" spans="1:22" s="289" customFormat="1" ht="14.25" customHeight="1">
      <c r="A50" s="258"/>
      <c r="B50" s="293">
        <v>10</v>
      </c>
      <c r="C50" s="494" t="s">
        <v>172</v>
      </c>
      <c r="D50" s="280" t="str">
        <f ca="1">IF(ISERROR(OFFSET('HARGA SATUAN'!$D$6,MATCH('RAB Standart'!C50,'HARGA SATUAN'!$C$7:$C$1509,0),0)),"",OFFSET('HARGA SATUAN'!$D$6,MATCH('RAB Standart'!C50,'HARGA SATUAN'!$C$7:$C$1509,0),0))</f>
        <v>HDW</v>
      </c>
      <c r="E50" s="281" t="str">
        <f ca="1">IF(B50="+","Unit",IF(ISERROR(OFFSET('HARGA SATUAN'!$E$6,MATCH('RAB Standart'!C50,'HARGA SATUAN'!$C$7:$C$1509,0),0)),"",OFFSET('HARGA SATUAN'!$E$6,MATCH('RAB Standart'!C50,'HARGA SATUAN'!$C$7:$C$1509,0),0)))</f>
        <v>Bh</v>
      </c>
      <c r="F50" s="290">
        <f>F40*2</f>
        <v>2</v>
      </c>
      <c r="G50" s="282">
        <f ca="1">IF(ISERROR(OFFSET('HARGA SATUAN'!$I$6,MATCH('RAB Standart'!C50,'HARGA SATUAN'!$C$7:$C$1509,0),0)),0,OFFSET('HARGA SATUAN'!$I$6,MATCH('RAB Standart'!C50,'HARGA SATUAN'!$C$7:$C$1509,0),0))</f>
        <v>15500</v>
      </c>
      <c r="H50" s="283">
        <f t="shared" ca="1" si="12"/>
        <v>0</v>
      </c>
      <c r="I50" s="283">
        <f t="shared" ca="1" si="13"/>
        <v>31000</v>
      </c>
      <c r="J50" s="283">
        <f t="shared" ca="1" si="14"/>
        <v>0</v>
      </c>
      <c r="K50" s="284">
        <f t="shared" ca="1" si="15"/>
        <v>31000</v>
      </c>
      <c r="L50" s="288"/>
      <c r="M50" s="288"/>
      <c r="N50" s="288"/>
      <c r="O50" s="285"/>
      <c r="P50" s="285"/>
      <c r="Q50" s="266"/>
      <c r="R50" s="258"/>
      <c r="S50" s="286"/>
      <c r="T50" s="263"/>
      <c r="U50" s="263"/>
      <c r="V50" s="263"/>
    </row>
    <row r="51" spans="1:22" s="289" customFormat="1" ht="14.25" customHeight="1">
      <c r="A51" s="258"/>
      <c r="B51" s="293">
        <v>11</v>
      </c>
      <c r="C51" s="494" t="s">
        <v>174</v>
      </c>
      <c r="D51" s="280" t="str">
        <f ca="1">IF(ISERROR(OFFSET('HARGA SATUAN'!$D$6,MATCH('RAB Standart'!C51,'HARGA SATUAN'!$C$7:$C$1509,0),0)),"",OFFSET('HARGA SATUAN'!$D$6,MATCH('RAB Standart'!C51,'HARGA SATUAN'!$C$7:$C$1509,0),0))</f>
        <v>HDW</v>
      </c>
      <c r="E51" s="281" t="str">
        <f ca="1">IF(B51="+","Unit",IF(ISERROR(OFFSET('HARGA SATUAN'!$E$6,MATCH('RAB Standart'!C51,'HARGA SATUAN'!$C$7:$C$1509,0),0)),"",OFFSET('HARGA SATUAN'!$E$6,MATCH('RAB Standart'!C51,'HARGA SATUAN'!$C$7:$C$1509,0),0)))</f>
        <v>Bh</v>
      </c>
      <c r="F51" s="290">
        <f>F40*4</f>
        <v>4</v>
      </c>
      <c r="G51" s="282">
        <f ca="1">IF(ISERROR(OFFSET('HARGA SATUAN'!$I$6,MATCH('RAB Standart'!C51,'HARGA SATUAN'!$C$7:$C$1509,0),0)),0,OFFSET('HARGA SATUAN'!$I$6,MATCH('RAB Standart'!C51,'HARGA SATUAN'!$C$7:$C$1509,0),0))</f>
        <v>28100</v>
      </c>
      <c r="H51" s="283">
        <f t="shared" ca="1" si="12"/>
        <v>0</v>
      </c>
      <c r="I51" s="283">
        <f t="shared" ca="1" si="13"/>
        <v>112400</v>
      </c>
      <c r="J51" s="283">
        <f t="shared" ca="1" si="14"/>
        <v>0</v>
      </c>
      <c r="K51" s="284">
        <f t="shared" ca="1" si="15"/>
        <v>112400</v>
      </c>
      <c r="L51" s="288"/>
      <c r="M51" s="288"/>
      <c r="N51" s="288"/>
      <c r="O51" s="285"/>
      <c r="P51" s="285"/>
      <c r="Q51" s="266"/>
      <c r="R51" s="258"/>
      <c r="S51" s="286"/>
      <c r="T51" s="263"/>
      <c r="U51" s="263"/>
      <c r="V51" s="263"/>
    </row>
    <row r="52" spans="1:22" s="289" customFormat="1" ht="14.25" customHeight="1">
      <c r="A52" s="258"/>
      <c r="B52" s="293">
        <v>12</v>
      </c>
      <c r="C52" s="494" t="s">
        <v>587</v>
      </c>
      <c r="D52" s="280" t="str">
        <f ca="1">IF(ISERROR(OFFSET('HARGA SATUAN'!$D$6,MATCH('RAB Standart'!C52,'HARGA SATUAN'!$C$7:$C$1509,0),0)),"",OFFSET('HARGA SATUAN'!$D$6,MATCH('RAB Standart'!C52,'HARGA SATUAN'!$C$7:$C$1509,0),0))</f>
        <v>HDW</v>
      </c>
      <c r="E52" s="281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90">
        <f>F40*2</f>
        <v>2</v>
      </c>
      <c r="G52" s="282">
        <f ca="1">IF(ISERROR(OFFSET('HARGA SATUAN'!$I$6,MATCH('RAB Standart'!C52,'HARGA SATUAN'!$C$7:$C$1509,0),0)),0,OFFSET('HARGA SATUAN'!$I$6,MATCH('RAB Standart'!C52,'HARGA SATUAN'!$C$7:$C$1509,0),0))</f>
        <v>380500</v>
      </c>
      <c r="H52" s="283">
        <f t="shared" ca="1" si="12"/>
        <v>0</v>
      </c>
      <c r="I52" s="283">
        <f t="shared" ca="1" si="13"/>
        <v>761000</v>
      </c>
      <c r="J52" s="283">
        <f t="shared" ca="1" si="14"/>
        <v>0</v>
      </c>
      <c r="K52" s="284">
        <f t="shared" ca="1" si="15"/>
        <v>761000</v>
      </c>
      <c r="L52" s="288"/>
      <c r="M52" s="288"/>
      <c r="N52" s="288"/>
      <c r="O52" s="285"/>
      <c r="P52" s="285"/>
      <c r="Q52" s="266"/>
      <c r="R52" s="258"/>
      <c r="S52" s="286"/>
      <c r="T52" s="263"/>
      <c r="U52" s="263"/>
      <c r="V52" s="263"/>
    </row>
    <row r="53" spans="1:22" s="289" customFormat="1" ht="14.25" customHeight="1">
      <c r="A53" s="258"/>
      <c r="B53" s="293">
        <v>13</v>
      </c>
      <c r="C53" s="494" t="s">
        <v>210</v>
      </c>
      <c r="D53" s="280" t="str">
        <f ca="1">IF(ISERROR(OFFSET('HARGA SATUAN'!$D$6,MATCH('RAB Standart'!C53,'HARGA SATUAN'!$C$7:$C$1509,0),0)),"",OFFSET('HARGA SATUAN'!$D$6,MATCH('RAB Standart'!C53,'HARGA SATUAN'!$C$7:$C$1509,0),0))</f>
        <v>HDW</v>
      </c>
      <c r="E53" s="281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290">
        <f>F40*3</f>
        <v>3</v>
      </c>
      <c r="G53" s="282">
        <f ca="1">IF(ISERROR(OFFSET('HARGA SATUAN'!$I$6,MATCH('RAB Standart'!C53,'HARGA SATUAN'!$C$7:$C$1509,0),0)),0,OFFSET('HARGA SATUAN'!$I$6,MATCH('RAB Standart'!C53,'HARGA SATUAN'!$C$7:$C$1509,0),0))</f>
        <v>11400</v>
      </c>
      <c r="H53" s="283">
        <f t="shared" ca="1" si="12"/>
        <v>0</v>
      </c>
      <c r="I53" s="283">
        <f t="shared" ca="1" si="13"/>
        <v>34200</v>
      </c>
      <c r="J53" s="283">
        <f t="shared" ca="1" si="14"/>
        <v>0</v>
      </c>
      <c r="K53" s="284">
        <f t="shared" ca="1" si="15"/>
        <v>34200</v>
      </c>
      <c r="L53" s="288"/>
      <c r="M53" s="288"/>
      <c r="N53" s="288"/>
      <c r="O53" s="285"/>
      <c r="P53" s="285"/>
      <c r="Q53" s="266"/>
      <c r="R53" s="258"/>
      <c r="S53" s="286"/>
      <c r="T53" s="263"/>
      <c r="U53" s="263"/>
      <c r="V53" s="263"/>
    </row>
    <row r="54" spans="1:22" s="289" customFormat="1" ht="14.25" customHeight="1">
      <c r="A54" s="258"/>
      <c r="B54" s="293">
        <v>14</v>
      </c>
      <c r="C54" s="494" t="s">
        <v>211</v>
      </c>
      <c r="D54" s="280" t="str">
        <f ca="1">IF(ISERROR(OFFSET('HARGA SATUAN'!$D$6,MATCH('RAB Standart'!C54,'HARGA SATUAN'!$C$7:$C$1509,0),0)),"",OFFSET('HARGA SATUAN'!$D$6,MATCH('RAB Standart'!C54,'HARGA SATUAN'!$C$7:$C$1509,0),0))</f>
        <v>HDW</v>
      </c>
      <c r="E54" s="281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290">
        <f>F40*4</f>
        <v>4</v>
      </c>
      <c r="G54" s="282">
        <f ca="1">IF(ISERROR(OFFSET('HARGA SATUAN'!$I$6,MATCH('RAB Standart'!C54,'HARGA SATUAN'!$C$7:$C$1509,0),0)),0,OFFSET('HARGA SATUAN'!$I$6,MATCH('RAB Standart'!C54,'HARGA SATUAN'!$C$7:$C$1509,0),0))</f>
        <v>29600</v>
      </c>
      <c r="H54" s="283">
        <f t="shared" ca="1" si="12"/>
        <v>0</v>
      </c>
      <c r="I54" s="283">
        <f t="shared" ca="1" si="13"/>
        <v>118400</v>
      </c>
      <c r="J54" s="283">
        <f t="shared" ca="1" si="14"/>
        <v>0</v>
      </c>
      <c r="K54" s="284">
        <f t="shared" ca="1" si="15"/>
        <v>118400</v>
      </c>
      <c r="L54" s="288"/>
      <c r="M54" s="288"/>
      <c r="N54" s="288"/>
      <c r="O54" s="285"/>
      <c r="P54" s="285"/>
      <c r="Q54" s="266"/>
      <c r="R54" s="258"/>
      <c r="S54" s="286"/>
      <c r="T54" s="263"/>
      <c r="U54" s="263"/>
      <c r="V54" s="263"/>
    </row>
    <row r="55" spans="1:22" s="289" customFormat="1" ht="14.25" customHeight="1">
      <c r="A55" s="258"/>
      <c r="B55" s="293">
        <v>15</v>
      </c>
      <c r="C55" s="494" t="s">
        <v>216</v>
      </c>
      <c r="D55" s="280" t="str">
        <f ca="1">IF(ISERROR(OFFSET('HARGA SATUAN'!$D$6,MATCH('RAB Standart'!C55,'HARGA SATUAN'!$C$7:$C$1509,0),0)),"",OFFSET('HARGA SATUAN'!$D$6,MATCH('RAB Standart'!C55,'HARGA SATUAN'!$C$7:$C$1509,0),0))</f>
        <v>HDW</v>
      </c>
      <c r="E55" s="281" t="str">
        <f ca="1">IF(B55="+","Unit",IF(ISERROR(OFFSET('HARGA SATUAN'!$E$6,MATCH('RAB Standart'!C55,'HARGA SATUAN'!$C$7:$C$1509,0),0)),"",OFFSET('HARGA SATUAN'!$E$6,MATCH('RAB Standart'!C55,'HARGA SATUAN'!$C$7:$C$1509,0),0)))</f>
        <v>Bh</v>
      </c>
      <c r="F55" s="290">
        <f>F40*3</f>
        <v>3</v>
      </c>
      <c r="G55" s="282">
        <f ca="1">IF(ISERROR(OFFSET('HARGA SATUAN'!$I$6,MATCH('RAB Standart'!C55,'HARGA SATUAN'!$C$7:$C$1509,0),0)),0,OFFSET('HARGA SATUAN'!$I$6,MATCH('RAB Standart'!C55,'HARGA SATUAN'!$C$7:$C$1509,0),0))</f>
        <v>27815</v>
      </c>
      <c r="H55" s="283">
        <f t="shared" ca="1" si="12"/>
        <v>0</v>
      </c>
      <c r="I55" s="283">
        <f t="shared" ca="1" si="13"/>
        <v>83445</v>
      </c>
      <c r="J55" s="283">
        <f t="shared" ca="1" si="14"/>
        <v>0</v>
      </c>
      <c r="K55" s="284">
        <f t="shared" ca="1" si="15"/>
        <v>83445</v>
      </c>
      <c r="L55" s="288"/>
      <c r="M55" s="288"/>
      <c r="N55" s="288"/>
      <c r="O55" s="285"/>
      <c r="P55" s="285"/>
      <c r="Q55" s="266"/>
      <c r="R55" s="258"/>
      <c r="S55" s="286"/>
      <c r="T55" s="263"/>
      <c r="U55" s="263"/>
      <c r="V55" s="263"/>
    </row>
    <row r="56" spans="1:22" s="289" customFormat="1" ht="14.25" customHeight="1">
      <c r="A56" s="258"/>
      <c r="B56" s="293">
        <v>16</v>
      </c>
      <c r="C56" s="494" t="s">
        <v>15</v>
      </c>
      <c r="D56" s="280" t="str">
        <f ca="1">IF(ISERROR(OFFSET('HARGA SATUAN'!$D$6,MATCH('RAB Standart'!C56,'HARGA SATUAN'!$C$7:$C$1509,0),0)),"",OFFSET('HARGA SATUAN'!$D$6,MATCH('RAB Standart'!C56,'HARGA SATUAN'!$C$7:$C$1509,0),0))</f>
        <v>HDW</v>
      </c>
      <c r="E56" s="281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290">
        <f>F40*9</f>
        <v>9</v>
      </c>
      <c r="G56" s="282">
        <f ca="1">IF(ISERROR(OFFSET('HARGA SATUAN'!$I$6,MATCH('RAB Standart'!C56,'HARGA SATUAN'!$C$7:$C$1509,0),0)),0,OFFSET('HARGA SATUAN'!$I$6,MATCH('RAB Standart'!C56,'HARGA SATUAN'!$C$7:$C$1509,0),0))</f>
        <v>23936</v>
      </c>
      <c r="H56" s="283">
        <f t="shared" ca="1" si="12"/>
        <v>0</v>
      </c>
      <c r="I56" s="283">
        <f t="shared" ca="1" si="13"/>
        <v>215424</v>
      </c>
      <c r="J56" s="283">
        <f t="shared" ca="1" si="14"/>
        <v>0</v>
      </c>
      <c r="K56" s="284">
        <f t="shared" ca="1" si="15"/>
        <v>215424</v>
      </c>
      <c r="L56" s="288"/>
      <c r="M56" s="288"/>
      <c r="N56" s="288"/>
      <c r="O56" s="285"/>
      <c r="P56" s="285"/>
      <c r="Q56" s="266"/>
      <c r="R56" s="258"/>
      <c r="S56" s="286"/>
      <c r="T56" s="263"/>
      <c r="U56" s="263"/>
      <c r="V56" s="263"/>
    </row>
    <row r="57" spans="1:22" s="289" customFormat="1" ht="14.25" customHeight="1">
      <c r="A57" s="258"/>
      <c r="B57" s="293">
        <v>17</v>
      </c>
      <c r="C57" s="494" t="s">
        <v>28</v>
      </c>
      <c r="D57" s="280" t="str">
        <f ca="1">IF(ISERROR(OFFSET('HARGA SATUAN'!$D$6,MATCH('RAB Standart'!C57,'HARGA SATUAN'!$C$7:$C$1509,0),0)),"",OFFSET('HARGA SATUAN'!$D$6,MATCH('RAB Standart'!C57,'HARGA SATUAN'!$C$7:$C$1509,0),0))</f>
        <v>HDW</v>
      </c>
      <c r="E57" s="281" t="str">
        <f ca="1">IF(B57="+","Unit",IF(ISERROR(OFFSET('HARGA SATUAN'!$E$6,MATCH('RAB Standart'!C57,'HARGA SATUAN'!$C$7:$C$1509,0),0)),"",OFFSET('HARGA SATUAN'!$E$6,MATCH('RAB Standart'!C57,'HARGA SATUAN'!$C$7:$C$1509,0),0)))</f>
        <v>Bh</v>
      </c>
      <c r="F57" s="290">
        <f>F40*1</f>
        <v>1</v>
      </c>
      <c r="G57" s="282">
        <f ca="1">IF(ISERROR(OFFSET('HARGA SATUAN'!$I$6,MATCH('RAB Standart'!C57,'HARGA SATUAN'!$C$7:$C$1509,0),0)),0,OFFSET('HARGA SATUAN'!$I$6,MATCH('RAB Standart'!C57,'HARGA SATUAN'!$C$7:$C$1509,0),0))</f>
        <v>63500</v>
      </c>
      <c r="H57" s="283">
        <f t="shared" ca="1" si="12"/>
        <v>0</v>
      </c>
      <c r="I57" s="283">
        <f t="shared" ca="1" si="13"/>
        <v>63500</v>
      </c>
      <c r="J57" s="283">
        <f t="shared" ca="1" si="14"/>
        <v>0</v>
      </c>
      <c r="K57" s="284">
        <f t="shared" ca="1" si="15"/>
        <v>63500</v>
      </c>
      <c r="L57" s="288"/>
      <c r="M57" s="288"/>
      <c r="N57" s="288"/>
      <c r="O57" s="285"/>
      <c r="P57" s="285"/>
      <c r="Q57" s="266"/>
      <c r="R57" s="258"/>
      <c r="S57" s="286"/>
      <c r="T57" s="263"/>
      <c r="U57" s="263"/>
      <c r="V57" s="263"/>
    </row>
    <row r="58" spans="1:22" s="289" customFormat="1" ht="14.25" customHeight="1">
      <c r="A58" s="258"/>
      <c r="B58" s="293">
        <v>18</v>
      </c>
      <c r="C58" s="494" t="s">
        <v>17</v>
      </c>
      <c r="D58" s="280" t="str">
        <f ca="1">IF(ISERROR(OFFSET('HARGA SATUAN'!$D$6,MATCH('RAB Standart'!C58,'HARGA SATUAN'!$C$7:$C$1509,0),0)),"",OFFSET('HARGA SATUAN'!$D$6,MATCH('RAB Standart'!C58,'HARGA SATUAN'!$C$7:$C$1509,0),0))</f>
        <v>HDW</v>
      </c>
      <c r="E58" s="281" t="str">
        <f ca="1">IF(B58="+","Unit",IF(ISERROR(OFFSET('HARGA SATUAN'!$E$6,MATCH('RAB Standart'!C58,'HARGA SATUAN'!$C$7:$C$1509,0),0)),"",OFFSET('HARGA SATUAN'!$E$6,MATCH('RAB Standart'!C58,'HARGA SATUAN'!$C$7:$C$1509,0),0)))</f>
        <v>Bh</v>
      </c>
      <c r="F58" s="290">
        <f>F40*8</f>
        <v>8</v>
      </c>
      <c r="G58" s="282">
        <f ca="1">IF(ISERROR(OFFSET('HARGA SATUAN'!$I$6,MATCH('RAB Standart'!C58,'HARGA SATUAN'!$C$7:$C$1509,0),0)),0,OFFSET('HARGA SATUAN'!$I$6,MATCH('RAB Standart'!C58,'HARGA SATUAN'!$C$7:$C$1509,0),0))</f>
        <v>16000</v>
      </c>
      <c r="H58" s="283">
        <f t="shared" ca="1" si="12"/>
        <v>0</v>
      </c>
      <c r="I58" s="283">
        <f t="shared" ca="1" si="13"/>
        <v>128000</v>
      </c>
      <c r="J58" s="283">
        <f t="shared" ca="1" si="14"/>
        <v>0</v>
      </c>
      <c r="K58" s="284">
        <f t="shared" ca="1" si="15"/>
        <v>128000</v>
      </c>
      <c r="L58" s="288"/>
      <c r="M58" s="288"/>
      <c r="N58" s="288"/>
      <c r="O58" s="285"/>
      <c r="P58" s="285"/>
      <c r="Q58" s="266"/>
      <c r="R58" s="258"/>
      <c r="S58" s="286"/>
      <c r="T58" s="263"/>
      <c r="U58" s="263"/>
      <c r="V58" s="263"/>
    </row>
    <row r="59" spans="1:22" s="289" customFormat="1" ht="14.25" customHeight="1">
      <c r="A59" s="258"/>
      <c r="B59" s="293">
        <v>19</v>
      </c>
      <c r="C59" s="494" t="s">
        <v>258</v>
      </c>
      <c r="D59" s="280" t="str">
        <f ca="1">IF(ISERROR(OFFSET('HARGA SATUAN'!$D$6,MATCH('RAB Standart'!C59,'HARGA SATUAN'!$C$7:$C$1509,0),0)),"",OFFSET('HARGA SATUAN'!$D$6,MATCH('RAB Standart'!C59,'HARGA SATUAN'!$C$7:$C$1509,0),0))</f>
        <v>HDW</v>
      </c>
      <c r="E59" s="281" t="str">
        <f ca="1">IF(B59="+","Unit",IF(ISERROR(OFFSET('HARGA SATUAN'!$E$6,MATCH('RAB Standart'!C59,'HARGA SATUAN'!$C$7:$C$1509,0),0)),"",OFFSET('HARGA SATUAN'!$E$6,MATCH('RAB Standart'!C59,'HARGA SATUAN'!$C$7:$C$1509,0),0)))</f>
        <v>Bh</v>
      </c>
      <c r="F59" s="290">
        <f>F40*2</f>
        <v>2</v>
      </c>
      <c r="G59" s="282">
        <f ca="1">IF(ISERROR(OFFSET('HARGA SATUAN'!$I$6,MATCH('RAB Standart'!C59,'HARGA SATUAN'!$C$7:$C$1509,0),0)),0,OFFSET('HARGA SATUAN'!$I$6,MATCH('RAB Standart'!C59,'HARGA SATUAN'!$C$7:$C$1509,0),0))</f>
        <v>33501.866666666669</v>
      </c>
      <c r="H59" s="283">
        <f t="shared" ca="1" si="12"/>
        <v>0</v>
      </c>
      <c r="I59" s="283">
        <f t="shared" ca="1" si="13"/>
        <v>67003.733333333337</v>
      </c>
      <c r="J59" s="283">
        <f t="shared" ca="1" si="14"/>
        <v>0</v>
      </c>
      <c r="K59" s="284">
        <f t="shared" ca="1" si="15"/>
        <v>67003.733333333337</v>
      </c>
      <c r="L59" s="288"/>
      <c r="M59" s="288"/>
      <c r="N59" s="288"/>
      <c r="O59" s="285"/>
      <c r="P59" s="285"/>
      <c r="Q59" s="266"/>
      <c r="R59" s="258"/>
      <c r="S59" s="286"/>
      <c r="T59" s="263"/>
      <c r="U59" s="263"/>
      <c r="V59" s="263"/>
    </row>
    <row r="60" spans="1:22" s="289" customFormat="1" ht="14.25" customHeight="1">
      <c r="A60" s="258"/>
      <c r="B60" s="293">
        <v>20</v>
      </c>
      <c r="C60" s="494" t="s">
        <v>29</v>
      </c>
      <c r="D60" s="280" t="str">
        <f ca="1">IF(ISERROR(OFFSET('HARGA SATUAN'!$D$6,MATCH('RAB Standart'!C60,'HARGA SATUAN'!$C$7:$C$1509,0),0)),"",OFFSET('HARGA SATUAN'!$D$6,MATCH('RAB Standart'!C60,'HARGA SATUAN'!$C$7:$C$1509,0),0))</f>
        <v>HDW</v>
      </c>
      <c r="E60" s="281" t="str">
        <f ca="1">IF(B60="+","Unit",IF(ISERROR(OFFSET('HARGA SATUAN'!$E$6,MATCH('RAB Standart'!C60,'HARGA SATUAN'!$C$7:$C$1509,0),0)),"",OFFSET('HARGA SATUAN'!$E$6,MATCH('RAB Standart'!C60,'HARGA SATUAN'!$C$7:$C$1509,0),0)))</f>
        <v>Mtr</v>
      </c>
      <c r="F60" s="290">
        <f>5.4*F40</f>
        <v>5.4</v>
      </c>
      <c r="G60" s="282">
        <f ca="1">IF(ISERROR(OFFSET('HARGA SATUAN'!$I$6,MATCH('RAB Standart'!C60,'HARGA SATUAN'!$C$7:$C$1509,0),0)),0,OFFSET('HARGA SATUAN'!$I$6,MATCH('RAB Standart'!C60,'HARGA SATUAN'!$C$7:$C$1509,0),0))</f>
        <v>8550</v>
      </c>
      <c r="H60" s="283">
        <f t="shared" ca="1" si="12"/>
        <v>0</v>
      </c>
      <c r="I60" s="283">
        <f t="shared" ca="1" si="13"/>
        <v>46170</v>
      </c>
      <c r="J60" s="283">
        <f t="shared" ca="1" si="14"/>
        <v>0</v>
      </c>
      <c r="K60" s="284">
        <f t="shared" ca="1" si="15"/>
        <v>46170</v>
      </c>
      <c r="L60" s="288"/>
      <c r="M60" s="288"/>
      <c r="N60" s="288"/>
      <c r="O60" s="285"/>
      <c r="P60" s="285"/>
      <c r="Q60" s="266"/>
      <c r="R60" s="258"/>
      <c r="S60" s="286"/>
      <c r="T60" s="263"/>
      <c r="U60" s="263"/>
      <c r="V60" s="263"/>
    </row>
    <row r="61" spans="1:22" s="289" customFormat="1" ht="14.25" customHeight="1">
      <c r="A61" s="258"/>
      <c r="B61" s="293">
        <v>21</v>
      </c>
      <c r="C61" s="494" t="s">
        <v>16</v>
      </c>
      <c r="D61" s="280" t="str">
        <f ca="1">IF(ISERROR(OFFSET('HARGA SATUAN'!$D$6,MATCH('RAB Standart'!C61,'HARGA SATUAN'!$C$7:$C$1509,0),0)),"",OFFSET('HARGA SATUAN'!$D$6,MATCH('RAB Standart'!C61,'HARGA SATUAN'!$C$7:$C$1509,0),0))</f>
        <v>HDW</v>
      </c>
      <c r="E61" s="281" t="str">
        <f ca="1">IF(B61="+","Unit",IF(ISERROR(OFFSET('HARGA SATUAN'!$E$6,MATCH('RAB Standart'!C61,'HARGA SATUAN'!$C$7:$C$1509,0),0)),"",OFFSET('HARGA SATUAN'!$E$6,MATCH('RAB Standart'!C61,'HARGA SATUAN'!$C$7:$C$1509,0),0)))</f>
        <v>Bh</v>
      </c>
      <c r="F61" s="290">
        <f>F40*13</f>
        <v>13</v>
      </c>
      <c r="G61" s="282">
        <f ca="1">IF(ISERROR(OFFSET('HARGA SATUAN'!$I$6,MATCH('RAB Standart'!C61,'HARGA SATUAN'!$C$7:$C$1509,0),0)),0,OFFSET('HARGA SATUAN'!$I$6,MATCH('RAB Standart'!C61,'HARGA SATUAN'!$C$7:$C$1509,0),0))</f>
        <v>2500</v>
      </c>
      <c r="H61" s="283">
        <f t="shared" ca="1" si="12"/>
        <v>0</v>
      </c>
      <c r="I61" s="283">
        <f t="shared" ca="1" si="13"/>
        <v>32500</v>
      </c>
      <c r="J61" s="283">
        <f t="shared" ca="1" si="14"/>
        <v>0</v>
      </c>
      <c r="K61" s="284">
        <f t="shared" ca="1" si="15"/>
        <v>32500</v>
      </c>
      <c r="L61" s="288"/>
      <c r="M61" s="288"/>
      <c r="N61" s="288"/>
      <c r="O61" s="285"/>
      <c r="P61" s="285"/>
      <c r="Q61" s="266"/>
      <c r="R61" s="258"/>
      <c r="S61" s="286"/>
      <c r="T61" s="263"/>
      <c r="U61" s="263"/>
      <c r="V61" s="263"/>
    </row>
    <row r="62" spans="1:22" s="289" customFormat="1" ht="14.25" customHeight="1">
      <c r="A62" s="258"/>
      <c r="B62" s="293">
        <v>22</v>
      </c>
      <c r="C62" s="494" t="s">
        <v>702</v>
      </c>
      <c r="D62" s="280" t="str">
        <f ca="1">IF(ISERROR(OFFSET('HARGA SATUAN'!$D$6,MATCH('RAB Standart'!C62,'HARGA SATUAN'!$C$7:$C$1509,0),0)),"",OFFSET('HARGA SATUAN'!$D$6,MATCH('RAB Standart'!C62,'HARGA SATUAN'!$C$7:$C$1509,0),0))</f>
        <v>JASA</v>
      </c>
      <c r="E62" s="281" t="str">
        <f ca="1">IF(B62="+","Unit",IF(ISERROR(OFFSET('HARGA SATUAN'!$E$6,MATCH('RAB Standart'!C62,'HARGA SATUAN'!$C$7:$C$1509,0),0)),"",OFFSET('HARGA SATUAN'!$E$6,MATCH('RAB Standart'!C62,'HARGA SATUAN'!$C$7:$C$1509,0),0)))</f>
        <v>Unit</v>
      </c>
      <c r="F62" s="290">
        <f>F40*1</f>
        <v>1</v>
      </c>
      <c r="G62" s="282">
        <f ca="1">IF(ISERROR(OFFSET('HARGA SATUAN'!$I$6,MATCH('RAB Standart'!C62,'HARGA SATUAN'!$C$7:$C$1509,0),0)),0,OFFSET('HARGA SATUAN'!$I$6,MATCH('RAB Standart'!C62,'HARGA SATUAN'!$C$7:$C$1509,0),0))</f>
        <v>254900</v>
      </c>
      <c r="H62" s="283">
        <f t="shared" ca="1" si="12"/>
        <v>0</v>
      </c>
      <c r="I62" s="283">
        <f t="shared" ca="1" si="13"/>
        <v>0</v>
      </c>
      <c r="J62" s="283">
        <f t="shared" ca="1" si="14"/>
        <v>254900</v>
      </c>
      <c r="K62" s="284">
        <f t="shared" ca="1" si="15"/>
        <v>254900</v>
      </c>
      <c r="L62" s="288"/>
      <c r="M62" s="288"/>
      <c r="N62" s="288"/>
      <c r="O62" s="285"/>
      <c r="P62" s="285"/>
      <c r="Q62" s="266"/>
      <c r="R62" s="258"/>
      <c r="S62" s="286"/>
      <c r="T62" s="263"/>
      <c r="U62" s="263"/>
      <c r="V62" s="263"/>
    </row>
    <row r="63" spans="1:22" s="289" customFormat="1" ht="14.25" customHeight="1">
      <c r="A63" s="258"/>
      <c r="B63" s="293"/>
      <c r="C63" s="494"/>
      <c r="D63" s="280" t="str">
        <f ca="1">IF(ISERROR(OFFSET('HARGA SATUAN'!$D$6,MATCH('RAB Standart'!C63,'HARGA SATUAN'!$C$7:$C$1509,0),0)),"",OFFSET('HARGA SATUAN'!$D$6,MATCH('RAB Standart'!C63,'HARGA SATUAN'!$C$7:$C$1509,0),0))</f>
        <v/>
      </c>
      <c r="E63" s="281" t="str">
        <f ca="1">IF(B63="+","Unit",IF(ISERROR(OFFSET('HARGA SATUAN'!$E$6,MATCH('RAB Standart'!C63,'HARGA SATUAN'!$C$7:$C$1509,0),0)),"",OFFSET('HARGA SATUAN'!$E$6,MATCH('RAB Standart'!C63,'HARGA SATUAN'!$C$7:$C$1509,0),0)))</f>
        <v/>
      </c>
      <c r="F63" s="290"/>
      <c r="G63" s="282">
        <f ca="1">IF(ISERROR(OFFSET('HARGA SATUAN'!$I$6,MATCH('RAB Standart'!C63,'HARGA SATUAN'!$C$7:$C$1509,0),0)),0,OFFSET('HARGA SATUAN'!$I$6,MATCH('RAB Standart'!C63,'HARGA SATUAN'!$C$7:$C$1509,0),0))</f>
        <v>0</v>
      </c>
      <c r="H63" s="283">
        <f t="shared" ref="H63:H86" ca="1" si="16">IF(OR(D63="MDU",D63="MDU-KD"),(IF($O$3="RAB NON MDU","PLN KD",G63*F63)),0)</f>
        <v>0</v>
      </c>
      <c r="I63" s="283">
        <f t="shared" ref="I63:I86" ca="1" si="17">IF(D63="HDW",G63*F63,0)</f>
        <v>0</v>
      </c>
      <c r="J63" s="283">
        <f t="shared" ref="J63:J86" ca="1" si="18">IF(D63="JASA",G63*F63,0)</f>
        <v>0</v>
      </c>
      <c r="K63" s="284">
        <f t="shared" ref="K63:K86" ca="1" si="19">SUM(H63:J63)</f>
        <v>0</v>
      </c>
      <c r="L63" s="288"/>
      <c r="M63" s="288"/>
      <c r="N63" s="288"/>
      <c r="O63" s="285"/>
      <c r="P63" s="285"/>
      <c r="Q63" s="266"/>
      <c r="R63" s="258"/>
      <c r="S63" s="286"/>
      <c r="T63" s="263"/>
      <c r="U63" s="263"/>
      <c r="V63" s="263"/>
    </row>
    <row r="64" spans="1:22" s="289" customFormat="1" ht="14.25" customHeight="1">
      <c r="A64" s="258"/>
      <c r="B64" s="293" t="s">
        <v>1008</v>
      </c>
      <c r="C64" s="494" t="s">
        <v>1678</v>
      </c>
      <c r="D64" s="280" t="str">
        <f ca="1">IF(ISERROR(OFFSET('HARGA SATUAN'!$D$6,MATCH('RAB Standart'!C64,'HARGA SATUAN'!$C$7:$C$1509,0),0)),"",OFFSET('HARGA SATUAN'!$D$6,MATCH('RAB Standart'!C64,'HARGA SATUAN'!$C$7:$C$1509,0),0))</f>
        <v/>
      </c>
      <c r="E64" s="281" t="str">
        <f ca="1">IF(B64="+","Unit",IF(ISERROR(OFFSET('HARGA SATUAN'!$E$6,MATCH('RAB Standart'!C64,'HARGA SATUAN'!$C$7:$C$1509,0),0)),"",OFFSET('HARGA SATUAN'!$E$6,MATCH('RAB Standart'!C64,'HARGA SATUAN'!$C$7:$C$1509,0),0)))</f>
        <v>Unit</v>
      </c>
      <c r="F64" s="290">
        <v>1</v>
      </c>
      <c r="G64" s="282">
        <f ca="1">IF(ISERROR(OFFSET('HARGA SATUAN'!$I$6,MATCH('RAB Standart'!C64,'HARGA SATUAN'!$C$7:$C$1509,0),0)),0,OFFSET('HARGA SATUAN'!$I$6,MATCH('RAB Standart'!C64,'HARGA SATUAN'!$C$7:$C$1509,0),0))</f>
        <v>0</v>
      </c>
      <c r="H64" s="283">
        <f t="shared" ca="1" si="16"/>
        <v>0</v>
      </c>
      <c r="I64" s="283">
        <f t="shared" ca="1" si="17"/>
        <v>0</v>
      </c>
      <c r="J64" s="283">
        <f t="shared" ca="1" si="18"/>
        <v>0</v>
      </c>
      <c r="K64" s="284">
        <f t="shared" ca="1" si="19"/>
        <v>0</v>
      </c>
      <c r="L64" s="288"/>
      <c r="M64" s="288"/>
      <c r="N64" s="288"/>
      <c r="O64" s="285"/>
      <c r="P64" s="285"/>
      <c r="Q64" s="266"/>
      <c r="R64" s="258"/>
      <c r="S64" s="286"/>
      <c r="T64" s="263"/>
      <c r="U64" s="263"/>
      <c r="V64" s="263"/>
    </row>
    <row r="65" spans="1:22" s="289" customFormat="1" ht="14.25" customHeight="1">
      <c r="A65" s="258"/>
      <c r="B65" s="293">
        <v>1</v>
      </c>
      <c r="C65" s="494" t="s">
        <v>27</v>
      </c>
      <c r="D65" s="280" t="str">
        <f ca="1">IF(ISERROR(OFFSET('HARGA SATUAN'!$D$6,MATCH('RAB Standart'!C65,'HARGA SATUAN'!$C$7:$C$1509,0),0)),"",OFFSET('HARGA SATUAN'!$D$6,MATCH('RAB Standart'!C65,'HARGA SATUAN'!$C$7:$C$1509,0),0))</f>
        <v>MDU-KD</v>
      </c>
      <c r="E65" s="281" t="str">
        <f ca="1">IF(B65="+","Unit",IF(ISERROR(OFFSET('HARGA SATUAN'!$E$6,MATCH('RAB Standart'!C65,'HARGA SATUAN'!$C$7:$C$1509,0),0)),"",OFFSET('HARGA SATUAN'!$E$6,MATCH('RAB Standart'!C65,'HARGA SATUAN'!$C$7:$C$1509,0),0)))</f>
        <v>Bh</v>
      </c>
      <c r="F65" s="290">
        <f>F64*1</f>
        <v>1</v>
      </c>
      <c r="G65" s="282">
        <f ca="1">IF(ISERROR(OFFSET('HARGA SATUAN'!$I$6,MATCH('RAB Standart'!C65,'HARGA SATUAN'!$C$7:$C$1509,0),0)),0,OFFSET('HARGA SATUAN'!$I$6,MATCH('RAB Standart'!C65,'HARGA SATUAN'!$C$7:$C$1509,0),0))</f>
        <v>176900</v>
      </c>
      <c r="H65" s="283">
        <f t="shared" ca="1" si="16"/>
        <v>176900</v>
      </c>
      <c r="I65" s="283">
        <f t="shared" ca="1" si="17"/>
        <v>0</v>
      </c>
      <c r="J65" s="283">
        <f t="shared" ca="1" si="18"/>
        <v>0</v>
      </c>
      <c r="K65" s="284">
        <f t="shared" ca="1" si="19"/>
        <v>176900</v>
      </c>
      <c r="L65" s="288"/>
      <c r="M65" s="288"/>
      <c r="N65" s="288"/>
      <c r="O65" s="285"/>
      <c r="P65" s="285"/>
      <c r="Q65" s="266"/>
      <c r="R65" s="258"/>
      <c r="S65" s="286"/>
      <c r="T65" s="263"/>
      <c r="U65" s="263"/>
      <c r="V65" s="263"/>
    </row>
    <row r="66" spans="1:22" s="289" customFormat="1" ht="14.25" customHeight="1">
      <c r="A66" s="258"/>
      <c r="B66" s="293">
        <v>2</v>
      </c>
      <c r="C66" s="494" t="s">
        <v>30</v>
      </c>
      <c r="D66" s="280" t="str">
        <f ca="1">IF(ISERROR(OFFSET('HARGA SATUAN'!$D$6,MATCH('RAB Standart'!C66,'HARGA SATUAN'!$C$7:$C$1509,0),0)),"",OFFSET('HARGA SATUAN'!$D$6,MATCH('RAB Standart'!C66,'HARGA SATUAN'!$C$7:$C$1509,0),0))</f>
        <v>MDU-KD</v>
      </c>
      <c r="E66" s="281" t="str">
        <f ca="1">IF(B66="+","Unit",IF(ISERROR(OFFSET('HARGA SATUAN'!$E$6,MATCH('RAB Standart'!C66,'HARGA SATUAN'!$C$7:$C$1509,0),0)),"",OFFSET('HARGA SATUAN'!$E$6,MATCH('RAB Standart'!C66,'HARGA SATUAN'!$C$7:$C$1509,0),0)))</f>
        <v>Bh</v>
      </c>
      <c r="F66" s="290">
        <f>F64*1</f>
        <v>1</v>
      </c>
      <c r="G66" s="282">
        <f ca="1">IF(ISERROR(OFFSET('HARGA SATUAN'!$I$6,MATCH('RAB Standart'!C66,'HARGA SATUAN'!$C$7:$C$1509,0),0)),0,OFFSET('HARGA SATUAN'!$I$6,MATCH('RAB Standart'!C66,'HARGA SATUAN'!$C$7:$C$1509,0),0))</f>
        <v>235900</v>
      </c>
      <c r="H66" s="283">
        <f t="shared" ca="1" si="16"/>
        <v>235900</v>
      </c>
      <c r="I66" s="283">
        <f t="shared" ca="1" si="17"/>
        <v>0</v>
      </c>
      <c r="J66" s="283">
        <f t="shared" ca="1" si="18"/>
        <v>0</v>
      </c>
      <c r="K66" s="284">
        <f t="shared" ca="1" si="19"/>
        <v>235900</v>
      </c>
      <c r="L66" s="288"/>
      <c r="M66" s="288"/>
      <c r="N66" s="288"/>
      <c r="O66" s="285"/>
      <c r="P66" s="285"/>
      <c r="Q66" s="266"/>
      <c r="R66" s="258"/>
      <c r="S66" s="286"/>
      <c r="T66" s="263"/>
      <c r="U66" s="263"/>
      <c r="V66" s="263"/>
    </row>
    <row r="67" spans="1:22" s="289" customFormat="1" ht="14.25" customHeight="1">
      <c r="A67" s="258"/>
      <c r="B67" s="293">
        <v>3</v>
      </c>
      <c r="C67" s="494" t="s">
        <v>1575</v>
      </c>
      <c r="D67" s="280" t="str">
        <f ca="1">IF(ISERROR(OFFSET('HARGA SATUAN'!$D$6,MATCH('RAB Standart'!C67,'HARGA SATUAN'!$C$7:$C$1509,0),0)),"",OFFSET('HARGA SATUAN'!$D$6,MATCH('RAB Standart'!C67,'HARGA SATUAN'!$C$7:$C$1509,0),0))</f>
        <v>MDU-KD</v>
      </c>
      <c r="E67" s="281" t="str">
        <f ca="1">IF(B67="+","Unit",IF(ISERROR(OFFSET('HARGA SATUAN'!$E$6,MATCH('RAB Standart'!C67,'HARGA SATUAN'!$C$7:$C$1509,0),0)),"",OFFSET('HARGA SATUAN'!$E$6,MATCH('RAB Standart'!C67,'HARGA SATUAN'!$C$7:$C$1509,0),0)))</f>
        <v>Set</v>
      </c>
      <c r="F67" s="290">
        <f>F64*6</f>
        <v>6</v>
      </c>
      <c r="G67" s="282">
        <f ca="1">IF(ISERROR(OFFSET('HARGA SATUAN'!$I$6,MATCH('RAB Standart'!C67,'HARGA SATUAN'!$C$7:$C$1509,0),0)),0,OFFSET('HARGA SATUAN'!$I$6,MATCH('RAB Standart'!C67,'HARGA SATUAN'!$C$7:$C$1509,0),0))</f>
        <v>430000</v>
      </c>
      <c r="H67" s="283">
        <f t="shared" ca="1" si="16"/>
        <v>2580000</v>
      </c>
      <c r="I67" s="283">
        <f t="shared" ca="1" si="17"/>
        <v>0</v>
      </c>
      <c r="J67" s="283">
        <f t="shared" ca="1" si="18"/>
        <v>0</v>
      </c>
      <c r="K67" s="284">
        <f t="shared" ca="1" si="19"/>
        <v>2580000</v>
      </c>
      <c r="L67" s="288"/>
      <c r="M67" s="288"/>
      <c r="N67" s="288"/>
      <c r="O67" s="285"/>
      <c r="P67" s="285"/>
      <c r="Q67" s="266"/>
      <c r="R67" s="258"/>
      <c r="S67" s="286"/>
      <c r="T67" s="263"/>
      <c r="U67" s="263"/>
      <c r="V67" s="263"/>
    </row>
    <row r="68" spans="1:22" s="289" customFormat="1" ht="14.25" customHeight="1">
      <c r="A68" s="258"/>
      <c r="B68" s="293">
        <v>4</v>
      </c>
      <c r="C68" s="494" t="s">
        <v>145</v>
      </c>
      <c r="D68" s="280" t="str">
        <f ca="1">IF(ISERROR(OFFSET('HARGA SATUAN'!$D$6,MATCH('RAB Standart'!C68,'HARGA SATUAN'!$C$7:$C$1509,0),0)),"",OFFSET('HARGA SATUAN'!$D$6,MATCH('RAB Standart'!C68,'HARGA SATUAN'!$C$7:$C$1509,0),0))</f>
        <v>HDW</v>
      </c>
      <c r="E68" s="281" t="str">
        <f ca="1">IF(B68="+","Unit",IF(ISERROR(OFFSET('HARGA SATUAN'!$E$6,MATCH('RAB Standart'!C68,'HARGA SATUAN'!$C$7:$C$1509,0),0)),"",OFFSET('HARGA SATUAN'!$E$6,MATCH('RAB Standart'!C68,'HARGA SATUAN'!$C$7:$C$1509,0),0)))</f>
        <v>Mtr</v>
      </c>
      <c r="F68" s="290">
        <f>F64*2</f>
        <v>2</v>
      </c>
      <c r="G68" s="282">
        <f ca="1">IF(ISERROR(OFFSET('HARGA SATUAN'!$I$6,MATCH('RAB Standart'!C68,'HARGA SATUAN'!$C$7:$C$1509,0),0)),0,OFFSET('HARGA SATUAN'!$I$6,MATCH('RAB Standart'!C68,'HARGA SATUAN'!$C$7:$C$1509,0),0))</f>
        <v>7789</v>
      </c>
      <c r="H68" s="283">
        <f t="shared" ca="1" si="16"/>
        <v>0</v>
      </c>
      <c r="I68" s="283">
        <f t="shared" ca="1" si="17"/>
        <v>15578</v>
      </c>
      <c r="J68" s="283">
        <f t="shared" ca="1" si="18"/>
        <v>0</v>
      </c>
      <c r="K68" s="284">
        <f t="shared" ca="1" si="19"/>
        <v>15578</v>
      </c>
      <c r="L68" s="288"/>
      <c r="M68" s="288"/>
      <c r="N68" s="288"/>
      <c r="O68" s="285"/>
      <c r="P68" s="285"/>
      <c r="Q68" s="266"/>
      <c r="R68" s="258"/>
      <c r="S68" s="286"/>
      <c r="T68" s="263"/>
      <c r="U68" s="263"/>
      <c r="V68" s="263"/>
    </row>
    <row r="69" spans="1:22" s="289" customFormat="1" ht="14.25" customHeight="1">
      <c r="A69" s="258"/>
      <c r="B69" s="293">
        <v>5</v>
      </c>
      <c r="C69" s="494" t="s">
        <v>150</v>
      </c>
      <c r="D69" s="280" t="str">
        <f ca="1">IF(ISERROR(OFFSET('HARGA SATUAN'!$D$6,MATCH('RAB Standart'!C69,'HARGA SATUAN'!$C$7:$C$1509,0),0)),"",OFFSET('HARGA SATUAN'!$D$6,MATCH('RAB Standart'!C69,'HARGA SATUAN'!$C$7:$C$1509,0),0))</f>
        <v>HDW</v>
      </c>
      <c r="E69" s="281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290">
        <f>F64*4</f>
        <v>4</v>
      </c>
      <c r="G69" s="282">
        <f ca="1">IF(ISERROR(OFFSET('HARGA SATUAN'!$I$6,MATCH('RAB Standart'!C69,'HARGA SATUAN'!$C$7:$C$1509,0),0)),0,OFFSET('HARGA SATUAN'!$I$6,MATCH('RAB Standart'!C69,'HARGA SATUAN'!$C$7:$C$1509,0),0))</f>
        <v>40000</v>
      </c>
      <c r="H69" s="283">
        <f t="shared" ca="1" si="16"/>
        <v>0</v>
      </c>
      <c r="I69" s="283">
        <f t="shared" ca="1" si="17"/>
        <v>160000</v>
      </c>
      <c r="J69" s="283">
        <f t="shared" ca="1" si="18"/>
        <v>0</v>
      </c>
      <c r="K69" s="284">
        <f t="shared" ca="1" si="19"/>
        <v>160000</v>
      </c>
      <c r="L69" s="288"/>
      <c r="M69" s="288"/>
      <c r="N69" s="288"/>
      <c r="O69" s="285"/>
      <c r="P69" s="285"/>
      <c r="Q69" s="266"/>
      <c r="R69" s="258"/>
      <c r="S69" s="286"/>
      <c r="T69" s="263"/>
      <c r="U69" s="263"/>
      <c r="V69" s="263"/>
    </row>
    <row r="70" spans="1:22" s="289" customFormat="1" ht="14.25" customHeight="1">
      <c r="A70" s="258"/>
      <c r="B70" s="293">
        <v>6</v>
      </c>
      <c r="C70" s="494" t="s">
        <v>156</v>
      </c>
      <c r="D70" s="280" t="str">
        <f ca="1">IF(ISERROR(OFFSET('HARGA SATUAN'!$D$6,MATCH('RAB Standart'!C70,'HARGA SATUAN'!$C$7:$C$1509,0),0)),"",OFFSET('HARGA SATUAN'!$D$6,MATCH('RAB Standart'!C70,'HARGA SATUAN'!$C$7:$C$1509,0),0))</f>
        <v>HDW</v>
      </c>
      <c r="E70" s="281" t="str">
        <f ca="1">IF(B70="+","Unit",IF(ISERROR(OFFSET('HARGA SATUAN'!$E$6,MATCH('RAB Standart'!C70,'HARGA SATUAN'!$C$7:$C$1509,0),0)),"",OFFSET('HARGA SATUAN'!$E$6,MATCH('RAB Standart'!C70,'HARGA SATUAN'!$C$7:$C$1509,0),0)))</f>
        <v>Bh</v>
      </c>
      <c r="F70" s="290">
        <f>F64*8</f>
        <v>8</v>
      </c>
      <c r="G70" s="282">
        <f ca="1">IF(ISERROR(OFFSET('HARGA SATUAN'!$I$6,MATCH('RAB Standart'!C70,'HARGA SATUAN'!$C$7:$C$1509,0),0)),0,OFFSET('HARGA SATUAN'!$I$6,MATCH('RAB Standart'!C70,'HARGA SATUAN'!$C$7:$C$1509,0),0))</f>
        <v>7938</v>
      </c>
      <c r="H70" s="283">
        <f t="shared" ca="1" si="16"/>
        <v>0</v>
      </c>
      <c r="I70" s="283">
        <f t="shared" ca="1" si="17"/>
        <v>63504</v>
      </c>
      <c r="J70" s="283">
        <f t="shared" ca="1" si="18"/>
        <v>0</v>
      </c>
      <c r="K70" s="284">
        <f t="shared" ca="1" si="19"/>
        <v>63504</v>
      </c>
      <c r="L70" s="288"/>
      <c r="M70" s="288"/>
      <c r="N70" s="288"/>
      <c r="O70" s="285"/>
      <c r="P70" s="285"/>
      <c r="Q70" s="266"/>
      <c r="R70" s="258"/>
      <c r="S70" s="286"/>
      <c r="T70" s="263"/>
      <c r="U70" s="263"/>
      <c r="V70" s="263"/>
    </row>
    <row r="71" spans="1:22" s="289" customFormat="1" ht="14.25" customHeight="1">
      <c r="A71" s="258"/>
      <c r="B71" s="293">
        <v>7</v>
      </c>
      <c r="C71" s="494" t="s">
        <v>18</v>
      </c>
      <c r="D71" s="280" t="str">
        <f ca="1">IF(ISERROR(OFFSET('HARGA SATUAN'!$D$6,MATCH('RAB Standart'!C71,'HARGA SATUAN'!$C$7:$C$1509,0),0)),"",OFFSET('HARGA SATUAN'!$D$6,MATCH('RAB Standart'!C71,'HARGA SATUAN'!$C$7:$C$1509,0),0))</f>
        <v>HDW</v>
      </c>
      <c r="E71" s="281" t="str">
        <f ca="1">IF(B71="+","Unit",IF(ISERROR(OFFSET('HARGA SATUAN'!$E$6,MATCH('RAB Standart'!C71,'HARGA SATUAN'!$C$7:$C$1509,0),0)),"",OFFSET('HARGA SATUAN'!$E$6,MATCH('RAB Standart'!C71,'HARGA SATUAN'!$C$7:$C$1509,0),0)))</f>
        <v>Bh</v>
      </c>
      <c r="F71" s="290">
        <f>F64*1</f>
        <v>1</v>
      </c>
      <c r="G71" s="282">
        <f ca="1">IF(ISERROR(OFFSET('HARGA SATUAN'!$I$6,MATCH('RAB Standart'!C71,'HARGA SATUAN'!$C$7:$C$1509,0),0)),0,OFFSET('HARGA SATUAN'!$I$6,MATCH('RAB Standart'!C71,'HARGA SATUAN'!$C$7:$C$1509,0),0))</f>
        <v>26500</v>
      </c>
      <c r="H71" s="283">
        <f t="shared" ca="1" si="16"/>
        <v>0</v>
      </c>
      <c r="I71" s="283">
        <f t="shared" ca="1" si="17"/>
        <v>26500</v>
      </c>
      <c r="J71" s="283">
        <f t="shared" ca="1" si="18"/>
        <v>0</v>
      </c>
      <c r="K71" s="284">
        <f t="shared" ca="1" si="19"/>
        <v>26500</v>
      </c>
      <c r="L71" s="288"/>
      <c r="M71" s="288"/>
      <c r="N71" s="288"/>
      <c r="O71" s="285"/>
      <c r="P71" s="285"/>
      <c r="Q71" s="266"/>
      <c r="R71" s="258"/>
      <c r="S71" s="286"/>
      <c r="T71" s="263"/>
      <c r="U71" s="263"/>
      <c r="V71" s="263"/>
    </row>
    <row r="72" spans="1:22" s="289" customFormat="1" ht="14.25" customHeight="1">
      <c r="A72" s="258"/>
      <c r="B72" s="293">
        <v>8</v>
      </c>
      <c r="C72" s="494" t="s">
        <v>166</v>
      </c>
      <c r="D72" s="280" t="str">
        <f ca="1">IF(ISERROR(OFFSET('HARGA SATUAN'!$D$6,MATCH('RAB Standart'!C72,'HARGA SATUAN'!$C$7:$C$1509,0),0)),"",OFFSET('HARGA SATUAN'!$D$6,MATCH('RAB Standart'!C72,'HARGA SATUAN'!$C$7:$C$1509,0),0))</f>
        <v>HDW</v>
      </c>
      <c r="E72" s="281" t="str">
        <f ca="1">IF(B72="+","Unit",IF(ISERROR(OFFSET('HARGA SATUAN'!$E$6,MATCH('RAB Standart'!C72,'HARGA SATUAN'!$C$7:$C$1509,0),0)),"",OFFSET('HARGA SATUAN'!$E$6,MATCH('RAB Standart'!C72,'HARGA SATUAN'!$C$7:$C$1509,0),0)))</f>
        <v>Bh</v>
      </c>
      <c r="F72" s="290">
        <f>F64*8</f>
        <v>8</v>
      </c>
      <c r="G72" s="282">
        <f ca="1">IF(ISERROR(OFFSET('HARGA SATUAN'!$I$6,MATCH('RAB Standart'!C72,'HARGA SATUAN'!$C$7:$C$1509,0),0)),0,OFFSET('HARGA SATUAN'!$I$6,MATCH('RAB Standart'!C72,'HARGA SATUAN'!$C$7:$C$1509,0),0))</f>
        <v>45000</v>
      </c>
      <c r="H72" s="283">
        <f t="shared" ca="1" si="16"/>
        <v>0</v>
      </c>
      <c r="I72" s="283">
        <f t="shared" ca="1" si="17"/>
        <v>360000</v>
      </c>
      <c r="J72" s="283">
        <f t="shared" ca="1" si="18"/>
        <v>0</v>
      </c>
      <c r="K72" s="284">
        <f t="shared" ca="1" si="19"/>
        <v>360000</v>
      </c>
      <c r="L72" s="288"/>
      <c r="M72" s="288"/>
      <c r="N72" s="288"/>
      <c r="O72" s="285"/>
      <c r="P72" s="285"/>
      <c r="Q72" s="266"/>
      <c r="R72" s="258"/>
      <c r="S72" s="286"/>
      <c r="T72" s="263"/>
      <c r="U72" s="263"/>
      <c r="V72" s="263"/>
    </row>
    <row r="73" spans="1:22" s="289" customFormat="1" ht="14.25" customHeight="1">
      <c r="A73" s="258"/>
      <c r="B73" s="293">
        <v>9</v>
      </c>
      <c r="C73" s="494" t="s">
        <v>172</v>
      </c>
      <c r="D73" s="280" t="str">
        <f ca="1">IF(ISERROR(OFFSET('HARGA SATUAN'!$D$6,MATCH('RAB Standart'!C73,'HARGA SATUAN'!$C$7:$C$1509,0),0)),"",OFFSET('HARGA SATUAN'!$D$6,MATCH('RAB Standart'!C73,'HARGA SATUAN'!$C$7:$C$1509,0),0))</f>
        <v>HDW</v>
      </c>
      <c r="E73" s="281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290">
        <f>F64*2</f>
        <v>2</v>
      </c>
      <c r="G73" s="282">
        <f ca="1">IF(ISERROR(OFFSET('HARGA SATUAN'!$I$6,MATCH('RAB Standart'!C73,'HARGA SATUAN'!$C$7:$C$1509,0),0)),0,OFFSET('HARGA SATUAN'!$I$6,MATCH('RAB Standart'!C73,'HARGA SATUAN'!$C$7:$C$1509,0),0))</f>
        <v>15500</v>
      </c>
      <c r="H73" s="283">
        <f t="shared" ca="1" si="16"/>
        <v>0</v>
      </c>
      <c r="I73" s="283">
        <f t="shared" ca="1" si="17"/>
        <v>31000</v>
      </c>
      <c r="J73" s="283">
        <f t="shared" ca="1" si="18"/>
        <v>0</v>
      </c>
      <c r="K73" s="284">
        <f t="shared" ca="1" si="19"/>
        <v>31000</v>
      </c>
      <c r="L73" s="288"/>
      <c r="M73" s="288"/>
      <c r="N73" s="288"/>
      <c r="O73" s="285"/>
      <c r="P73" s="285"/>
      <c r="Q73" s="266"/>
      <c r="R73" s="258"/>
      <c r="S73" s="286"/>
      <c r="T73" s="263"/>
      <c r="U73" s="263"/>
      <c r="V73" s="263"/>
    </row>
    <row r="74" spans="1:22" s="289" customFormat="1" ht="14.25" customHeight="1">
      <c r="A74" s="258"/>
      <c r="B74" s="293">
        <v>10</v>
      </c>
      <c r="C74" s="494" t="s">
        <v>174</v>
      </c>
      <c r="D74" s="280" t="str">
        <f ca="1">IF(ISERROR(OFFSET('HARGA SATUAN'!$D$6,MATCH('RAB Standart'!C74,'HARGA SATUAN'!$C$7:$C$1509,0),0)),"",OFFSET('HARGA SATUAN'!$D$6,MATCH('RAB Standart'!C74,'HARGA SATUAN'!$C$7:$C$1509,0),0))</f>
        <v>HDW</v>
      </c>
      <c r="E74" s="281" t="str">
        <f ca="1">IF(B74="+","Unit",IF(ISERROR(OFFSET('HARGA SATUAN'!$E$6,MATCH('RAB Standart'!C74,'HARGA SATUAN'!$C$7:$C$1509,0),0)),"",OFFSET('HARGA SATUAN'!$E$6,MATCH('RAB Standart'!C74,'HARGA SATUAN'!$C$7:$C$1509,0),0)))</f>
        <v>Bh</v>
      </c>
      <c r="F74" s="290">
        <f>F64*4</f>
        <v>4</v>
      </c>
      <c r="G74" s="282">
        <f ca="1">IF(ISERROR(OFFSET('HARGA SATUAN'!$I$6,MATCH('RAB Standart'!C74,'HARGA SATUAN'!$C$7:$C$1509,0),0)),0,OFFSET('HARGA SATUAN'!$I$6,MATCH('RAB Standart'!C74,'HARGA SATUAN'!$C$7:$C$1509,0),0))</f>
        <v>28100</v>
      </c>
      <c r="H74" s="283">
        <f t="shared" ca="1" si="16"/>
        <v>0</v>
      </c>
      <c r="I74" s="283">
        <f t="shared" ca="1" si="17"/>
        <v>112400</v>
      </c>
      <c r="J74" s="283">
        <f t="shared" ca="1" si="18"/>
        <v>0</v>
      </c>
      <c r="K74" s="284">
        <f t="shared" ca="1" si="19"/>
        <v>112400</v>
      </c>
      <c r="L74" s="288"/>
      <c r="M74" s="288"/>
      <c r="N74" s="288"/>
      <c r="O74" s="285"/>
      <c r="P74" s="285"/>
      <c r="Q74" s="266"/>
      <c r="R74" s="258"/>
      <c r="S74" s="286"/>
      <c r="T74" s="263"/>
      <c r="U74" s="263"/>
      <c r="V74" s="263"/>
    </row>
    <row r="75" spans="1:22" s="289" customFormat="1" ht="14.25" customHeight="1">
      <c r="A75" s="258"/>
      <c r="B75" s="293">
        <v>11</v>
      </c>
      <c r="C75" s="494" t="s">
        <v>587</v>
      </c>
      <c r="D75" s="280" t="str">
        <f ca="1">IF(ISERROR(OFFSET('HARGA SATUAN'!$D$6,MATCH('RAB Standart'!C75,'HARGA SATUAN'!$C$7:$C$1509,0),0)),"",OFFSET('HARGA SATUAN'!$D$6,MATCH('RAB Standart'!C75,'HARGA SATUAN'!$C$7:$C$1509,0),0))</f>
        <v>HDW</v>
      </c>
      <c r="E75" s="281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290">
        <f>F64*4</f>
        <v>4</v>
      </c>
      <c r="G75" s="282">
        <f ca="1">IF(ISERROR(OFFSET('HARGA SATUAN'!$I$6,MATCH('RAB Standart'!C75,'HARGA SATUAN'!$C$7:$C$1509,0),0)),0,OFFSET('HARGA SATUAN'!$I$6,MATCH('RAB Standart'!C75,'HARGA SATUAN'!$C$7:$C$1509,0),0))</f>
        <v>380500</v>
      </c>
      <c r="H75" s="283">
        <f t="shared" ca="1" si="16"/>
        <v>0</v>
      </c>
      <c r="I75" s="283">
        <f t="shared" ca="1" si="17"/>
        <v>1522000</v>
      </c>
      <c r="J75" s="283">
        <f t="shared" ca="1" si="18"/>
        <v>0</v>
      </c>
      <c r="K75" s="284">
        <f t="shared" ca="1" si="19"/>
        <v>1522000</v>
      </c>
      <c r="L75" s="288"/>
      <c r="M75" s="288"/>
      <c r="N75" s="288"/>
      <c r="O75" s="285"/>
      <c r="P75" s="285"/>
      <c r="Q75" s="266"/>
      <c r="R75" s="258"/>
      <c r="S75" s="286"/>
      <c r="T75" s="263"/>
      <c r="U75" s="263"/>
      <c r="V75" s="263"/>
    </row>
    <row r="76" spans="1:22" s="289" customFormat="1" ht="14.25" customHeight="1">
      <c r="A76" s="258"/>
      <c r="B76" s="293">
        <v>12</v>
      </c>
      <c r="C76" s="494" t="s">
        <v>211</v>
      </c>
      <c r="D76" s="280" t="str">
        <f ca="1">IF(ISERROR(OFFSET('HARGA SATUAN'!$D$6,MATCH('RAB Standart'!C76,'HARGA SATUAN'!$C$7:$C$1509,0),0)),"",OFFSET('HARGA SATUAN'!$D$6,MATCH('RAB Standart'!C76,'HARGA SATUAN'!$C$7:$C$1509,0),0))</f>
        <v>HDW</v>
      </c>
      <c r="E76" s="281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290">
        <f>F64*4</f>
        <v>4</v>
      </c>
      <c r="G76" s="282">
        <f ca="1">IF(ISERROR(OFFSET('HARGA SATUAN'!$I$6,MATCH('RAB Standart'!C76,'HARGA SATUAN'!$C$7:$C$1509,0),0)),0,OFFSET('HARGA SATUAN'!$I$6,MATCH('RAB Standart'!C76,'HARGA SATUAN'!$C$7:$C$1509,0),0))</f>
        <v>29600</v>
      </c>
      <c r="H76" s="283">
        <f t="shared" ca="1" si="16"/>
        <v>0</v>
      </c>
      <c r="I76" s="283">
        <f t="shared" ca="1" si="17"/>
        <v>118400</v>
      </c>
      <c r="J76" s="283">
        <f t="shared" ca="1" si="18"/>
        <v>0</v>
      </c>
      <c r="K76" s="284">
        <f t="shared" ca="1" si="19"/>
        <v>118400</v>
      </c>
      <c r="L76" s="288"/>
      <c r="M76" s="288"/>
      <c r="N76" s="288"/>
      <c r="O76" s="285"/>
      <c r="P76" s="285"/>
      <c r="Q76" s="266"/>
      <c r="R76" s="258"/>
      <c r="S76" s="286"/>
      <c r="T76" s="263"/>
      <c r="U76" s="263"/>
      <c r="V76" s="263"/>
    </row>
    <row r="77" spans="1:22" s="289" customFormat="1" ht="14.25" customHeight="1">
      <c r="A77" s="258"/>
      <c r="B77" s="293">
        <v>13</v>
      </c>
      <c r="C77" s="494" t="s">
        <v>210</v>
      </c>
      <c r="D77" s="280" t="str">
        <f ca="1">IF(ISERROR(OFFSET('HARGA SATUAN'!$D$6,MATCH('RAB Standart'!C77,'HARGA SATUAN'!$C$7:$C$1509,0),0)),"",OFFSET('HARGA SATUAN'!$D$6,MATCH('RAB Standart'!C77,'HARGA SATUAN'!$C$7:$C$1509,0),0))</f>
        <v>HDW</v>
      </c>
      <c r="E77" s="281" t="str">
        <f ca="1">IF(B77="+","Unit",IF(ISERROR(OFFSET('HARGA SATUAN'!$E$6,MATCH('RAB Standart'!C77,'HARGA SATUAN'!$C$7:$C$1509,0),0)),"",OFFSET('HARGA SATUAN'!$E$6,MATCH('RAB Standart'!C77,'HARGA SATUAN'!$C$7:$C$1509,0),0)))</f>
        <v>Bh</v>
      </c>
      <c r="F77" s="290">
        <f>F64*9</f>
        <v>9</v>
      </c>
      <c r="G77" s="282">
        <f ca="1">IF(ISERROR(OFFSET('HARGA SATUAN'!$I$6,MATCH('RAB Standart'!C77,'HARGA SATUAN'!$C$7:$C$1509,0),0)),0,OFFSET('HARGA SATUAN'!$I$6,MATCH('RAB Standart'!C77,'HARGA SATUAN'!$C$7:$C$1509,0),0))</f>
        <v>11400</v>
      </c>
      <c r="H77" s="283">
        <f t="shared" ca="1" si="16"/>
        <v>0</v>
      </c>
      <c r="I77" s="283">
        <f t="shared" ca="1" si="17"/>
        <v>102600</v>
      </c>
      <c r="J77" s="283">
        <f t="shared" ca="1" si="18"/>
        <v>0</v>
      </c>
      <c r="K77" s="284">
        <f t="shared" ca="1" si="19"/>
        <v>102600</v>
      </c>
      <c r="L77" s="288"/>
      <c r="M77" s="288"/>
      <c r="N77" s="288"/>
      <c r="O77" s="285"/>
      <c r="P77" s="285"/>
      <c r="Q77" s="266"/>
      <c r="R77" s="258"/>
      <c r="S77" s="286"/>
      <c r="T77" s="263"/>
      <c r="U77" s="263"/>
      <c r="V77" s="263"/>
    </row>
    <row r="78" spans="1:22" s="289" customFormat="1" ht="14.25" customHeight="1">
      <c r="A78" s="258"/>
      <c r="B78" s="293">
        <v>14</v>
      </c>
      <c r="C78" s="494" t="s">
        <v>216</v>
      </c>
      <c r="D78" s="280" t="str">
        <f ca="1">IF(ISERROR(OFFSET('HARGA SATUAN'!$D$6,MATCH('RAB Standart'!C78,'HARGA SATUAN'!$C$7:$C$1509,0),0)),"",OFFSET('HARGA SATUAN'!$D$6,MATCH('RAB Standart'!C78,'HARGA SATUAN'!$C$7:$C$1509,0),0))</f>
        <v>HDW</v>
      </c>
      <c r="E78" s="281" t="str">
        <f ca="1">IF(B78="+","Unit",IF(ISERROR(OFFSET('HARGA SATUAN'!$E$6,MATCH('RAB Standart'!C78,'HARGA SATUAN'!$C$7:$C$1509,0),0)),"",OFFSET('HARGA SATUAN'!$E$6,MATCH('RAB Standart'!C78,'HARGA SATUAN'!$C$7:$C$1509,0),0)))</f>
        <v>Bh</v>
      </c>
      <c r="F78" s="290">
        <f>F64*2</f>
        <v>2</v>
      </c>
      <c r="G78" s="282">
        <f ca="1">IF(ISERROR(OFFSET('HARGA SATUAN'!$I$6,MATCH('RAB Standart'!C78,'HARGA SATUAN'!$C$7:$C$1509,0),0)),0,OFFSET('HARGA SATUAN'!$I$6,MATCH('RAB Standart'!C78,'HARGA SATUAN'!$C$7:$C$1509,0),0))</f>
        <v>27815</v>
      </c>
      <c r="H78" s="283">
        <f t="shared" ca="1" si="16"/>
        <v>0</v>
      </c>
      <c r="I78" s="283">
        <f t="shared" ca="1" si="17"/>
        <v>55630</v>
      </c>
      <c r="J78" s="283">
        <f t="shared" ca="1" si="18"/>
        <v>0</v>
      </c>
      <c r="K78" s="284">
        <f t="shared" ca="1" si="19"/>
        <v>55630</v>
      </c>
      <c r="L78" s="288"/>
      <c r="M78" s="288"/>
      <c r="N78" s="288"/>
      <c r="O78" s="285"/>
      <c r="P78" s="285"/>
      <c r="Q78" s="266"/>
      <c r="R78" s="258"/>
      <c r="S78" s="286"/>
      <c r="T78" s="263"/>
      <c r="U78" s="263"/>
      <c r="V78" s="263"/>
    </row>
    <row r="79" spans="1:22" s="289" customFormat="1" ht="14.25" customHeight="1">
      <c r="A79" s="258"/>
      <c r="B79" s="293">
        <v>15</v>
      </c>
      <c r="C79" s="494" t="s">
        <v>15</v>
      </c>
      <c r="D79" s="280" t="str">
        <f ca="1">IF(ISERROR(OFFSET('HARGA SATUAN'!$D$6,MATCH('RAB Standart'!C79,'HARGA SATUAN'!$C$7:$C$1509,0),0)),"",OFFSET('HARGA SATUAN'!$D$6,MATCH('RAB Standart'!C79,'HARGA SATUAN'!$C$7:$C$1509,0),0))</f>
        <v>HDW</v>
      </c>
      <c r="E79" s="281" t="str">
        <f ca="1">IF(B79="+","Unit",IF(ISERROR(OFFSET('HARGA SATUAN'!$E$6,MATCH('RAB Standart'!C79,'HARGA SATUAN'!$C$7:$C$1509,0),0)),"",OFFSET('HARGA SATUAN'!$E$6,MATCH('RAB Standart'!C79,'HARGA SATUAN'!$C$7:$C$1509,0),0)))</f>
        <v>Bh</v>
      </c>
      <c r="F79" s="290">
        <f>F64*6</f>
        <v>6</v>
      </c>
      <c r="G79" s="282">
        <f ca="1">IF(ISERROR(OFFSET('HARGA SATUAN'!$I$6,MATCH('RAB Standart'!C79,'HARGA SATUAN'!$C$7:$C$1509,0),0)),0,OFFSET('HARGA SATUAN'!$I$6,MATCH('RAB Standart'!C79,'HARGA SATUAN'!$C$7:$C$1509,0),0))</f>
        <v>23936</v>
      </c>
      <c r="H79" s="283">
        <f t="shared" ca="1" si="16"/>
        <v>0</v>
      </c>
      <c r="I79" s="283">
        <f t="shared" ca="1" si="17"/>
        <v>143616</v>
      </c>
      <c r="J79" s="283">
        <f t="shared" ca="1" si="18"/>
        <v>0</v>
      </c>
      <c r="K79" s="284">
        <f t="shared" ca="1" si="19"/>
        <v>143616</v>
      </c>
      <c r="L79" s="288"/>
      <c r="M79" s="288"/>
      <c r="N79" s="288"/>
      <c r="O79" s="285"/>
      <c r="P79" s="285"/>
      <c r="Q79" s="266"/>
      <c r="R79" s="258"/>
      <c r="S79" s="286"/>
      <c r="T79" s="263"/>
      <c r="U79" s="263"/>
      <c r="V79" s="263"/>
    </row>
    <row r="80" spans="1:22" s="289" customFormat="1" ht="14.25" customHeight="1">
      <c r="A80" s="258"/>
      <c r="B80" s="293">
        <v>16</v>
      </c>
      <c r="C80" s="494" t="s">
        <v>28</v>
      </c>
      <c r="D80" s="280" t="str">
        <f ca="1">IF(ISERROR(OFFSET('HARGA SATUAN'!$D$6,MATCH('RAB Standart'!C80,'HARGA SATUAN'!$C$7:$C$1509,0),0)),"",OFFSET('HARGA SATUAN'!$D$6,MATCH('RAB Standart'!C80,'HARGA SATUAN'!$C$7:$C$1509,0),0))</f>
        <v>HDW</v>
      </c>
      <c r="E80" s="281" t="str">
        <f ca="1">IF(B80="+","Unit",IF(ISERROR(OFFSET('HARGA SATUAN'!$E$6,MATCH('RAB Standart'!C80,'HARGA SATUAN'!$C$7:$C$1509,0),0)),"",OFFSET('HARGA SATUAN'!$E$6,MATCH('RAB Standart'!C80,'HARGA SATUAN'!$C$7:$C$1509,0),0)))</f>
        <v>Bh</v>
      </c>
      <c r="F80" s="290">
        <f>F64*3</f>
        <v>3</v>
      </c>
      <c r="G80" s="282">
        <f ca="1">IF(ISERROR(OFFSET('HARGA SATUAN'!$I$6,MATCH('RAB Standart'!C80,'HARGA SATUAN'!$C$7:$C$1509,0),0)),0,OFFSET('HARGA SATUAN'!$I$6,MATCH('RAB Standart'!C80,'HARGA SATUAN'!$C$7:$C$1509,0),0))</f>
        <v>63500</v>
      </c>
      <c r="H80" s="283">
        <f t="shared" ca="1" si="16"/>
        <v>0</v>
      </c>
      <c r="I80" s="283">
        <f t="shared" ca="1" si="17"/>
        <v>190500</v>
      </c>
      <c r="J80" s="283">
        <f t="shared" ca="1" si="18"/>
        <v>0</v>
      </c>
      <c r="K80" s="284">
        <f t="shared" ca="1" si="19"/>
        <v>190500</v>
      </c>
      <c r="L80" s="288"/>
      <c r="M80" s="288"/>
      <c r="N80" s="288"/>
      <c r="O80" s="285"/>
      <c r="P80" s="285"/>
      <c r="Q80" s="266"/>
      <c r="R80" s="258"/>
      <c r="S80" s="286"/>
      <c r="T80" s="263"/>
      <c r="U80" s="263"/>
      <c r="V80" s="263"/>
    </row>
    <row r="81" spans="1:22" s="289" customFormat="1" ht="14.25" customHeight="1">
      <c r="A81" s="258"/>
      <c r="B81" s="293">
        <v>17</v>
      </c>
      <c r="C81" s="494" t="s">
        <v>240</v>
      </c>
      <c r="D81" s="280" t="str">
        <f ca="1">IF(ISERROR(OFFSET('HARGA SATUAN'!$D$6,MATCH('RAB Standart'!C81,'HARGA SATUAN'!$C$7:$C$1509,0),0)),"",OFFSET('HARGA SATUAN'!$D$6,MATCH('RAB Standart'!C81,'HARGA SATUAN'!$C$7:$C$1509,0),0))</f>
        <v>HDW</v>
      </c>
      <c r="E81" s="281" t="str">
        <f ca="1">IF(B81="+","Unit",IF(ISERROR(OFFSET('HARGA SATUAN'!$E$6,MATCH('RAB Standart'!C81,'HARGA SATUAN'!$C$7:$C$1509,0),0)),"",OFFSET('HARGA SATUAN'!$E$6,MATCH('RAB Standart'!C81,'HARGA SATUAN'!$C$7:$C$1509,0),0)))</f>
        <v>Bh</v>
      </c>
      <c r="F81" s="290">
        <f>F64*3</f>
        <v>3</v>
      </c>
      <c r="G81" s="282">
        <f ca="1">IF(ISERROR(OFFSET('HARGA SATUAN'!$I$6,MATCH('RAB Standart'!C81,'HARGA SATUAN'!$C$7:$C$1509,0),0)),0,OFFSET('HARGA SATUAN'!$I$6,MATCH('RAB Standart'!C81,'HARGA SATUAN'!$C$7:$C$1509,0),0))</f>
        <v>57690</v>
      </c>
      <c r="H81" s="283">
        <f t="shared" ca="1" si="16"/>
        <v>0</v>
      </c>
      <c r="I81" s="283">
        <f t="shared" ca="1" si="17"/>
        <v>173070</v>
      </c>
      <c r="J81" s="283">
        <f t="shared" ca="1" si="18"/>
        <v>0</v>
      </c>
      <c r="K81" s="284">
        <f t="shared" ca="1" si="19"/>
        <v>173070</v>
      </c>
      <c r="L81" s="288"/>
      <c r="M81" s="288"/>
      <c r="N81" s="288"/>
      <c r="O81" s="285"/>
      <c r="P81" s="285"/>
      <c r="Q81" s="266"/>
      <c r="R81" s="258"/>
      <c r="S81" s="286"/>
      <c r="T81" s="263"/>
      <c r="U81" s="263"/>
      <c r="V81" s="263"/>
    </row>
    <row r="82" spans="1:22" s="289" customFormat="1" ht="14.25" customHeight="1">
      <c r="A82" s="258"/>
      <c r="B82" s="293">
        <v>18</v>
      </c>
      <c r="C82" s="494" t="s">
        <v>17</v>
      </c>
      <c r="D82" s="280" t="str">
        <f ca="1">IF(ISERROR(OFFSET('HARGA SATUAN'!$D$6,MATCH('RAB Standart'!C82,'HARGA SATUAN'!$C$7:$C$1509,0),0)),"",OFFSET('HARGA SATUAN'!$D$6,MATCH('RAB Standart'!C82,'HARGA SATUAN'!$C$7:$C$1509,0),0))</f>
        <v>HDW</v>
      </c>
      <c r="E82" s="281" t="str">
        <f ca="1">IF(B82="+","Unit",IF(ISERROR(OFFSET('HARGA SATUAN'!$E$6,MATCH('RAB Standart'!C82,'HARGA SATUAN'!$C$7:$C$1509,0),0)),"",OFFSET('HARGA SATUAN'!$E$6,MATCH('RAB Standart'!C82,'HARGA SATUAN'!$C$7:$C$1509,0),0)))</f>
        <v>Bh</v>
      </c>
      <c r="F82" s="290">
        <f>F64*6</f>
        <v>6</v>
      </c>
      <c r="G82" s="282">
        <f ca="1">IF(ISERROR(OFFSET('HARGA SATUAN'!$I$6,MATCH('RAB Standart'!C82,'HARGA SATUAN'!$C$7:$C$1509,0),0)),0,OFFSET('HARGA SATUAN'!$I$6,MATCH('RAB Standart'!C82,'HARGA SATUAN'!$C$7:$C$1509,0),0))</f>
        <v>16000</v>
      </c>
      <c r="H82" s="283">
        <f t="shared" ca="1" si="16"/>
        <v>0</v>
      </c>
      <c r="I82" s="283">
        <f t="shared" ca="1" si="17"/>
        <v>96000</v>
      </c>
      <c r="J82" s="283">
        <f t="shared" ca="1" si="18"/>
        <v>0</v>
      </c>
      <c r="K82" s="284">
        <f t="shared" ca="1" si="19"/>
        <v>96000</v>
      </c>
      <c r="L82" s="288"/>
      <c r="M82" s="288"/>
      <c r="N82" s="288"/>
      <c r="O82" s="285"/>
      <c r="P82" s="285"/>
      <c r="Q82" s="266"/>
      <c r="R82" s="258"/>
      <c r="S82" s="286"/>
      <c r="T82" s="263"/>
      <c r="U82" s="263"/>
      <c r="V82" s="263"/>
    </row>
    <row r="83" spans="1:22" s="289" customFormat="1" ht="14.25" customHeight="1">
      <c r="A83" s="258"/>
      <c r="B83" s="293">
        <v>19</v>
      </c>
      <c r="C83" s="494" t="s">
        <v>258</v>
      </c>
      <c r="D83" s="280" t="str">
        <f ca="1">IF(ISERROR(OFFSET('HARGA SATUAN'!$D$6,MATCH('RAB Standart'!C83,'HARGA SATUAN'!$C$7:$C$1509,0),0)),"",OFFSET('HARGA SATUAN'!$D$6,MATCH('RAB Standart'!C83,'HARGA SATUAN'!$C$7:$C$1509,0),0))</f>
        <v>HDW</v>
      </c>
      <c r="E83" s="281" t="str">
        <f ca="1">IF(B83="+","Unit",IF(ISERROR(OFFSET('HARGA SATUAN'!$E$6,MATCH('RAB Standart'!C83,'HARGA SATUAN'!$C$7:$C$1509,0),0)),"",OFFSET('HARGA SATUAN'!$E$6,MATCH('RAB Standart'!C83,'HARGA SATUAN'!$C$7:$C$1509,0),0)))</f>
        <v>Bh</v>
      </c>
      <c r="F83" s="290">
        <f>F64*2</f>
        <v>2</v>
      </c>
      <c r="G83" s="282">
        <f ca="1">IF(ISERROR(OFFSET('HARGA SATUAN'!$I$6,MATCH('RAB Standart'!C83,'HARGA SATUAN'!$C$7:$C$1509,0),0)),0,OFFSET('HARGA SATUAN'!$I$6,MATCH('RAB Standart'!C83,'HARGA SATUAN'!$C$7:$C$1509,0),0))</f>
        <v>33501.866666666669</v>
      </c>
      <c r="H83" s="283">
        <f t="shared" ca="1" si="16"/>
        <v>0</v>
      </c>
      <c r="I83" s="283">
        <f t="shared" ca="1" si="17"/>
        <v>67003.733333333337</v>
      </c>
      <c r="J83" s="283">
        <f t="shared" ca="1" si="18"/>
        <v>0</v>
      </c>
      <c r="K83" s="284">
        <f t="shared" ca="1" si="19"/>
        <v>67003.733333333337</v>
      </c>
      <c r="L83" s="288"/>
      <c r="M83" s="288"/>
      <c r="N83" s="288"/>
      <c r="O83" s="285"/>
      <c r="P83" s="285"/>
      <c r="Q83" s="266"/>
      <c r="R83" s="258"/>
      <c r="S83" s="286"/>
      <c r="T83" s="263"/>
      <c r="U83" s="263"/>
      <c r="V83" s="263"/>
    </row>
    <row r="84" spans="1:22" s="289" customFormat="1" ht="14.25" customHeight="1">
      <c r="A84" s="258"/>
      <c r="B84" s="293">
        <v>20</v>
      </c>
      <c r="C84" s="494" t="s">
        <v>29</v>
      </c>
      <c r="D84" s="280" t="str">
        <f ca="1">IF(ISERROR(OFFSET('HARGA SATUAN'!$D$6,MATCH('RAB Standart'!C84,'HARGA SATUAN'!$C$7:$C$1509,0),0)),"",OFFSET('HARGA SATUAN'!$D$6,MATCH('RAB Standart'!C84,'HARGA SATUAN'!$C$7:$C$1509,0),0))</f>
        <v>HDW</v>
      </c>
      <c r="E84" s="281" t="str">
        <f ca="1">IF(B84="+","Unit",IF(ISERROR(OFFSET('HARGA SATUAN'!$E$6,MATCH('RAB Standart'!C84,'HARGA SATUAN'!$C$7:$C$1509,0),0)),"",OFFSET('HARGA SATUAN'!$E$6,MATCH('RAB Standart'!C84,'HARGA SATUAN'!$C$7:$C$1509,0),0)))</f>
        <v>Mtr</v>
      </c>
      <c r="F84" s="290">
        <f>3.6*F64</f>
        <v>3.6</v>
      </c>
      <c r="G84" s="282">
        <f ca="1">IF(ISERROR(OFFSET('HARGA SATUAN'!$I$6,MATCH('RAB Standart'!C84,'HARGA SATUAN'!$C$7:$C$1509,0),0)),0,OFFSET('HARGA SATUAN'!$I$6,MATCH('RAB Standart'!C84,'HARGA SATUAN'!$C$7:$C$1509,0),0))</f>
        <v>8550</v>
      </c>
      <c r="H84" s="283">
        <f t="shared" ca="1" si="16"/>
        <v>0</v>
      </c>
      <c r="I84" s="283">
        <f t="shared" ca="1" si="17"/>
        <v>30780</v>
      </c>
      <c r="J84" s="283">
        <f t="shared" ca="1" si="18"/>
        <v>0</v>
      </c>
      <c r="K84" s="284">
        <f t="shared" ca="1" si="19"/>
        <v>30780</v>
      </c>
      <c r="L84" s="288"/>
      <c r="M84" s="288"/>
      <c r="N84" s="288"/>
      <c r="O84" s="285"/>
      <c r="P84" s="285"/>
      <c r="Q84" s="266"/>
      <c r="R84" s="258"/>
      <c r="S84" s="286"/>
      <c r="T84" s="263"/>
      <c r="U84" s="263"/>
      <c r="V84" s="263"/>
    </row>
    <row r="85" spans="1:22" s="289" customFormat="1" ht="14.25" customHeight="1">
      <c r="A85" s="258"/>
      <c r="B85" s="293">
        <v>21</v>
      </c>
      <c r="C85" s="494" t="s">
        <v>16</v>
      </c>
      <c r="D85" s="280" t="str">
        <f ca="1">IF(ISERROR(OFFSET('HARGA SATUAN'!$D$6,MATCH('RAB Standart'!C85,'HARGA SATUAN'!$C$7:$C$1509,0),0)),"",OFFSET('HARGA SATUAN'!$D$6,MATCH('RAB Standart'!C85,'HARGA SATUAN'!$C$7:$C$1509,0),0))</f>
        <v>HDW</v>
      </c>
      <c r="E85" s="281" t="str">
        <f ca="1">IF(B85="+","Unit",IF(ISERROR(OFFSET('HARGA SATUAN'!$E$6,MATCH('RAB Standart'!C85,'HARGA SATUAN'!$C$7:$C$1509,0),0)),"",OFFSET('HARGA SATUAN'!$E$6,MATCH('RAB Standart'!C85,'HARGA SATUAN'!$C$7:$C$1509,0),0)))</f>
        <v>Bh</v>
      </c>
      <c r="F85" s="290">
        <f>F64*22</f>
        <v>22</v>
      </c>
      <c r="G85" s="282">
        <f ca="1">IF(ISERROR(OFFSET('HARGA SATUAN'!$I$6,MATCH('RAB Standart'!C85,'HARGA SATUAN'!$C$7:$C$1509,0),0)),0,OFFSET('HARGA SATUAN'!$I$6,MATCH('RAB Standart'!C85,'HARGA SATUAN'!$C$7:$C$1509,0),0))</f>
        <v>2500</v>
      </c>
      <c r="H85" s="283">
        <f t="shared" ca="1" si="16"/>
        <v>0</v>
      </c>
      <c r="I85" s="283">
        <f t="shared" ca="1" si="17"/>
        <v>55000</v>
      </c>
      <c r="J85" s="283">
        <f t="shared" ca="1" si="18"/>
        <v>0</v>
      </c>
      <c r="K85" s="284">
        <f t="shared" ca="1" si="19"/>
        <v>55000</v>
      </c>
      <c r="L85" s="288"/>
      <c r="M85" s="288"/>
      <c r="N85" s="288"/>
      <c r="O85" s="285"/>
      <c r="P85" s="285"/>
      <c r="Q85" s="266"/>
      <c r="R85" s="258"/>
      <c r="S85" s="286"/>
      <c r="T85" s="263"/>
      <c r="U85" s="263"/>
      <c r="V85" s="263"/>
    </row>
    <row r="86" spans="1:22" s="289" customFormat="1" ht="14.25" customHeight="1">
      <c r="A86" s="258"/>
      <c r="B86" s="293">
        <v>22</v>
      </c>
      <c r="C86" s="494" t="s">
        <v>703</v>
      </c>
      <c r="D86" s="280" t="str">
        <f ca="1">IF(ISERROR(OFFSET('HARGA SATUAN'!$D$6,MATCH('RAB Standart'!C86,'HARGA SATUAN'!$C$7:$C$1509,0),0)),"",OFFSET('HARGA SATUAN'!$D$6,MATCH('RAB Standart'!C86,'HARGA SATUAN'!$C$7:$C$1509,0),0))</f>
        <v>JASA</v>
      </c>
      <c r="E86" s="281" t="str">
        <f ca="1">IF(B86="+","Unit",IF(ISERROR(OFFSET('HARGA SATUAN'!$E$6,MATCH('RAB Standart'!C86,'HARGA SATUAN'!$C$7:$C$1509,0),0)),"",OFFSET('HARGA SATUAN'!$E$6,MATCH('RAB Standart'!C86,'HARGA SATUAN'!$C$7:$C$1509,0),0)))</f>
        <v>Unit</v>
      </c>
      <c r="F86" s="290">
        <f>F64*1</f>
        <v>1</v>
      </c>
      <c r="G86" s="282">
        <f ca="1">IF(ISERROR(OFFSET('HARGA SATUAN'!$I$6,MATCH('RAB Standart'!C86,'HARGA SATUAN'!$C$7:$C$1509,0),0)),0,OFFSET('HARGA SATUAN'!$I$6,MATCH('RAB Standart'!C86,'HARGA SATUAN'!$C$7:$C$1509,0),0))</f>
        <v>197500</v>
      </c>
      <c r="H86" s="283">
        <f t="shared" ca="1" si="16"/>
        <v>0</v>
      </c>
      <c r="I86" s="283">
        <f t="shared" ca="1" si="17"/>
        <v>0</v>
      </c>
      <c r="J86" s="283">
        <f t="shared" ca="1" si="18"/>
        <v>197500</v>
      </c>
      <c r="K86" s="284">
        <f t="shared" ca="1" si="19"/>
        <v>197500</v>
      </c>
      <c r="L86" s="288"/>
      <c r="M86" s="288"/>
      <c r="N86" s="288"/>
      <c r="O86" s="285"/>
      <c r="P86" s="285"/>
      <c r="Q86" s="266"/>
      <c r="R86" s="258"/>
      <c r="S86" s="286"/>
      <c r="T86" s="263"/>
      <c r="U86" s="263"/>
      <c r="V86" s="263"/>
    </row>
    <row r="87" spans="1:22" s="289" customFormat="1" ht="14.25" customHeight="1">
      <c r="A87" s="258"/>
      <c r="B87" s="293"/>
      <c r="C87" s="494"/>
      <c r="D87" s="280" t="str">
        <f ca="1">IF(ISERROR(OFFSET('HARGA SATUAN'!$D$6,MATCH('RAB Standart'!C87,'HARGA SATUAN'!$C$7:$C$1509,0),0)),"",OFFSET('HARGA SATUAN'!$D$6,MATCH('RAB Standart'!C87,'HARGA SATUAN'!$C$7:$C$1509,0),0))</f>
        <v/>
      </c>
      <c r="E87" s="281" t="str">
        <f ca="1">IF(B87="+","Unit",IF(ISERROR(OFFSET('HARGA SATUAN'!$E$6,MATCH('RAB Standart'!C87,'HARGA SATUAN'!$C$7:$C$1509,0),0)),"",OFFSET('HARGA SATUAN'!$E$6,MATCH('RAB Standart'!C87,'HARGA SATUAN'!$C$7:$C$1509,0),0)))</f>
        <v/>
      </c>
      <c r="F87" s="290"/>
      <c r="G87" s="282">
        <f ca="1">IF(ISERROR(OFFSET('HARGA SATUAN'!$I$6,MATCH('RAB Standart'!C87,'HARGA SATUAN'!$C$7:$C$1509,0),0)),0,OFFSET('HARGA SATUAN'!$I$6,MATCH('RAB Standart'!C87,'HARGA SATUAN'!$C$7:$C$1509,0),0))</f>
        <v>0</v>
      </c>
      <c r="H87" s="283">
        <f t="shared" ref="H87:H93" ca="1" si="20">IF(OR(D87="MDU",D87="MDU-KD"),(IF($O$3="RAB NON MDU","PLN KD",G87*F87)),0)</f>
        <v>0</v>
      </c>
      <c r="I87" s="283">
        <f t="shared" ref="I87:I93" ca="1" si="21">IF(D87="HDW",G87*F87,0)</f>
        <v>0</v>
      </c>
      <c r="J87" s="283">
        <f t="shared" ref="J87:J93" ca="1" si="22">IF(D87="JASA",G87*F87,0)</f>
        <v>0</v>
      </c>
      <c r="K87" s="284">
        <f t="shared" ref="K87:K93" ca="1" si="23">SUM(H87:J87)</f>
        <v>0</v>
      </c>
      <c r="L87" s="288"/>
      <c r="M87" s="288"/>
      <c r="N87" s="288"/>
      <c r="O87" s="285"/>
      <c r="P87" s="285"/>
      <c r="Q87" s="266"/>
      <c r="R87" s="258"/>
      <c r="S87" s="286"/>
      <c r="T87" s="263"/>
      <c r="U87" s="263"/>
      <c r="V87" s="263"/>
    </row>
    <row r="88" spans="1:22" s="289" customFormat="1" ht="14.25" customHeight="1">
      <c r="A88" s="258"/>
      <c r="B88" s="293" t="s">
        <v>1008</v>
      </c>
      <c r="C88" s="494" t="s">
        <v>1679</v>
      </c>
      <c r="D88" s="280" t="str">
        <f ca="1">IF(ISERROR(OFFSET('HARGA SATUAN'!$D$6,MATCH('RAB Standart'!C88,'HARGA SATUAN'!$C$7:$C$1509,0),0)),"",OFFSET('HARGA SATUAN'!$D$6,MATCH('RAB Standart'!C88,'HARGA SATUAN'!$C$7:$C$1509,0),0))</f>
        <v/>
      </c>
      <c r="E88" s="281" t="str">
        <f ca="1">IF(B88="+","Unit",IF(ISERROR(OFFSET('HARGA SATUAN'!$E$6,MATCH('RAB Standart'!C88,'HARGA SATUAN'!$C$7:$C$1509,0),0)),"",OFFSET('HARGA SATUAN'!$E$6,MATCH('RAB Standart'!C88,'HARGA SATUAN'!$C$7:$C$1509,0),0)))</f>
        <v>Unit</v>
      </c>
      <c r="F88" s="290">
        <v>2</v>
      </c>
      <c r="G88" s="282">
        <f ca="1">IF(ISERROR(OFFSET('HARGA SATUAN'!$I$6,MATCH('RAB Standart'!C88,'HARGA SATUAN'!$C$7:$C$1509,0),0)),0,OFFSET('HARGA SATUAN'!$I$6,MATCH('RAB Standart'!C88,'HARGA SATUAN'!$C$7:$C$1509,0),0))</f>
        <v>0</v>
      </c>
      <c r="H88" s="283">
        <f t="shared" ca="1" si="20"/>
        <v>0</v>
      </c>
      <c r="I88" s="283">
        <f t="shared" ca="1" si="21"/>
        <v>0</v>
      </c>
      <c r="J88" s="283">
        <f t="shared" ca="1" si="22"/>
        <v>0</v>
      </c>
      <c r="K88" s="284">
        <f t="shared" ca="1" si="23"/>
        <v>0</v>
      </c>
      <c r="L88" s="288"/>
      <c r="M88" s="288"/>
      <c r="N88" s="288"/>
      <c r="O88" s="285"/>
      <c r="P88" s="285"/>
      <c r="Q88" s="266"/>
      <c r="R88" s="258"/>
      <c r="S88" s="286"/>
      <c r="T88" s="263"/>
      <c r="U88" s="263"/>
      <c r="V88" s="263"/>
    </row>
    <row r="89" spans="1:22" s="289" customFormat="1" ht="14.25" customHeight="1">
      <c r="A89" s="258"/>
      <c r="B89" s="293">
        <v>1</v>
      </c>
      <c r="C89" s="494" t="s">
        <v>19</v>
      </c>
      <c r="D89" s="280" t="str">
        <f ca="1">IF(ISERROR(OFFSET('HARGA SATUAN'!$D$6,MATCH('RAB Standart'!C89,'HARGA SATUAN'!$C$7:$C$1509,0),0)),"",OFFSET('HARGA SATUAN'!$D$6,MATCH('RAB Standart'!C89,'HARGA SATUAN'!$C$7:$C$1509,0),0))</f>
        <v>HDW</v>
      </c>
      <c r="E89" s="281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290">
        <f>F88*1</f>
        <v>2</v>
      </c>
      <c r="G89" s="282">
        <f ca="1">IF(ISERROR(OFFSET('HARGA SATUAN'!$I$6,MATCH('RAB Standart'!C89,'HARGA SATUAN'!$C$7:$C$1509,0),0)),0,OFFSET('HARGA SATUAN'!$I$6,MATCH('RAB Standart'!C89,'HARGA SATUAN'!$C$7:$C$1509,0),0))</f>
        <v>185200</v>
      </c>
      <c r="H89" s="283">
        <f t="shared" ca="1" si="20"/>
        <v>0</v>
      </c>
      <c r="I89" s="283">
        <f t="shared" ca="1" si="21"/>
        <v>370400</v>
      </c>
      <c r="J89" s="283">
        <f t="shared" ca="1" si="22"/>
        <v>0</v>
      </c>
      <c r="K89" s="284">
        <f t="shared" ca="1" si="23"/>
        <v>370400</v>
      </c>
      <c r="L89" s="288"/>
      <c r="M89" s="288"/>
      <c r="N89" s="288"/>
      <c r="O89" s="285"/>
      <c r="P89" s="285"/>
      <c r="Q89" s="266"/>
      <c r="R89" s="258"/>
      <c r="S89" s="286"/>
      <c r="T89" s="263"/>
      <c r="U89" s="263"/>
      <c r="V89" s="263"/>
    </row>
    <row r="90" spans="1:22" s="289" customFormat="1" ht="14.25" customHeight="1">
      <c r="A90" s="258"/>
      <c r="B90" s="293">
        <v>2</v>
      </c>
      <c r="C90" s="494" t="s">
        <v>20</v>
      </c>
      <c r="D90" s="280" t="str">
        <f ca="1">IF(ISERROR(OFFSET('HARGA SATUAN'!$D$6,MATCH('RAB Standart'!C90,'HARGA SATUAN'!$C$7:$C$1509,0),0)),"",OFFSET('HARGA SATUAN'!$D$6,MATCH('RAB Standart'!C90,'HARGA SATUAN'!$C$7:$C$1509,0),0))</f>
        <v>HDW</v>
      </c>
      <c r="E90" s="281" t="str">
        <f ca="1">IF(B90="+","Unit",IF(ISERROR(OFFSET('HARGA SATUAN'!$E$6,MATCH('RAB Standart'!C90,'HARGA SATUAN'!$C$7:$C$1509,0),0)),"",OFFSET('HARGA SATUAN'!$E$6,MATCH('RAB Standart'!C90,'HARGA SATUAN'!$C$7:$C$1509,0),0)))</f>
        <v>Bh</v>
      </c>
      <c r="F90" s="290">
        <f>F88*1</f>
        <v>2</v>
      </c>
      <c r="G90" s="282">
        <f ca="1">IF(ISERROR(OFFSET('HARGA SATUAN'!$I$6,MATCH('RAB Standart'!C90,'HARGA SATUAN'!$C$7:$C$1509,0),0)),0,OFFSET('HARGA SATUAN'!$I$6,MATCH('RAB Standart'!C90,'HARGA SATUAN'!$C$7:$C$1509,0),0))</f>
        <v>47459</v>
      </c>
      <c r="H90" s="283">
        <f t="shared" ca="1" si="20"/>
        <v>0</v>
      </c>
      <c r="I90" s="283">
        <f t="shared" ca="1" si="21"/>
        <v>94918</v>
      </c>
      <c r="J90" s="283">
        <f t="shared" ca="1" si="22"/>
        <v>0</v>
      </c>
      <c r="K90" s="284">
        <f t="shared" ca="1" si="23"/>
        <v>94918</v>
      </c>
      <c r="L90" s="288"/>
      <c r="M90" s="288"/>
      <c r="N90" s="288"/>
      <c r="O90" s="285"/>
      <c r="P90" s="285"/>
      <c r="Q90" s="266"/>
      <c r="R90" s="258"/>
      <c r="S90" s="286"/>
      <c r="T90" s="263"/>
      <c r="U90" s="263"/>
      <c r="V90" s="263"/>
    </row>
    <row r="91" spans="1:22" s="289" customFormat="1" ht="14.25" customHeight="1">
      <c r="A91" s="258"/>
      <c r="B91" s="293">
        <v>3</v>
      </c>
      <c r="C91" s="494" t="s">
        <v>21</v>
      </c>
      <c r="D91" s="280" t="str">
        <f ca="1">IF(ISERROR(OFFSET('HARGA SATUAN'!$D$6,MATCH('RAB Standart'!C91,'HARGA SATUAN'!$C$7:$C$1509,0),0)),"",OFFSET('HARGA SATUAN'!$D$6,MATCH('RAB Standart'!C91,'HARGA SATUAN'!$C$7:$C$1509,0),0))</f>
        <v>HDW</v>
      </c>
      <c r="E91" s="281" t="str">
        <f ca="1">IF(B91="+","Unit",IF(ISERROR(OFFSET('HARGA SATUAN'!$E$6,MATCH('RAB Standart'!C91,'HARGA SATUAN'!$C$7:$C$1509,0),0)),"",OFFSET('HARGA SATUAN'!$E$6,MATCH('RAB Standart'!C91,'HARGA SATUAN'!$C$7:$C$1509,0),0)))</f>
        <v>Bh</v>
      </c>
      <c r="F91" s="290">
        <f>F88*1</f>
        <v>2</v>
      </c>
      <c r="G91" s="282">
        <f ca="1">IF(ISERROR(OFFSET('HARGA SATUAN'!$I$6,MATCH('RAB Standart'!C91,'HARGA SATUAN'!$C$7:$C$1509,0),0)),0,OFFSET('HARGA SATUAN'!$I$6,MATCH('RAB Standart'!C91,'HARGA SATUAN'!$C$7:$C$1509,0),0))</f>
        <v>4880</v>
      </c>
      <c r="H91" s="283">
        <f t="shared" ca="1" si="20"/>
        <v>0</v>
      </c>
      <c r="I91" s="283">
        <f t="shared" ca="1" si="21"/>
        <v>9760</v>
      </c>
      <c r="J91" s="283">
        <f t="shared" ca="1" si="22"/>
        <v>0</v>
      </c>
      <c r="K91" s="284">
        <f t="shared" ca="1" si="23"/>
        <v>9760</v>
      </c>
      <c r="L91" s="288"/>
      <c r="M91" s="288"/>
      <c r="N91" s="288"/>
      <c r="O91" s="285"/>
      <c r="P91" s="285"/>
      <c r="Q91" s="266"/>
      <c r="R91" s="258"/>
      <c r="S91" s="286"/>
      <c r="T91" s="263"/>
      <c r="U91" s="263"/>
      <c r="V91" s="263"/>
    </row>
    <row r="92" spans="1:22" s="289" customFormat="1" ht="14.25" customHeight="1">
      <c r="A92" s="258"/>
      <c r="B92" s="293">
        <v>4</v>
      </c>
      <c r="C92" s="494" t="s">
        <v>22</v>
      </c>
      <c r="D92" s="280" t="str">
        <f ca="1">IF(ISERROR(OFFSET('HARGA SATUAN'!$D$6,MATCH('RAB Standart'!C92,'HARGA SATUAN'!$C$7:$C$1509,0),0)),"",OFFSET('HARGA SATUAN'!$D$6,MATCH('RAB Standart'!C92,'HARGA SATUAN'!$C$7:$C$1509,0),0))</f>
        <v>HDW</v>
      </c>
      <c r="E92" s="281" t="str">
        <f ca="1">IF(B92="+","Unit",IF(ISERROR(OFFSET('HARGA SATUAN'!$E$6,MATCH('RAB Standart'!C92,'HARGA SATUAN'!$C$7:$C$1509,0),0)),"",OFFSET('HARGA SATUAN'!$E$6,MATCH('RAB Standart'!C92,'HARGA SATUAN'!$C$7:$C$1509,0),0)))</f>
        <v>Mtr</v>
      </c>
      <c r="F92" s="290">
        <f>F88*10</f>
        <v>20</v>
      </c>
      <c r="G92" s="282">
        <f ca="1">IF(ISERROR(OFFSET('HARGA SATUAN'!$I$6,MATCH('RAB Standart'!C92,'HARGA SATUAN'!$C$7:$C$1509,0),0)),0,OFFSET('HARGA SATUAN'!$I$6,MATCH('RAB Standart'!C92,'HARGA SATUAN'!$C$7:$C$1509,0),0))</f>
        <v>30000</v>
      </c>
      <c r="H92" s="283">
        <f t="shared" ca="1" si="20"/>
        <v>0</v>
      </c>
      <c r="I92" s="283">
        <f t="shared" ca="1" si="21"/>
        <v>600000</v>
      </c>
      <c r="J92" s="283">
        <f t="shared" ca="1" si="22"/>
        <v>0</v>
      </c>
      <c r="K92" s="284">
        <f t="shared" ca="1" si="23"/>
        <v>600000</v>
      </c>
      <c r="L92" s="288"/>
      <c r="M92" s="288"/>
      <c r="N92" s="288"/>
      <c r="O92" s="285"/>
      <c r="P92" s="285"/>
      <c r="Q92" s="266"/>
      <c r="R92" s="258"/>
      <c r="S92" s="286"/>
      <c r="T92" s="263"/>
      <c r="U92" s="263"/>
      <c r="V92" s="263"/>
    </row>
    <row r="93" spans="1:22" s="289" customFormat="1" ht="14.25" customHeight="1">
      <c r="A93" s="258"/>
      <c r="B93" s="293">
        <v>5</v>
      </c>
      <c r="C93" s="494" t="s">
        <v>23</v>
      </c>
      <c r="D93" s="280" t="str">
        <f ca="1">IF(ISERROR(OFFSET('HARGA SATUAN'!$D$6,MATCH('RAB Standart'!C93,'HARGA SATUAN'!$C$7:$C$1509,0),0)),"",OFFSET('HARGA SATUAN'!$D$6,MATCH('RAB Standart'!C93,'HARGA SATUAN'!$C$7:$C$1509,0),0))</f>
        <v>HDW</v>
      </c>
      <c r="E93" s="281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290">
        <f>F88*2</f>
        <v>4</v>
      </c>
      <c r="G93" s="282">
        <f ca="1">IF(ISERROR(OFFSET('HARGA SATUAN'!$I$6,MATCH('RAB Standart'!C93,'HARGA SATUAN'!$C$7:$C$1509,0),0)),0,OFFSET('HARGA SATUAN'!$I$6,MATCH('RAB Standart'!C93,'HARGA SATUAN'!$C$7:$C$1509,0),0))</f>
        <v>9500</v>
      </c>
      <c r="H93" s="283">
        <f t="shared" ca="1" si="20"/>
        <v>0</v>
      </c>
      <c r="I93" s="283">
        <f t="shared" ca="1" si="21"/>
        <v>38000</v>
      </c>
      <c r="J93" s="283">
        <f t="shared" ca="1" si="22"/>
        <v>0</v>
      </c>
      <c r="K93" s="284">
        <f t="shared" ca="1" si="23"/>
        <v>38000</v>
      </c>
      <c r="L93" s="288"/>
      <c r="M93" s="288"/>
      <c r="N93" s="288"/>
      <c r="O93" s="285"/>
      <c r="P93" s="285"/>
      <c r="Q93" s="266"/>
      <c r="R93" s="258"/>
      <c r="S93" s="286"/>
      <c r="T93" s="263"/>
      <c r="U93" s="263"/>
      <c r="V93" s="263"/>
    </row>
    <row r="94" spans="1:22" s="289" customFormat="1" ht="14.25" customHeight="1">
      <c r="A94" s="258"/>
      <c r="B94" s="293">
        <v>6</v>
      </c>
      <c r="C94" s="494" t="s">
        <v>24</v>
      </c>
      <c r="D94" s="280" t="str">
        <f ca="1">IF(ISERROR(OFFSET('HARGA SATUAN'!$D$6,MATCH('RAB Standart'!C94,'HARGA SATUAN'!$C$7:$C$1509,0),0)),"",OFFSET('HARGA SATUAN'!$D$6,MATCH('RAB Standart'!C94,'HARGA SATUAN'!$C$7:$C$1509,0),0))</f>
        <v>HDW</v>
      </c>
      <c r="E94" s="281" t="str">
        <f ca="1">IF(B94="+","Unit",IF(ISERROR(OFFSET('HARGA SATUAN'!$E$6,MATCH('RAB Standart'!C94,'HARGA SATUAN'!$C$7:$C$1509,0),0)),"",OFFSET('HARGA SATUAN'!$E$6,MATCH('RAB Standart'!C94,'HARGA SATUAN'!$C$7:$C$1509,0),0)))</f>
        <v>Bh</v>
      </c>
      <c r="F94" s="290">
        <f>F88*5.5</f>
        <v>11</v>
      </c>
      <c r="G94" s="282">
        <f ca="1">IF(ISERROR(OFFSET('HARGA SATUAN'!$I$6,MATCH('RAB Standart'!C94,'HARGA SATUAN'!$C$7:$C$1509,0),0)),0,OFFSET('HARGA SATUAN'!$I$6,MATCH('RAB Standart'!C94,'HARGA SATUAN'!$C$7:$C$1509,0),0))</f>
        <v>6100</v>
      </c>
      <c r="H94" s="283">
        <f t="shared" ref="H94:H97" ca="1" si="24">IF(OR(D94="MDU",D94="MDU-KD"),(IF($O$3="RAB NON MDU","PLN KD",G94*F94)),0)</f>
        <v>0</v>
      </c>
      <c r="I94" s="283">
        <f t="shared" ref="I94:I97" ca="1" si="25">IF(D94="HDW",G94*F94,0)</f>
        <v>67100</v>
      </c>
      <c r="J94" s="283">
        <f t="shared" ref="J94:J97" ca="1" si="26">IF(D94="JASA",G94*F94,0)</f>
        <v>0</v>
      </c>
      <c r="K94" s="284">
        <f t="shared" ref="K94:K97" ca="1" si="27">SUM(H94:J94)</f>
        <v>67100</v>
      </c>
      <c r="L94" s="288"/>
      <c r="M94" s="288"/>
      <c r="N94" s="288"/>
      <c r="O94" s="285"/>
      <c r="P94" s="285"/>
      <c r="Q94" s="266"/>
      <c r="R94" s="258"/>
      <c r="S94" s="286"/>
      <c r="T94" s="263"/>
      <c r="U94" s="263"/>
      <c r="V94" s="263"/>
    </row>
    <row r="95" spans="1:22" s="289" customFormat="1" ht="14.25" customHeight="1">
      <c r="A95" s="258"/>
      <c r="B95" s="293">
        <v>7</v>
      </c>
      <c r="C95" s="494" t="s">
        <v>25</v>
      </c>
      <c r="D95" s="280" t="str">
        <f ca="1">IF(ISERROR(OFFSET('HARGA SATUAN'!$D$6,MATCH('RAB Standart'!C95,'HARGA SATUAN'!$C$7:$C$1509,0),0)),"",OFFSET('HARGA SATUAN'!$D$6,MATCH('RAB Standart'!C95,'HARGA SATUAN'!$C$7:$C$1509,0),0))</f>
        <v>HDW</v>
      </c>
      <c r="E95" s="281" t="str">
        <f ca="1">IF(B95="+","Unit",IF(ISERROR(OFFSET('HARGA SATUAN'!$E$6,MATCH('RAB Standart'!C95,'HARGA SATUAN'!$C$7:$C$1509,0),0)),"",OFFSET('HARGA SATUAN'!$E$6,MATCH('RAB Standart'!C95,'HARGA SATUAN'!$C$7:$C$1509,0),0)))</f>
        <v>Bh</v>
      </c>
      <c r="F95" s="290">
        <f>F88*6</f>
        <v>12</v>
      </c>
      <c r="G95" s="282">
        <f ca="1">IF(ISERROR(OFFSET('HARGA SATUAN'!$I$6,MATCH('RAB Standart'!C95,'HARGA SATUAN'!$C$7:$C$1509,0),0)),0,OFFSET('HARGA SATUAN'!$I$6,MATCH('RAB Standart'!C95,'HARGA SATUAN'!$C$7:$C$1509,0),0))</f>
        <v>2300</v>
      </c>
      <c r="H95" s="283">
        <f t="shared" ca="1" si="24"/>
        <v>0</v>
      </c>
      <c r="I95" s="283">
        <f t="shared" ca="1" si="25"/>
        <v>27600</v>
      </c>
      <c r="J95" s="283">
        <f t="shared" ca="1" si="26"/>
        <v>0</v>
      </c>
      <c r="K95" s="284">
        <f t="shared" ca="1" si="27"/>
        <v>27600</v>
      </c>
      <c r="L95" s="288"/>
      <c r="M95" s="288"/>
      <c r="N95" s="288"/>
      <c r="O95" s="285"/>
      <c r="P95" s="285"/>
      <c r="Q95" s="266"/>
      <c r="R95" s="258"/>
      <c r="S95" s="286"/>
      <c r="T95" s="263"/>
      <c r="U95" s="263"/>
      <c r="V95" s="263"/>
    </row>
    <row r="96" spans="1:22" s="289" customFormat="1" ht="14.25" customHeight="1">
      <c r="A96" s="258"/>
      <c r="B96" s="293">
        <v>8</v>
      </c>
      <c r="C96" s="494" t="s">
        <v>1659</v>
      </c>
      <c r="D96" s="280" t="str">
        <f ca="1">IF(ISERROR(OFFSET('HARGA SATUAN'!$D$6,MATCH('RAB Standart'!C96,'HARGA SATUAN'!$C$7:$C$1509,0),0)),"",OFFSET('HARGA SATUAN'!$D$6,MATCH('RAB Standart'!C96,'HARGA SATUAN'!$C$7:$C$1509,0),0))</f>
        <v>HDW</v>
      </c>
      <c r="E96" s="281" t="str">
        <f ca="1">IF(B96="+","Unit",IF(ISERROR(OFFSET('HARGA SATUAN'!$E$6,MATCH('RAB Standart'!C96,'HARGA SATUAN'!$C$7:$C$1509,0),0)),"",OFFSET('HARGA SATUAN'!$E$6,MATCH('RAB Standart'!C96,'HARGA SATUAN'!$C$7:$C$1509,0),0)))</f>
        <v>Mtr</v>
      </c>
      <c r="F96" s="290">
        <f>F88*4.8</f>
        <v>9.6</v>
      </c>
      <c r="G96" s="282">
        <f ca="1">IF(ISERROR(OFFSET('HARGA SATUAN'!$I$6,MATCH('RAB Standart'!C96,'HARGA SATUAN'!$C$7:$C$1509,0),0)),0,OFFSET('HARGA SATUAN'!$I$6,MATCH('RAB Standart'!C96,'HARGA SATUAN'!$C$7:$C$1509,0),0))</f>
        <v>23310</v>
      </c>
      <c r="H96" s="283">
        <f t="shared" ca="1" si="24"/>
        <v>0</v>
      </c>
      <c r="I96" s="283">
        <f t="shared" ca="1" si="25"/>
        <v>223776</v>
      </c>
      <c r="J96" s="283">
        <f t="shared" ca="1" si="26"/>
        <v>0</v>
      </c>
      <c r="K96" s="284">
        <f t="shared" ca="1" si="27"/>
        <v>223776</v>
      </c>
      <c r="L96" s="288"/>
      <c r="M96" s="288"/>
      <c r="N96" s="288"/>
      <c r="O96" s="285"/>
      <c r="P96" s="285"/>
      <c r="Q96" s="266"/>
      <c r="R96" s="258"/>
      <c r="S96" s="286"/>
      <c r="T96" s="263"/>
      <c r="U96" s="263"/>
      <c r="V96" s="263"/>
    </row>
    <row r="97" spans="1:22" s="289" customFormat="1" ht="14.25" customHeight="1">
      <c r="A97" s="258"/>
      <c r="B97" s="293">
        <v>9</v>
      </c>
      <c r="C97" s="494" t="s">
        <v>730</v>
      </c>
      <c r="D97" s="280" t="str">
        <f ca="1">IF(ISERROR(OFFSET('HARGA SATUAN'!$D$6,MATCH('RAB Standart'!C97,'HARGA SATUAN'!$C$7:$C$1509,0),0)),"",OFFSET('HARGA SATUAN'!$D$6,MATCH('RAB Standart'!C97,'HARGA SATUAN'!$C$7:$C$1509,0),0))</f>
        <v>JASA</v>
      </c>
      <c r="E97" s="281" t="str">
        <f ca="1">IF(B97="+","Unit",IF(ISERROR(OFFSET('HARGA SATUAN'!$E$6,MATCH('RAB Standart'!C97,'HARGA SATUAN'!$C$7:$C$1509,0),0)),"",OFFSET('HARGA SATUAN'!$E$6,MATCH('RAB Standart'!C97,'HARGA SATUAN'!$C$7:$C$1509,0),0)))</f>
        <v>Unit</v>
      </c>
      <c r="F97" s="290">
        <f>F88*1</f>
        <v>2</v>
      </c>
      <c r="G97" s="282">
        <f ca="1">IF(ISERROR(OFFSET('HARGA SATUAN'!$I$6,MATCH('RAB Standart'!C97,'HARGA SATUAN'!$C$7:$C$1509,0),0)),0,OFFSET('HARGA SATUAN'!$I$6,MATCH('RAB Standart'!C97,'HARGA SATUAN'!$C$7:$C$1509,0),0))</f>
        <v>65400</v>
      </c>
      <c r="H97" s="283">
        <f t="shared" ca="1" si="24"/>
        <v>0</v>
      </c>
      <c r="I97" s="283">
        <f t="shared" ca="1" si="25"/>
        <v>0</v>
      </c>
      <c r="J97" s="283">
        <f t="shared" ca="1" si="26"/>
        <v>130800</v>
      </c>
      <c r="K97" s="284">
        <f t="shared" ca="1" si="27"/>
        <v>130800</v>
      </c>
      <c r="L97" s="288"/>
      <c r="M97" s="288"/>
      <c r="N97" s="288"/>
      <c r="O97" s="285"/>
      <c r="P97" s="285"/>
      <c r="Q97" s="266"/>
      <c r="R97" s="258"/>
      <c r="S97" s="286"/>
      <c r="T97" s="263"/>
      <c r="U97" s="263"/>
      <c r="V97" s="263"/>
    </row>
    <row r="98" spans="1:22" s="289" customFormat="1" ht="14.25" customHeight="1">
      <c r="A98" s="258"/>
      <c r="B98" s="291"/>
      <c r="C98" s="292"/>
      <c r="D98" s="280" t="str">
        <f ca="1">IF(ISERROR(OFFSET('HARGA SATUAN'!$D$6,MATCH('RAB Standart'!C98,'HARGA SATUAN'!$C$7:$C$1509,0),0)),"",OFFSET('HARGA SATUAN'!$D$6,MATCH('RAB Standart'!C98,'HARGA SATUAN'!$C$7:$C$1509,0),0))</f>
        <v/>
      </c>
      <c r="E98" s="281" t="str">
        <f ca="1">IF(B98="+","Unit",IF(ISERROR(OFFSET('HARGA SATUAN'!$E$6,MATCH('RAB Standart'!C98,'HARGA SATUAN'!$C$7:$C$1509,0),0)),"",OFFSET('HARGA SATUAN'!$E$6,MATCH('RAB Standart'!C98,'HARGA SATUAN'!$C$7:$C$1509,0),0)))</f>
        <v/>
      </c>
      <c r="F98" s="290"/>
      <c r="G98" s="282">
        <f ca="1">IF(ISERROR(OFFSET('HARGA SATUAN'!$I$6,MATCH('RAB Standart'!C98,'HARGA SATUAN'!$C$7:$C$1509,0),0)),0,OFFSET('HARGA SATUAN'!$I$6,MATCH('RAB Standart'!C98,'HARGA SATUAN'!$C$7:$C$1509,0),0))</f>
        <v>0</v>
      </c>
      <c r="H98" s="283">
        <f t="shared" ref="H98:H103" ca="1" si="28">IF(OR(D98="MDU",D98="MDU-KD"),(IF($O$3="RAB NON MDU","PLN KD",G98*F98)),0)</f>
        <v>0</v>
      </c>
      <c r="I98" s="283">
        <f t="shared" ref="I98:I103" ca="1" si="29">IF(D98="HDW",G98*F98,0)</f>
        <v>0</v>
      </c>
      <c r="J98" s="283">
        <f t="shared" ref="J98:J103" ca="1" si="30">IF(D98="JASA",G98*F98,0)</f>
        <v>0</v>
      </c>
      <c r="K98" s="284">
        <f t="shared" ref="K98:K103" ca="1" si="31">SUM(H98:J98)</f>
        <v>0</v>
      </c>
      <c r="L98" s="288"/>
      <c r="M98" s="288"/>
      <c r="N98" s="288"/>
      <c r="O98" s="285"/>
      <c r="P98" s="285"/>
      <c r="Q98" s="266"/>
      <c r="R98" s="258"/>
      <c r="S98" s="286"/>
      <c r="T98" s="263"/>
      <c r="U98" s="263"/>
      <c r="V98" s="263"/>
    </row>
    <row r="99" spans="1:22" s="289" customFormat="1" ht="14.25" customHeight="1">
      <c r="A99" s="258"/>
      <c r="B99" s="293" t="s">
        <v>1008</v>
      </c>
      <c r="C99" s="494" t="s">
        <v>1624</v>
      </c>
      <c r="D99" s="280" t="str">
        <f ca="1">IF(ISERROR(OFFSET('HARGA SATUAN'!$D$6,MATCH('RAB Standart'!C99,'HARGA SATUAN'!$C$7:$C$1509,0),0)),"",OFFSET('HARGA SATUAN'!$D$6,MATCH('RAB Standart'!C99,'HARGA SATUAN'!$C$7:$C$1509,0),0))</f>
        <v/>
      </c>
      <c r="E99" s="281" t="str">
        <f ca="1">IF(B99="+","Unit",IF(ISERROR(OFFSET('HARGA SATUAN'!$E$6,MATCH('RAB Standart'!C99,'HARGA SATUAN'!$C$7:$C$1509,0),0)),"",OFFSET('HARGA SATUAN'!$E$6,MATCH('RAB Standart'!C99,'HARGA SATUAN'!$C$7:$C$1509,0),0)))</f>
        <v>Unit</v>
      </c>
      <c r="F99" s="290">
        <v>1</v>
      </c>
      <c r="G99" s="282">
        <f ca="1">IF(ISERROR(OFFSET('HARGA SATUAN'!$I$6,MATCH('RAB Standart'!C99,'HARGA SATUAN'!$C$7:$C$1509,0),0)),0,OFFSET('HARGA SATUAN'!$I$6,MATCH('RAB Standart'!C99,'HARGA SATUAN'!$C$7:$C$1509,0),0))</f>
        <v>0</v>
      </c>
      <c r="H99" s="283">
        <f t="shared" ca="1" si="28"/>
        <v>0</v>
      </c>
      <c r="I99" s="283">
        <f t="shared" ca="1" si="29"/>
        <v>0</v>
      </c>
      <c r="J99" s="283">
        <f t="shared" ca="1" si="30"/>
        <v>0</v>
      </c>
      <c r="K99" s="284">
        <f t="shared" ca="1" si="31"/>
        <v>0</v>
      </c>
      <c r="L99" s="288"/>
      <c r="M99" s="288"/>
      <c r="N99" s="288"/>
      <c r="O99" s="285"/>
      <c r="P99" s="285"/>
      <c r="Q99" s="266"/>
      <c r="R99" s="258"/>
      <c r="S99" s="286"/>
      <c r="T99" s="263"/>
      <c r="U99" s="263"/>
      <c r="V99" s="263"/>
    </row>
    <row r="100" spans="1:22" s="289" customFormat="1" ht="14.25" customHeight="1">
      <c r="A100" s="258"/>
      <c r="B100" s="293">
        <v>1</v>
      </c>
      <c r="C100" s="494" t="s">
        <v>30</v>
      </c>
      <c r="D100" s="280" t="str">
        <f ca="1">IF(ISERROR(OFFSET('HARGA SATUAN'!$D$6,MATCH('RAB Standart'!C100,'HARGA SATUAN'!$C$7:$C$1509,0),0)),"",OFFSET('HARGA SATUAN'!$D$6,MATCH('RAB Standart'!C100,'HARGA SATUAN'!$C$7:$C$1509,0),0))</f>
        <v>MDU-KD</v>
      </c>
      <c r="E100" s="281" t="str">
        <f ca="1">IF(B100="+","Unit",IF(ISERROR(OFFSET('HARGA SATUAN'!$E$6,MATCH('RAB Standart'!C100,'HARGA SATUAN'!$C$7:$C$1509,0),0)),"",OFFSET('HARGA SATUAN'!$E$6,MATCH('RAB Standart'!C100,'HARGA SATUAN'!$C$7:$C$1509,0),0)))</f>
        <v>Bh</v>
      </c>
      <c r="F100" s="290">
        <f>F99*1</f>
        <v>1</v>
      </c>
      <c r="G100" s="282">
        <f ca="1">IF(ISERROR(OFFSET('HARGA SATUAN'!$I$6,MATCH('RAB Standart'!C100,'HARGA SATUAN'!$C$7:$C$1509,0),0)),0,OFFSET('HARGA SATUAN'!$I$6,MATCH('RAB Standart'!C100,'HARGA SATUAN'!$C$7:$C$1509,0),0))</f>
        <v>235900</v>
      </c>
      <c r="H100" s="283">
        <f t="shared" ca="1" si="28"/>
        <v>235900</v>
      </c>
      <c r="I100" s="283">
        <f t="shared" ca="1" si="29"/>
        <v>0</v>
      </c>
      <c r="J100" s="283">
        <f t="shared" ca="1" si="30"/>
        <v>0</v>
      </c>
      <c r="K100" s="284">
        <f t="shared" ca="1" si="31"/>
        <v>235900</v>
      </c>
      <c r="L100" s="288"/>
      <c r="M100" s="288"/>
      <c r="N100" s="288"/>
      <c r="O100" s="285"/>
      <c r="P100" s="285"/>
      <c r="Q100" s="266"/>
      <c r="R100" s="258"/>
      <c r="S100" s="286"/>
      <c r="T100" s="263"/>
      <c r="U100" s="263"/>
      <c r="V100" s="263"/>
    </row>
    <row r="101" spans="1:22" s="289" customFormat="1" ht="14.25" customHeight="1">
      <c r="A101" s="258"/>
      <c r="B101" s="293">
        <v>2</v>
      </c>
      <c r="C101" s="494" t="s">
        <v>16</v>
      </c>
      <c r="D101" s="280" t="str">
        <f ca="1">IF(ISERROR(OFFSET('HARGA SATUAN'!$D$6,MATCH('RAB Standart'!C101,'HARGA SATUAN'!$C$7:$C$1509,0),0)),"",OFFSET('HARGA SATUAN'!$D$6,MATCH('RAB Standart'!C101,'HARGA SATUAN'!$C$7:$C$1509,0),0))</f>
        <v>HDW</v>
      </c>
      <c r="E101" s="281" t="str">
        <f ca="1">IF(B101="+","Unit",IF(ISERROR(OFFSET('HARGA SATUAN'!$E$6,MATCH('RAB Standart'!C101,'HARGA SATUAN'!$C$7:$C$1509,0),0)),"",OFFSET('HARGA SATUAN'!$E$6,MATCH('RAB Standart'!C101,'HARGA SATUAN'!$C$7:$C$1509,0),0)))</f>
        <v>Bh</v>
      </c>
      <c r="F101" s="290">
        <f>F99*2</f>
        <v>2</v>
      </c>
      <c r="G101" s="282">
        <f ca="1">IF(ISERROR(OFFSET('HARGA SATUAN'!$I$6,MATCH('RAB Standart'!C101,'HARGA SATUAN'!$C$7:$C$1509,0),0)),0,OFFSET('HARGA SATUAN'!$I$6,MATCH('RAB Standart'!C101,'HARGA SATUAN'!$C$7:$C$1509,0),0))</f>
        <v>2500</v>
      </c>
      <c r="H101" s="283">
        <f t="shared" ca="1" si="28"/>
        <v>0</v>
      </c>
      <c r="I101" s="283">
        <f t="shared" ca="1" si="29"/>
        <v>5000</v>
      </c>
      <c r="J101" s="283">
        <f t="shared" ca="1" si="30"/>
        <v>0</v>
      </c>
      <c r="K101" s="284">
        <f t="shared" ca="1" si="31"/>
        <v>5000</v>
      </c>
      <c r="L101" s="288"/>
      <c r="M101" s="288"/>
      <c r="N101" s="288"/>
      <c r="O101" s="285"/>
      <c r="P101" s="285"/>
      <c r="Q101" s="266"/>
      <c r="R101" s="258"/>
      <c r="S101" s="286"/>
      <c r="T101" s="263"/>
      <c r="U101" s="263"/>
      <c r="V101" s="263"/>
    </row>
    <row r="102" spans="1:22" s="289" customFormat="1" ht="14.25" customHeight="1">
      <c r="A102" s="258"/>
      <c r="B102" s="293">
        <v>3</v>
      </c>
      <c r="C102" s="494" t="s">
        <v>29</v>
      </c>
      <c r="D102" s="280" t="str">
        <f ca="1">IF(ISERROR(OFFSET('HARGA SATUAN'!$D$6,MATCH('RAB Standart'!C102,'HARGA SATUAN'!$C$7:$C$1509,0),0)),"",OFFSET('HARGA SATUAN'!$D$6,MATCH('RAB Standart'!C102,'HARGA SATUAN'!$C$7:$C$1509,0),0))</f>
        <v>HDW</v>
      </c>
      <c r="E102" s="281" t="str">
        <f ca="1">IF(B102="+","Unit",IF(ISERROR(OFFSET('HARGA SATUAN'!$E$6,MATCH('RAB Standart'!C102,'HARGA SATUAN'!$C$7:$C$1509,0),0)),"",OFFSET('HARGA SATUAN'!$E$6,MATCH('RAB Standart'!C102,'HARGA SATUAN'!$C$7:$C$1509,0),0)))</f>
        <v>Mtr</v>
      </c>
      <c r="F102" s="290">
        <f>F100*1.8</f>
        <v>1.8</v>
      </c>
      <c r="G102" s="282">
        <f ca="1">IF(ISERROR(OFFSET('HARGA SATUAN'!$I$6,MATCH('RAB Standart'!C102,'HARGA SATUAN'!$C$7:$C$1509,0),0)),0,OFFSET('HARGA SATUAN'!$I$6,MATCH('RAB Standart'!C102,'HARGA SATUAN'!$C$7:$C$1509,0),0))</f>
        <v>8550</v>
      </c>
      <c r="H102" s="283">
        <f t="shared" ca="1" si="28"/>
        <v>0</v>
      </c>
      <c r="I102" s="283">
        <f t="shared" ca="1" si="29"/>
        <v>15390</v>
      </c>
      <c r="J102" s="283">
        <f t="shared" ca="1" si="30"/>
        <v>0</v>
      </c>
      <c r="K102" s="284">
        <f t="shared" ca="1" si="31"/>
        <v>15390</v>
      </c>
      <c r="L102" s="288"/>
      <c r="M102" s="288"/>
      <c r="N102" s="288"/>
      <c r="O102" s="285"/>
      <c r="P102" s="285"/>
      <c r="Q102" s="266"/>
      <c r="R102" s="258"/>
      <c r="S102" s="286"/>
      <c r="T102" s="263"/>
      <c r="U102" s="263"/>
      <c r="V102" s="263"/>
    </row>
    <row r="103" spans="1:22" s="289" customFormat="1" ht="14.25" customHeight="1">
      <c r="A103" s="258"/>
      <c r="B103" s="293">
        <v>4</v>
      </c>
      <c r="C103" s="494" t="s">
        <v>738</v>
      </c>
      <c r="D103" s="280" t="str">
        <f ca="1">IF(ISERROR(OFFSET('HARGA SATUAN'!$D$6,MATCH('RAB Standart'!C103,'HARGA SATUAN'!$C$7:$C$1509,0),0)),"",OFFSET('HARGA SATUAN'!$D$6,MATCH('RAB Standart'!C103,'HARGA SATUAN'!$C$7:$C$1509,0),0))</f>
        <v>JASA</v>
      </c>
      <c r="E103" s="281" t="str">
        <f ca="1">IF(B103="+","Unit",IF(ISERROR(OFFSET('HARGA SATUAN'!$E$6,MATCH('RAB Standart'!C103,'HARGA SATUAN'!$C$7:$C$1509,0),0)),"",OFFSET('HARGA SATUAN'!$E$6,MATCH('RAB Standart'!C103,'HARGA SATUAN'!$C$7:$C$1509,0),0)))</f>
        <v>Unit</v>
      </c>
      <c r="F103" s="290">
        <f>F99*1</f>
        <v>1</v>
      </c>
      <c r="G103" s="282">
        <f ca="1">IF(ISERROR(OFFSET('HARGA SATUAN'!$I$6,MATCH('RAB Standart'!C103,'HARGA SATUAN'!$C$7:$C$1509,0),0)),0,OFFSET('HARGA SATUAN'!$I$6,MATCH('RAB Standart'!C103,'HARGA SATUAN'!$C$7:$C$1509,0),0))</f>
        <v>31200</v>
      </c>
      <c r="H103" s="283">
        <f t="shared" ca="1" si="28"/>
        <v>0</v>
      </c>
      <c r="I103" s="283">
        <f t="shared" ca="1" si="29"/>
        <v>0</v>
      </c>
      <c r="J103" s="283">
        <f t="shared" ca="1" si="30"/>
        <v>31200</v>
      </c>
      <c r="K103" s="284">
        <f t="shared" ca="1" si="31"/>
        <v>31200</v>
      </c>
      <c r="L103" s="288"/>
      <c r="M103" s="288"/>
      <c r="N103" s="288"/>
      <c r="O103" s="285"/>
      <c r="P103" s="285"/>
      <c r="Q103" s="266"/>
      <c r="R103" s="258"/>
      <c r="S103" s="286"/>
      <c r="T103" s="263"/>
      <c r="U103" s="263"/>
      <c r="V103" s="263"/>
    </row>
    <row r="104" spans="1:22" s="289" customFormat="1" ht="14.25" customHeight="1">
      <c r="A104" s="258"/>
      <c r="B104" s="291"/>
      <c r="C104" s="292"/>
      <c r="D104" s="280"/>
      <c r="E104" s="281"/>
      <c r="F104" s="290"/>
      <c r="G104" s="282"/>
      <c r="H104" s="283"/>
      <c r="I104" s="283"/>
      <c r="J104" s="283"/>
      <c r="K104" s="284"/>
      <c r="L104" s="288"/>
      <c r="M104" s="288"/>
      <c r="N104" s="288"/>
      <c r="O104" s="285"/>
      <c r="P104" s="285"/>
      <c r="Q104" s="266"/>
      <c r="R104" s="258"/>
      <c r="S104" s="286"/>
      <c r="T104" s="263"/>
      <c r="U104" s="263"/>
      <c r="V104" s="263"/>
    </row>
    <row r="105" spans="1:22" s="289" customFormat="1">
      <c r="A105" s="258" t="e">
        <f>IF(AND(C105=0,#REF!=0,#REF!=0),"BLANKS",1)</f>
        <v>#REF!</v>
      </c>
      <c r="B105" s="293" t="s">
        <v>1008</v>
      </c>
      <c r="C105" s="494" t="s">
        <v>1629</v>
      </c>
      <c r="D105" s="280" t="str">
        <f ca="1">IF(ISERROR(OFFSET('HARGA SATUAN'!$D$6,MATCH('RAB Standart'!C105,'HARGA SATUAN'!$C$7:$C$1509,0),0)),"",OFFSET('HARGA SATUAN'!$D$6,MATCH('RAB Standart'!C105,'HARGA SATUAN'!$C$7:$C$1509,0),0))</f>
        <v/>
      </c>
      <c r="E105" s="281" t="str">
        <f ca="1">IF(B105="+","Unit",IF(ISERROR(OFFSET('HARGA SATUAN'!$E$6,MATCH('RAB Standart'!C105,'HARGA SATUAN'!$C$7:$C$1509,0),0)),"",OFFSET('HARGA SATUAN'!$E$6,MATCH('RAB Standart'!C105,'HARGA SATUAN'!$C$7:$C$1509,0),0)))</f>
        <v>Unit</v>
      </c>
      <c r="F105" s="281">
        <v>4</v>
      </c>
      <c r="G105" s="282">
        <f ca="1">IF(ISERROR(OFFSET('HARGA SATUAN'!$I$6,MATCH('RAB Standart'!C105,'HARGA SATUAN'!$C$7:$C$1509,0),0)),0,OFFSET('HARGA SATUAN'!$I$6,MATCH('RAB Standart'!C105,'HARGA SATUAN'!$C$7:$C$1509,0),0))</f>
        <v>0</v>
      </c>
      <c r="H105" s="283">
        <f t="shared" ref="H105:H129" ca="1" si="32">IF(OR(D105="MDU",D105="MDU-KD"),(IF($O$3="RAB NON MDU","PLN KD",G105*F105)),0)</f>
        <v>0</v>
      </c>
      <c r="I105" s="283">
        <f t="shared" ref="I105:I129" ca="1" si="33">IF(D105="HDW",G105*F105,0)</f>
        <v>0</v>
      </c>
      <c r="J105" s="283">
        <f t="shared" ref="J105:J129" ca="1" si="34">IF(D105="JASA",G105*F105,0)</f>
        <v>0</v>
      </c>
      <c r="K105" s="284">
        <f t="shared" ref="K105:K129" ca="1" si="35">SUM(H105:J105)</f>
        <v>0</v>
      </c>
      <c r="L105" s="288"/>
      <c r="M105" s="288"/>
      <c r="N105" s="288"/>
      <c r="O105" s="285"/>
      <c r="P105" s="285"/>
      <c r="Q105" s="266"/>
      <c r="R105" s="258"/>
      <c r="S105" s="286"/>
      <c r="T105" s="263"/>
      <c r="U105" s="263"/>
      <c r="V105" s="263"/>
    </row>
    <row r="106" spans="1:22" s="289" customFormat="1">
      <c r="A106" s="258" t="e">
        <f>IF(AND(C106=0,C107=0,#REF!=0),"BLANKS",1)</f>
        <v>#REF!</v>
      </c>
      <c r="B106" s="293">
        <v>1</v>
      </c>
      <c r="C106" s="494" t="s">
        <v>18</v>
      </c>
      <c r="D106" s="280" t="str">
        <f ca="1">IF(ISERROR(OFFSET('HARGA SATUAN'!$D$6,MATCH('RAB Standart'!C106,'HARGA SATUAN'!$C$7:$C$1509,0),0)),"",OFFSET('HARGA SATUAN'!$D$6,MATCH('RAB Standart'!C106,'HARGA SATUAN'!$C$7:$C$1509,0),0))</f>
        <v>HDW</v>
      </c>
      <c r="E106" s="281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281">
        <f>F105*1</f>
        <v>4</v>
      </c>
      <c r="G106" s="282">
        <f ca="1">IF(ISERROR(OFFSET('HARGA SATUAN'!$I$6,MATCH('RAB Standart'!C106,'HARGA SATUAN'!$C$7:$C$1509,0),0)),0,OFFSET('HARGA SATUAN'!$I$6,MATCH('RAB Standart'!C106,'HARGA SATUAN'!$C$7:$C$1509,0),0))</f>
        <v>26500</v>
      </c>
      <c r="H106" s="283">
        <f t="shared" ca="1" si="32"/>
        <v>0</v>
      </c>
      <c r="I106" s="283">
        <f t="shared" ca="1" si="33"/>
        <v>106000</v>
      </c>
      <c r="J106" s="283">
        <f t="shared" ca="1" si="34"/>
        <v>0</v>
      </c>
      <c r="K106" s="284">
        <f t="shared" ca="1" si="35"/>
        <v>106000</v>
      </c>
      <c r="L106" s="288"/>
      <c r="M106" s="288"/>
      <c r="N106" s="288"/>
      <c r="O106" s="285"/>
      <c r="P106" s="285"/>
      <c r="Q106" s="266"/>
      <c r="R106" s="258"/>
      <c r="S106" s="286"/>
      <c r="T106" s="263"/>
      <c r="U106" s="263"/>
      <c r="V106" s="263"/>
    </row>
    <row r="107" spans="1:22" s="289" customFormat="1">
      <c r="A107" s="258" t="e">
        <f>IF(AND(C107=0,#REF!=0,#REF!=0),"BLANKS",1)</f>
        <v>#REF!</v>
      </c>
      <c r="B107" s="293">
        <v>2</v>
      </c>
      <c r="C107" s="494" t="s">
        <v>196</v>
      </c>
      <c r="D107" s="280" t="str">
        <f ca="1">IF(ISERROR(OFFSET('HARGA SATUAN'!$D$6,MATCH('RAB Standart'!C107,'HARGA SATUAN'!$C$7:$C$1509,0),0)),"",OFFSET('HARGA SATUAN'!$D$6,MATCH('RAB Standart'!C107,'HARGA SATUAN'!$C$7:$C$1509,0),0))</f>
        <v>HDW</v>
      </c>
      <c r="E107" s="281" t="str">
        <f ca="1">IF(B107="+","Unit",IF(ISERROR(OFFSET('HARGA SATUAN'!$E$6,MATCH('RAB Standart'!C107,'HARGA SATUAN'!$C$7:$C$1509,0),0)),"",OFFSET('HARGA SATUAN'!$E$6,MATCH('RAB Standart'!C107,'HARGA SATUAN'!$C$7:$C$1509,0),0)))</f>
        <v>Bh</v>
      </c>
      <c r="F107" s="281">
        <f>F105*1</f>
        <v>4</v>
      </c>
      <c r="G107" s="282">
        <f ca="1">IF(ISERROR(OFFSET('HARGA SATUAN'!$I$6,MATCH('RAB Standart'!C107,'HARGA SATUAN'!$C$7:$C$1509,0),0)),0,OFFSET('HARGA SATUAN'!$I$6,MATCH('RAB Standart'!C107,'HARGA SATUAN'!$C$7:$C$1509,0),0))</f>
        <v>12500</v>
      </c>
      <c r="H107" s="283">
        <f t="shared" ca="1" si="32"/>
        <v>0</v>
      </c>
      <c r="I107" s="283">
        <f t="shared" ca="1" si="33"/>
        <v>50000</v>
      </c>
      <c r="J107" s="283">
        <f t="shared" ca="1" si="34"/>
        <v>0</v>
      </c>
      <c r="K107" s="284">
        <f t="shared" ca="1" si="35"/>
        <v>50000</v>
      </c>
      <c r="L107" s="288"/>
      <c r="M107" s="288"/>
      <c r="N107" s="288"/>
      <c r="O107" s="285"/>
      <c r="P107" s="285"/>
      <c r="Q107" s="266"/>
      <c r="R107" s="258"/>
      <c r="S107" s="286"/>
      <c r="T107" s="263"/>
      <c r="U107" s="263"/>
      <c r="V107" s="263"/>
    </row>
    <row r="108" spans="1:22" s="289" customFormat="1">
      <c r="A108" s="258"/>
      <c r="B108" s="293">
        <v>3</v>
      </c>
      <c r="C108" s="494" t="s">
        <v>199</v>
      </c>
      <c r="D108" s="280" t="str">
        <f ca="1">IF(ISERROR(OFFSET('HARGA SATUAN'!$D$6,MATCH('RAB Standart'!C108,'HARGA SATUAN'!$C$7:$C$1509,0),0)),"",OFFSET('HARGA SATUAN'!$D$6,MATCH('RAB Standart'!C108,'HARGA SATUAN'!$C$7:$C$1509,0),0))</f>
        <v>HDW</v>
      </c>
      <c r="E108" s="281" t="str">
        <f ca="1">IF(B108="+","Unit",IF(ISERROR(OFFSET('HARGA SATUAN'!$E$6,MATCH('RAB Standart'!C108,'HARGA SATUAN'!$C$7:$C$1509,0),0)),"",OFFSET('HARGA SATUAN'!$E$6,MATCH('RAB Standart'!C108,'HARGA SATUAN'!$C$7:$C$1509,0),0)))</f>
        <v>Mtr</v>
      </c>
      <c r="F108" s="281">
        <f>F105*12</f>
        <v>48</v>
      </c>
      <c r="G108" s="282">
        <f ca="1">IF(ISERROR(OFFSET('HARGA SATUAN'!$I$6,MATCH('RAB Standart'!C108,'HARGA SATUAN'!$C$7:$C$1509,0),0)),0,OFFSET('HARGA SATUAN'!$I$6,MATCH('RAB Standart'!C108,'HARGA SATUAN'!$C$7:$C$1509,0),0))</f>
        <v>39204</v>
      </c>
      <c r="H108" s="283">
        <f t="shared" ca="1" si="32"/>
        <v>0</v>
      </c>
      <c r="I108" s="283">
        <f t="shared" ca="1" si="33"/>
        <v>1881792</v>
      </c>
      <c r="J108" s="283">
        <f t="shared" ca="1" si="34"/>
        <v>0</v>
      </c>
      <c r="K108" s="284">
        <f t="shared" ca="1" si="35"/>
        <v>1881792</v>
      </c>
      <c r="L108" s="288"/>
      <c r="M108" s="288"/>
      <c r="N108" s="288"/>
      <c r="O108" s="285"/>
      <c r="P108" s="285"/>
      <c r="Q108" s="266"/>
      <c r="R108" s="258"/>
      <c r="S108" s="286"/>
      <c r="T108" s="263"/>
      <c r="U108" s="263"/>
      <c r="V108" s="263"/>
    </row>
    <row r="109" spans="1:22" s="289" customFormat="1">
      <c r="A109" s="258" t="e">
        <f>IF(AND(C109=0,C110=0,#REF!=0),"BLANKS",1)</f>
        <v>#REF!</v>
      </c>
      <c r="B109" s="293">
        <v>4</v>
      </c>
      <c r="C109" s="494" t="s">
        <v>280</v>
      </c>
      <c r="D109" s="280" t="str">
        <f ca="1">IF(ISERROR(OFFSET('HARGA SATUAN'!$D$6,MATCH('RAB Standart'!C109,'HARGA SATUAN'!$C$7:$C$1509,0),0)),"",OFFSET('HARGA SATUAN'!$D$6,MATCH('RAB Standart'!C109,'HARGA SATUAN'!$C$7:$C$1509,0),0))</f>
        <v>HDW</v>
      </c>
      <c r="E109" s="281" t="str">
        <f ca="1">IF(B109="+","Unit",IF(ISERROR(OFFSET('HARGA SATUAN'!$E$6,MATCH('RAB Standart'!C109,'HARGA SATUAN'!$C$7:$C$1509,0),0)),"",OFFSET('HARGA SATUAN'!$E$6,MATCH('RAB Standart'!C109,'HARGA SATUAN'!$C$7:$C$1509,0),0)))</f>
        <v>Bh</v>
      </c>
      <c r="F109" s="281">
        <f>F105*2</f>
        <v>8</v>
      </c>
      <c r="G109" s="282">
        <f ca="1">IF(ISERROR(OFFSET('HARGA SATUAN'!$I$6,MATCH('RAB Standart'!C109,'HARGA SATUAN'!$C$7:$C$1509,0),0)),0,OFFSET('HARGA SATUAN'!$I$6,MATCH('RAB Standart'!C109,'HARGA SATUAN'!$C$7:$C$1509,0),0))</f>
        <v>40000</v>
      </c>
      <c r="H109" s="283">
        <f t="shared" ca="1" si="32"/>
        <v>0</v>
      </c>
      <c r="I109" s="283">
        <f t="shared" ca="1" si="33"/>
        <v>320000</v>
      </c>
      <c r="J109" s="283">
        <f t="shared" ca="1" si="34"/>
        <v>0</v>
      </c>
      <c r="K109" s="284">
        <f t="shared" ca="1" si="35"/>
        <v>320000</v>
      </c>
      <c r="L109" s="288"/>
      <c r="M109" s="288"/>
      <c r="N109" s="288"/>
      <c r="O109" s="285"/>
      <c r="P109" s="285"/>
      <c r="Q109" s="266"/>
      <c r="R109" s="258"/>
      <c r="S109" s="286"/>
      <c r="T109" s="263"/>
      <c r="U109" s="263"/>
      <c r="V109" s="263"/>
    </row>
    <row r="110" spans="1:22" s="289" customFormat="1">
      <c r="A110" s="258" t="e">
        <f>IF(AND(C110=0,#REF!=0,#REF!=0),"BLANKS",1)</f>
        <v>#REF!</v>
      </c>
      <c r="B110" s="495">
        <v>5</v>
      </c>
      <c r="C110" s="496" t="s">
        <v>16</v>
      </c>
      <c r="D110" s="280" t="str">
        <f ca="1">IF(ISERROR(OFFSET('HARGA SATUAN'!$D$6,MATCH('RAB Standart'!C110,'HARGA SATUAN'!$C$7:$C$1509,0),0)),"",OFFSET('HARGA SATUAN'!$D$6,MATCH('RAB Standart'!C110,'HARGA SATUAN'!$C$7:$C$1509,0),0))</f>
        <v>HDW</v>
      </c>
      <c r="E110" s="281" t="str">
        <f ca="1">IF(B110="+","Unit",IF(ISERROR(OFFSET('HARGA SATUAN'!$E$6,MATCH('RAB Standart'!C110,'HARGA SATUAN'!$C$7:$C$1509,0),0)),"",OFFSET('HARGA SATUAN'!$E$6,MATCH('RAB Standart'!C110,'HARGA SATUAN'!$C$7:$C$1509,0),0)))</f>
        <v>Bh</v>
      </c>
      <c r="F110" s="281">
        <f>F105*1</f>
        <v>4</v>
      </c>
      <c r="G110" s="282">
        <f ca="1">IF(ISERROR(OFFSET('HARGA SATUAN'!$I$6,MATCH('RAB Standart'!C110,'HARGA SATUAN'!$C$7:$C$1509,0),0)),0,OFFSET('HARGA SATUAN'!$I$6,MATCH('RAB Standart'!C110,'HARGA SATUAN'!$C$7:$C$1509,0),0))</f>
        <v>2500</v>
      </c>
      <c r="H110" s="283">
        <f t="shared" ca="1" si="32"/>
        <v>0</v>
      </c>
      <c r="I110" s="283">
        <f t="shared" ca="1" si="33"/>
        <v>10000</v>
      </c>
      <c r="J110" s="283">
        <f t="shared" ca="1" si="34"/>
        <v>0</v>
      </c>
      <c r="K110" s="284">
        <f t="shared" ca="1" si="35"/>
        <v>10000</v>
      </c>
      <c r="L110" s="288"/>
      <c r="M110" s="288"/>
      <c r="N110" s="288"/>
      <c r="O110" s="285"/>
      <c r="P110" s="285"/>
      <c r="Q110" s="266"/>
      <c r="R110" s="258"/>
      <c r="S110" s="286"/>
      <c r="T110" s="263"/>
      <c r="U110" s="263"/>
      <c r="V110" s="263"/>
    </row>
    <row r="111" spans="1:22" s="289" customFormat="1">
      <c r="A111" s="258" t="e">
        <f>IF(AND(C111=0,#REF!=0,#REF!=0),"BLANKS",1)</f>
        <v>#REF!</v>
      </c>
      <c r="B111" s="293">
        <v>6</v>
      </c>
      <c r="C111" s="494" t="s">
        <v>754</v>
      </c>
      <c r="D111" s="280" t="str">
        <f ca="1">IF(ISERROR(OFFSET('HARGA SATUAN'!$D$6,MATCH('RAB Standart'!C111,'HARGA SATUAN'!$C$7:$C$1509,0),0)),"",OFFSET('HARGA SATUAN'!$D$6,MATCH('RAB Standart'!C111,'HARGA SATUAN'!$C$7:$C$1509,0),0))</f>
        <v>JASA</v>
      </c>
      <c r="E111" s="281" t="str">
        <f ca="1">IF(B111="+","Unit",IF(ISERROR(OFFSET('HARGA SATUAN'!$E$6,MATCH('RAB Standart'!C111,'HARGA SATUAN'!$C$7:$C$1509,0),0)),"",OFFSET('HARGA SATUAN'!$E$6,MATCH('RAB Standart'!C111,'HARGA SATUAN'!$C$7:$C$1509,0),0)))</f>
        <v>Unit</v>
      </c>
      <c r="F111" s="281">
        <f>F105*1</f>
        <v>4</v>
      </c>
      <c r="G111" s="282">
        <f ca="1">IF(ISERROR(OFFSET('HARGA SATUAN'!$I$6,MATCH('RAB Standart'!C111,'HARGA SATUAN'!$C$7:$C$1509,0),0)),0,OFFSET('HARGA SATUAN'!$I$6,MATCH('RAB Standart'!C111,'HARGA SATUAN'!$C$7:$C$1509,0),0))</f>
        <v>36600</v>
      </c>
      <c r="H111" s="283">
        <f t="shared" ca="1" si="32"/>
        <v>0</v>
      </c>
      <c r="I111" s="283">
        <f t="shared" ca="1" si="33"/>
        <v>0</v>
      </c>
      <c r="J111" s="283">
        <f t="shared" ca="1" si="34"/>
        <v>146400</v>
      </c>
      <c r="K111" s="284">
        <f t="shared" ca="1" si="35"/>
        <v>146400</v>
      </c>
      <c r="L111" s="288"/>
      <c r="M111" s="288"/>
      <c r="N111" s="288"/>
      <c r="O111" s="285"/>
      <c r="P111" s="285"/>
      <c r="Q111" s="266"/>
      <c r="R111" s="258"/>
      <c r="S111" s="286"/>
      <c r="T111" s="263"/>
      <c r="U111" s="263"/>
      <c r="V111" s="263"/>
    </row>
    <row r="112" spans="1:22" s="289" customFormat="1">
      <c r="A112" s="258"/>
      <c r="B112" s="293"/>
      <c r="C112" s="494"/>
      <c r="D112" s="280" t="str">
        <f ca="1">IF(ISERROR(OFFSET('HARGA SATUAN'!$D$6,MATCH('RAB Standart'!C112,'HARGA SATUAN'!$C$7:$C$1509,0),0)),"",OFFSET('HARGA SATUAN'!$D$6,MATCH('RAB Standart'!C112,'HARGA SATUAN'!$C$7:$C$1509,0),0))</f>
        <v/>
      </c>
      <c r="E112" s="281" t="str">
        <f ca="1">IF(B112="+","Unit",IF(ISERROR(OFFSET('HARGA SATUAN'!$E$6,MATCH('RAB Standart'!C112,'HARGA SATUAN'!$C$7:$C$1509,0),0)),"",OFFSET('HARGA SATUAN'!$E$6,MATCH('RAB Standart'!C112,'HARGA SATUAN'!$C$7:$C$1509,0),0)))</f>
        <v/>
      </c>
      <c r="F112" s="281"/>
      <c r="G112" s="282">
        <f ca="1">IF(ISERROR(OFFSET('HARGA SATUAN'!$I$6,MATCH('RAB Standart'!C112,'HARGA SATUAN'!$C$7:$C$1509,0),0)),0,OFFSET('HARGA SATUAN'!$I$6,MATCH('RAB Standart'!C112,'HARGA SATUAN'!$C$7:$C$1509,0),0))</f>
        <v>0</v>
      </c>
      <c r="H112" s="283">
        <f t="shared" ca="1" si="32"/>
        <v>0</v>
      </c>
      <c r="I112" s="283">
        <f t="shared" ca="1" si="33"/>
        <v>0</v>
      </c>
      <c r="J112" s="283">
        <f t="shared" ca="1" si="34"/>
        <v>0</v>
      </c>
      <c r="K112" s="284">
        <f t="shared" ca="1" si="35"/>
        <v>0</v>
      </c>
      <c r="L112" s="288"/>
      <c r="M112" s="288"/>
      <c r="N112" s="288"/>
      <c r="O112" s="285"/>
      <c r="P112" s="285"/>
      <c r="Q112" s="266"/>
      <c r="R112" s="258"/>
      <c r="S112" s="286"/>
      <c r="T112" s="263"/>
      <c r="U112" s="263"/>
      <c r="V112" s="263"/>
    </row>
    <row r="113" spans="1:22" s="289" customFormat="1">
      <c r="A113" s="258" t="e">
        <f>IF(AND(C113=0,#REF!=0,#REF!=0),"BLANKS",1)</f>
        <v>#REF!</v>
      </c>
      <c r="B113" s="293" t="s">
        <v>1008</v>
      </c>
      <c r="C113" s="494" t="s">
        <v>1630</v>
      </c>
      <c r="D113" s="280" t="str">
        <f ca="1">IF(ISERROR(OFFSET('HARGA SATUAN'!$D$6,MATCH('RAB Standart'!C113,'HARGA SATUAN'!$C$7:$C$1509,0),0)),"",OFFSET('HARGA SATUAN'!$D$6,MATCH('RAB Standart'!C113,'HARGA SATUAN'!$C$7:$C$1509,0),0))</f>
        <v/>
      </c>
      <c r="E113" s="281" t="str">
        <f ca="1">IF(B113="+","Unit",IF(ISERROR(OFFSET('HARGA SATUAN'!$E$6,MATCH('RAB Standart'!C113,'HARGA SATUAN'!$C$7:$C$1509,0),0)),"",OFFSET('HARGA SATUAN'!$E$6,MATCH('RAB Standart'!C113,'HARGA SATUAN'!$C$7:$C$1509,0),0)))</f>
        <v>Unit</v>
      </c>
      <c r="F113" s="281">
        <v>4</v>
      </c>
      <c r="G113" s="282">
        <f ca="1">IF(ISERROR(OFFSET('HARGA SATUAN'!$I$6,MATCH('RAB Standart'!C113,'HARGA SATUAN'!$C$7:$C$1509,0),0)),0,OFFSET('HARGA SATUAN'!$I$6,MATCH('RAB Standart'!C113,'HARGA SATUAN'!$C$7:$C$1509,0),0))</f>
        <v>0</v>
      </c>
      <c r="H113" s="283">
        <f t="shared" ca="1" si="32"/>
        <v>0</v>
      </c>
      <c r="I113" s="283">
        <f t="shared" ca="1" si="33"/>
        <v>0</v>
      </c>
      <c r="J113" s="283">
        <f t="shared" ca="1" si="34"/>
        <v>0</v>
      </c>
      <c r="K113" s="284">
        <f t="shared" ca="1" si="35"/>
        <v>0</v>
      </c>
      <c r="L113" s="288"/>
      <c r="M113" s="288"/>
      <c r="N113" s="288"/>
      <c r="O113" s="285"/>
      <c r="P113" s="285"/>
      <c r="Q113" s="266"/>
      <c r="R113" s="258"/>
      <c r="S113" s="286"/>
      <c r="T113" s="263"/>
      <c r="U113" s="263"/>
      <c r="V113" s="263"/>
    </row>
    <row r="114" spans="1:22" s="289" customFormat="1">
      <c r="A114" s="258" t="e">
        <f>IF(AND(C114=0,#REF!=0,#REF!=0),"BLANKS",1)</f>
        <v>#REF!</v>
      </c>
      <c r="B114" s="293">
        <v>1</v>
      </c>
      <c r="C114" s="494" t="s">
        <v>591</v>
      </c>
      <c r="D114" s="280" t="str">
        <f ca="1">IF(ISERROR(OFFSET('HARGA SATUAN'!$D$6,MATCH('RAB Standart'!C114,'HARGA SATUAN'!$C$7:$C$1509,0),0)),"",OFFSET('HARGA SATUAN'!$D$6,MATCH('RAB Standart'!C114,'HARGA SATUAN'!$C$7:$C$1509,0),0))</f>
        <v>HDW</v>
      </c>
      <c r="E114" s="281" t="str">
        <f ca="1">IF(B114="+","Unit",IF(ISERROR(OFFSET('HARGA SATUAN'!$E$6,MATCH('RAB Standart'!C114,'HARGA SATUAN'!$C$7:$C$1509,0),0)),"",OFFSET('HARGA SATUAN'!$E$6,MATCH('RAB Standart'!C114,'HARGA SATUAN'!$C$7:$C$1509,0),0)))</f>
        <v>Bh</v>
      </c>
      <c r="F114" s="281">
        <f>F113*1</f>
        <v>4</v>
      </c>
      <c r="G114" s="282">
        <f ca="1">IF(ISERROR(OFFSET('HARGA SATUAN'!$I$6,MATCH('RAB Standart'!C114,'HARGA SATUAN'!$C$7:$C$1509,0),0)),0,OFFSET('HARGA SATUAN'!$I$6,MATCH('RAB Standart'!C114,'HARGA SATUAN'!$C$7:$C$1509,0),0))</f>
        <v>120900</v>
      </c>
      <c r="H114" s="283">
        <f t="shared" ca="1" si="32"/>
        <v>0</v>
      </c>
      <c r="I114" s="283">
        <f t="shared" ca="1" si="33"/>
        <v>483600</v>
      </c>
      <c r="J114" s="283">
        <f t="shared" ca="1" si="34"/>
        <v>0</v>
      </c>
      <c r="K114" s="284">
        <f t="shared" ca="1" si="35"/>
        <v>483600</v>
      </c>
      <c r="L114" s="288"/>
      <c r="M114" s="288"/>
      <c r="N114" s="288"/>
      <c r="O114" s="285"/>
      <c r="P114" s="285"/>
      <c r="Q114" s="266"/>
      <c r="R114" s="258"/>
      <c r="S114" s="286"/>
      <c r="T114" s="263"/>
      <c r="U114" s="263"/>
      <c r="V114" s="263"/>
    </row>
    <row r="115" spans="1:22" s="289" customFormat="1">
      <c r="A115" s="258" t="e">
        <f>IF(AND(C115=0,#REF!=0,#REF!=0),"BLANKS",1)</f>
        <v>#REF!</v>
      </c>
      <c r="B115" s="293">
        <v>2</v>
      </c>
      <c r="C115" s="494" t="s">
        <v>254</v>
      </c>
      <c r="D115" s="280" t="str">
        <f ca="1">IF(ISERROR(OFFSET('HARGA SATUAN'!$D$6,MATCH('RAB Standart'!C115,'HARGA SATUAN'!$C$7:$C$1509,0),0)),"",OFFSET('HARGA SATUAN'!$D$6,MATCH('RAB Standart'!C115,'HARGA SATUAN'!$C$7:$C$1509,0),0))</f>
        <v>HDW</v>
      </c>
      <c r="E115" s="281" t="str">
        <f ca="1">IF(B115="+","Unit",IF(ISERROR(OFFSET('HARGA SATUAN'!$E$6,MATCH('RAB Standart'!C115,'HARGA SATUAN'!$C$7:$C$1509,0),0)),"",OFFSET('HARGA SATUAN'!$E$6,MATCH('RAB Standart'!C115,'HARGA SATUAN'!$C$7:$C$1509,0),0)))</f>
        <v>Bh</v>
      </c>
      <c r="F115" s="281">
        <f>F113*1</f>
        <v>4</v>
      </c>
      <c r="G115" s="282">
        <f ca="1">IF(ISERROR(OFFSET('HARGA SATUAN'!$I$6,MATCH('RAB Standart'!C115,'HARGA SATUAN'!$C$7:$C$1509,0),0)),0,OFFSET('HARGA SATUAN'!$I$6,MATCH('RAB Standart'!C115,'HARGA SATUAN'!$C$7:$C$1509,0),0))</f>
        <v>135800</v>
      </c>
      <c r="H115" s="283">
        <f t="shared" ref="H115:H124" ca="1" si="36">IF(OR(D115="MDU",D115="MDU-KD"),(IF($O$3="RAB NON MDU","PLN KD",G115*F115)),0)</f>
        <v>0</v>
      </c>
      <c r="I115" s="283">
        <f t="shared" ref="I115:I124" ca="1" si="37">IF(D115="HDW",G115*F115,0)</f>
        <v>543200</v>
      </c>
      <c r="J115" s="283">
        <f t="shared" ref="J115:J124" ca="1" si="38">IF(D115="JASA",G115*F115,0)</f>
        <v>0</v>
      </c>
      <c r="K115" s="284">
        <f t="shared" ref="K115:K124" ca="1" si="39">SUM(H115:J115)</f>
        <v>543200</v>
      </c>
      <c r="L115" s="288"/>
      <c r="M115" s="288"/>
      <c r="N115" s="288"/>
      <c r="O115" s="285"/>
      <c r="P115" s="285"/>
      <c r="Q115" s="266"/>
      <c r="R115" s="258"/>
      <c r="S115" s="286"/>
      <c r="T115" s="263"/>
      <c r="U115" s="263"/>
      <c r="V115" s="263"/>
    </row>
    <row r="116" spans="1:22" s="289" customFormat="1">
      <c r="A116" s="258" t="e">
        <f>IF(AND(C116=0,C117=0,#REF!=0),"BLANKS",1)</f>
        <v>#REF!</v>
      </c>
      <c r="B116" s="293">
        <v>3</v>
      </c>
      <c r="C116" s="494" t="s">
        <v>207</v>
      </c>
      <c r="D116" s="280" t="str">
        <f ca="1">IF(ISERROR(OFFSET('HARGA SATUAN'!$D$6,MATCH('RAB Standart'!C116,'HARGA SATUAN'!$C$7:$C$1509,0),0)),"",OFFSET('HARGA SATUAN'!$D$6,MATCH('RAB Standart'!C116,'HARGA SATUAN'!$C$7:$C$1509,0),0))</f>
        <v>HDW</v>
      </c>
      <c r="E116" s="281" t="str">
        <f ca="1">IF(B116="+","Unit",IF(ISERROR(OFFSET('HARGA SATUAN'!$E$6,MATCH('RAB Standart'!C116,'HARGA SATUAN'!$C$7:$C$1509,0),0)),"",OFFSET('HARGA SATUAN'!$E$6,MATCH('RAB Standart'!C116,'HARGA SATUAN'!$C$7:$C$1509,0),0)))</f>
        <v>Bh</v>
      </c>
      <c r="F116" s="294">
        <f>F113*1</f>
        <v>4</v>
      </c>
      <c r="G116" s="282">
        <f ca="1">IF(ISERROR(OFFSET('HARGA SATUAN'!$I$6,MATCH('RAB Standart'!C116,'HARGA SATUAN'!$C$7:$C$1509,0),0)),0,OFFSET('HARGA SATUAN'!$I$6,MATCH('RAB Standart'!C116,'HARGA SATUAN'!$C$7:$C$1509,0),0))</f>
        <v>4500</v>
      </c>
      <c r="H116" s="283">
        <f t="shared" ca="1" si="36"/>
        <v>0</v>
      </c>
      <c r="I116" s="283">
        <f t="shared" ca="1" si="37"/>
        <v>18000</v>
      </c>
      <c r="J116" s="283">
        <f t="shared" ca="1" si="38"/>
        <v>0</v>
      </c>
      <c r="K116" s="284">
        <f t="shared" ca="1" si="39"/>
        <v>18000</v>
      </c>
      <c r="L116" s="288"/>
      <c r="M116" s="288"/>
      <c r="N116" s="288"/>
      <c r="O116" s="285"/>
      <c r="P116" s="285"/>
      <c r="Q116" s="266"/>
      <c r="R116" s="258"/>
      <c r="S116" s="286"/>
      <c r="T116" s="263"/>
      <c r="U116" s="263"/>
      <c r="V116" s="263"/>
    </row>
    <row r="117" spans="1:22" s="289" customFormat="1">
      <c r="A117" s="258" t="e">
        <f>IF(AND(C117=0,#REF!=0,#REF!=0),"BLANKS",1)</f>
        <v>#REF!</v>
      </c>
      <c r="B117" s="293">
        <v>4</v>
      </c>
      <c r="C117" s="494" t="s">
        <v>762</v>
      </c>
      <c r="D117" s="280" t="str">
        <f ca="1">IF(ISERROR(OFFSET('HARGA SATUAN'!$D$6,MATCH('RAB Standart'!C117,'HARGA SATUAN'!$C$7:$C$1509,0),0)),"",OFFSET('HARGA SATUAN'!$D$6,MATCH('RAB Standart'!C117,'HARGA SATUAN'!$C$7:$C$1509,0),0))</f>
        <v>JASA</v>
      </c>
      <c r="E117" s="281" t="str">
        <f ca="1">IF(B117="+","Unit",IF(ISERROR(OFFSET('HARGA SATUAN'!$E$6,MATCH('RAB Standart'!C117,'HARGA SATUAN'!$C$7:$C$1509,0),0)),"",OFFSET('HARGA SATUAN'!$E$6,MATCH('RAB Standart'!C117,'HARGA SATUAN'!$C$7:$C$1509,0),0)))</f>
        <v>Unit</v>
      </c>
      <c r="F117" s="281">
        <f>F113*1</f>
        <v>4</v>
      </c>
      <c r="G117" s="282">
        <f ca="1">IF(ISERROR(OFFSET('HARGA SATUAN'!$I$6,MATCH('RAB Standart'!C117,'HARGA SATUAN'!$C$7:$C$1509,0),0)),0,OFFSET('HARGA SATUAN'!$I$6,MATCH('RAB Standart'!C117,'HARGA SATUAN'!$C$7:$C$1509,0),0))</f>
        <v>55500</v>
      </c>
      <c r="H117" s="283">
        <f t="shared" ca="1" si="36"/>
        <v>0</v>
      </c>
      <c r="I117" s="283">
        <f t="shared" ca="1" si="37"/>
        <v>0</v>
      </c>
      <c r="J117" s="283">
        <f t="shared" ca="1" si="38"/>
        <v>222000</v>
      </c>
      <c r="K117" s="284">
        <f t="shared" ca="1" si="39"/>
        <v>222000</v>
      </c>
      <c r="L117" s="288"/>
      <c r="M117" s="288"/>
      <c r="N117" s="288"/>
      <c r="O117" s="285"/>
      <c r="P117" s="285"/>
      <c r="Q117" s="266"/>
      <c r="R117" s="258"/>
      <c r="S117" s="286"/>
      <c r="T117" s="263"/>
      <c r="U117" s="263"/>
      <c r="V117" s="263"/>
    </row>
    <row r="118" spans="1:22" s="289" customFormat="1">
      <c r="A118" s="258"/>
      <c r="B118" s="293"/>
      <c r="C118" s="494"/>
      <c r="D118" s="280" t="str">
        <f ca="1">IF(ISERROR(OFFSET('HARGA SATUAN'!$D$6,MATCH('RAB Standart'!C118,'HARGA SATUAN'!$C$7:$C$1509,0),0)),"",OFFSET('HARGA SATUAN'!$D$6,MATCH('RAB Standart'!C118,'HARGA SATUAN'!$C$7:$C$1509,0),0))</f>
        <v/>
      </c>
      <c r="E118" s="281" t="str">
        <f ca="1">IF(B118="+","Unit",IF(ISERROR(OFFSET('HARGA SATUAN'!$E$6,MATCH('RAB Standart'!C118,'HARGA SATUAN'!$C$7:$C$1509,0),0)),"",OFFSET('HARGA SATUAN'!$E$6,MATCH('RAB Standart'!C118,'HARGA SATUAN'!$C$7:$C$1509,0),0)))</f>
        <v/>
      </c>
      <c r="F118" s="281"/>
      <c r="G118" s="282">
        <f ca="1">IF(ISERROR(OFFSET('HARGA SATUAN'!$I$6,MATCH('RAB Standart'!C118,'HARGA SATUAN'!$C$7:$C$1509,0),0)),0,OFFSET('HARGA SATUAN'!$I$6,MATCH('RAB Standart'!C118,'HARGA SATUAN'!$C$7:$C$1509,0),0))</f>
        <v>0</v>
      </c>
      <c r="H118" s="283">
        <f t="shared" ca="1" si="36"/>
        <v>0</v>
      </c>
      <c r="I118" s="283">
        <f t="shared" ca="1" si="37"/>
        <v>0</v>
      </c>
      <c r="J118" s="283">
        <f t="shared" ca="1" si="38"/>
        <v>0</v>
      </c>
      <c r="K118" s="284">
        <f t="shared" ca="1" si="39"/>
        <v>0</v>
      </c>
      <c r="L118" s="288"/>
      <c r="M118" s="288"/>
      <c r="N118" s="288"/>
      <c r="O118" s="285"/>
      <c r="P118" s="285"/>
      <c r="Q118" s="266"/>
      <c r="R118" s="258"/>
      <c r="S118" s="286"/>
      <c r="T118" s="263"/>
      <c r="U118" s="263"/>
      <c r="V118" s="263"/>
    </row>
    <row r="119" spans="1:22" s="289" customFormat="1">
      <c r="A119" s="258" t="e">
        <f>IF(AND(C119=0,C120=0,#REF!=0),"BLANKS",1)</f>
        <v>#REF!</v>
      </c>
      <c r="B119" s="293" t="s">
        <v>1008</v>
      </c>
      <c r="C119" s="494" t="s">
        <v>1631</v>
      </c>
      <c r="D119" s="280" t="str">
        <f ca="1">IF(ISERROR(OFFSET('HARGA SATUAN'!$D$6,MATCH('RAB Standart'!C119,'HARGA SATUAN'!$C$7:$C$1509,0),0)),"",OFFSET('HARGA SATUAN'!$D$6,MATCH('RAB Standart'!C119,'HARGA SATUAN'!$C$7:$C$1509,0),0))</f>
        <v/>
      </c>
      <c r="E119" s="281" t="str">
        <f ca="1">IF(B119="+","Unit",IF(ISERROR(OFFSET('HARGA SATUAN'!$E$6,MATCH('RAB Standart'!C119,'HARGA SATUAN'!$C$7:$C$1509,0),0)),"",OFFSET('HARGA SATUAN'!$E$6,MATCH('RAB Standart'!C119,'HARGA SATUAN'!$C$7:$C$1509,0),0)))</f>
        <v>Unit</v>
      </c>
      <c r="F119" s="281">
        <v>4</v>
      </c>
      <c r="G119" s="282">
        <f ca="1">IF(ISERROR(OFFSET('HARGA SATUAN'!$I$6,MATCH('RAB Standart'!C119,'HARGA SATUAN'!$C$7:$C$1509,0),0)),0,OFFSET('HARGA SATUAN'!$I$6,MATCH('RAB Standart'!C119,'HARGA SATUAN'!$C$7:$C$1509,0),0))</f>
        <v>0</v>
      </c>
      <c r="H119" s="283">
        <f t="shared" ca="1" si="36"/>
        <v>0</v>
      </c>
      <c r="I119" s="283">
        <f t="shared" ca="1" si="37"/>
        <v>0</v>
      </c>
      <c r="J119" s="283">
        <f t="shared" ca="1" si="38"/>
        <v>0</v>
      </c>
      <c r="K119" s="284">
        <f t="shared" ca="1" si="39"/>
        <v>0</v>
      </c>
      <c r="L119" s="288"/>
      <c r="M119" s="288"/>
      <c r="N119" s="288"/>
      <c r="O119" s="285"/>
      <c r="P119" s="285"/>
      <c r="Q119" s="266"/>
      <c r="R119" s="258"/>
      <c r="S119" s="286"/>
      <c r="T119" s="263"/>
      <c r="U119" s="263"/>
      <c r="V119" s="263"/>
    </row>
    <row r="120" spans="1:22" s="289" customFormat="1">
      <c r="A120" s="258" t="e">
        <f>IF(AND(C120=0,#REF!=0,#REF!=0),"BLANKS",1)</f>
        <v>#REF!</v>
      </c>
      <c r="B120" s="495">
        <v>1</v>
      </c>
      <c r="C120" s="496" t="s">
        <v>20</v>
      </c>
      <c r="D120" s="280" t="str">
        <f ca="1">IF(ISERROR(OFFSET('HARGA SATUAN'!$D$6,MATCH('RAB Standart'!C120,'HARGA SATUAN'!$C$7:$C$1509,0),0)),"",OFFSET('HARGA SATUAN'!$D$6,MATCH('RAB Standart'!C120,'HARGA SATUAN'!$C$7:$C$1509,0),0))</f>
        <v>HDW</v>
      </c>
      <c r="E120" s="281" t="str">
        <f ca="1">IF(B120="+","Unit",IF(ISERROR(OFFSET('HARGA SATUAN'!$E$6,MATCH('RAB Standart'!C120,'HARGA SATUAN'!$C$7:$C$1509,0),0)),"",OFFSET('HARGA SATUAN'!$E$6,MATCH('RAB Standart'!C120,'HARGA SATUAN'!$C$7:$C$1509,0),0)))</f>
        <v>Bh</v>
      </c>
      <c r="F120" s="281">
        <f>F119*1</f>
        <v>4</v>
      </c>
      <c r="G120" s="282">
        <f ca="1">IF(ISERROR(OFFSET('HARGA SATUAN'!$I$6,MATCH('RAB Standart'!C120,'HARGA SATUAN'!$C$7:$C$1509,0),0)),0,OFFSET('HARGA SATUAN'!$I$6,MATCH('RAB Standart'!C120,'HARGA SATUAN'!$C$7:$C$1509,0),0))</f>
        <v>47459</v>
      </c>
      <c r="H120" s="283">
        <f t="shared" ca="1" si="36"/>
        <v>0</v>
      </c>
      <c r="I120" s="283">
        <f t="shared" ca="1" si="37"/>
        <v>189836</v>
      </c>
      <c r="J120" s="283">
        <f t="shared" ca="1" si="38"/>
        <v>0</v>
      </c>
      <c r="K120" s="284">
        <f t="shared" ca="1" si="39"/>
        <v>189836</v>
      </c>
      <c r="L120" s="288"/>
      <c r="M120" s="288"/>
      <c r="N120" s="288"/>
      <c r="O120" s="285"/>
      <c r="P120" s="285"/>
      <c r="Q120" s="266"/>
      <c r="R120" s="258"/>
      <c r="S120" s="286"/>
      <c r="T120" s="263"/>
      <c r="U120" s="263"/>
      <c r="V120" s="263"/>
    </row>
    <row r="121" spans="1:22" s="289" customFormat="1">
      <c r="A121" s="258" t="e">
        <f>IF(AND(C121=0,#REF!=0,#REF!=0),"BLANKS",1)</f>
        <v>#REF!</v>
      </c>
      <c r="B121" s="293">
        <v>2</v>
      </c>
      <c r="C121" s="494" t="s">
        <v>22</v>
      </c>
      <c r="D121" s="280" t="str">
        <f ca="1">IF(ISERROR(OFFSET('HARGA SATUAN'!$D$6,MATCH('RAB Standart'!C121,'HARGA SATUAN'!$C$7:$C$1509,0),0)),"",OFFSET('HARGA SATUAN'!$D$6,MATCH('RAB Standart'!C121,'HARGA SATUAN'!$C$7:$C$1509,0),0))</f>
        <v>HDW</v>
      </c>
      <c r="E121" s="281" t="str">
        <f ca="1">IF(B121="+","Unit",IF(ISERROR(OFFSET('HARGA SATUAN'!$E$6,MATCH('RAB Standart'!C121,'HARGA SATUAN'!$C$7:$C$1509,0),0)),"",OFFSET('HARGA SATUAN'!$E$6,MATCH('RAB Standart'!C121,'HARGA SATUAN'!$C$7:$C$1509,0),0)))</f>
        <v>Mtr</v>
      </c>
      <c r="F121" s="281">
        <f>F119*0.8</f>
        <v>3.2</v>
      </c>
      <c r="G121" s="282">
        <f ca="1">IF(ISERROR(OFFSET('HARGA SATUAN'!$I$6,MATCH('RAB Standart'!C121,'HARGA SATUAN'!$C$7:$C$1509,0),0)),0,OFFSET('HARGA SATUAN'!$I$6,MATCH('RAB Standart'!C121,'HARGA SATUAN'!$C$7:$C$1509,0),0))</f>
        <v>30000</v>
      </c>
      <c r="H121" s="283">
        <f t="shared" ca="1" si="36"/>
        <v>0</v>
      </c>
      <c r="I121" s="283">
        <f t="shared" ca="1" si="37"/>
        <v>96000</v>
      </c>
      <c r="J121" s="283">
        <f t="shared" ca="1" si="38"/>
        <v>0</v>
      </c>
      <c r="K121" s="284">
        <f t="shared" ca="1" si="39"/>
        <v>96000</v>
      </c>
      <c r="L121" s="288"/>
      <c r="M121" s="288"/>
      <c r="N121" s="288"/>
      <c r="O121" s="285"/>
      <c r="P121" s="285"/>
      <c r="Q121" s="266"/>
      <c r="R121" s="258"/>
      <c r="S121" s="286"/>
      <c r="T121" s="263"/>
      <c r="U121" s="263"/>
      <c r="V121" s="263"/>
    </row>
    <row r="122" spans="1:22" s="289" customFormat="1">
      <c r="A122" s="258"/>
      <c r="B122" s="293">
        <v>3</v>
      </c>
      <c r="C122" s="494" t="s">
        <v>23</v>
      </c>
      <c r="D122" s="280" t="str">
        <f ca="1">IF(ISERROR(OFFSET('HARGA SATUAN'!$D$6,MATCH('RAB Standart'!C122,'HARGA SATUAN'!$C$7:$C$1509,0),0)),"",OFFSET('HARGA SATUAN'!$D$6,MATCH('RAB Standart'!C122,'HARGA SATUAN'!$C$7:$C$1509,0),0))</f>
        <v>HDW</v>
      </c>
      <c r="E122" s="281" t="str">
        <f ca="1">IF(B122="+","Unit",IF(ISERROR(OFFSET('HARGA SATUAN'!$E$6,MATCH('RAB Standart'!C122,'HARGA SATUAN'!$C$7:$C$1509,0),0)),"",OFFSET('HARGA SATUAN'!$E$6,MATCH('RAB Standart'!C122,'HARGA SATUAN'!$C$7:$C$1509,0),0)))</f>
        <v>Bh</v>
      </c>
      <c r="F122" s="281">
        <f>F119*1</f>
        <v>4</v>
      </c>
      <c r="G122" s="282">
        <f ca="1">IF(ISERROR(OFFSET('HARGA SATUAN'!$I$6,MATCH('RAB Standart'!C122,'HARGA SATUAN'!$C$7:$C$1509,0),0)),0,OFFSET('HARGA SATUAN'!$I$6,MATCH('RAB Standart'!C122,'HARGA SATUAN'!$C$7:$C$1509,0),0))</f>
        <v>9500</v>
      </c>
      <c r="H122" s="283">
        <f t="shared" ca="1" si="36"/>
        <v>0</v>
      </c>
      <c r="I122" s="283">
        <f t="shared" ca="1" si="37"/>
        <v>38000</v>
      </c>
      <c r="J122" s="283">
        <f t="shared" ca="1" si="38"/>
        <v>0</v>
      </c>
      <c r="K122" s="284">
        <f t="shared" ca="1" si="39"/>
        <v>38000</v>
      </c>
      <c r="L122" s="288"/>
      <c r="M122" s="288"/>
      <c r="N122" s="288"/>
      <c r="O122" s="285"/>
      <c r="P122" s="285"/>
      <c r="Q122" s="266"/>
      <c r="R122" s="258"/>
      <c r="S122" s="286"/>
      <c r="T122" s="263"/>
      <c r="U122" s="263"/>
      <c r="V122" s="263"/>
    </row>
    <row r="123" spans="1:22" s="289" customFormat="1">
      <c r="A123" s="258" t="e">
        <f>IF(AND(C123=0,#REF!=0,#REF!=0),"BLANKS",1)</f>
        <v>#REF!</v>
      </c>
      <c r="B123" s="293">
        <v>4</v>
      </c>
      <c r="C123" s="494" t="s">
        <v>731</v>
      </c>
      <c r="D123" s="280" t="str">
        <f ca="1">IF(ISERROR(OFFSET('HARGA SATUAN'!$D$6,MATCH('RAB Standart'!C123,'HARGA SATUAN'!$C$7:$C$1509,0),0)),"",OFFSET('HARGA SATUAN'!$D$6,MATCH('RAB Standart'!C123,'HARGA SATUAN'!$C$7:$C$1509,0),0))</f>
        <v>JASA</v>
      </c>
      <c r="E123" s="281" t="str">
        <f ca="1">IF(B123="+","Unit",IF(ISERROR(OFFSET('HARGA SATUAN'!$E$6,MATCH('RAB Standart'!C123,'HARGA SATUAN'!$C$7:$C$1509,0),0)),"",OFFSET('HARGA SATUAN'!$E$6,MATCH('RAB Standart'!C123,'HARGA SATUAN'!$C$7:$C$1509,0),0)))</f>
        <v>Unit</v>
      </c>
      <c r="F123" s="281">
        <f>F119*1</f>
        <v>4</v>
      </c>
      <c r="G123" s="282">
        <f ca="1">IF(ISERROR(OFFSET('HARGA SATUAN'!$I$6,MATCH('RAB Standart'!C123,'HARGA SATUAN'!$C$7:$C$1509,0),0)),0,OFFSET('HARGA SATUAN'!$I$6,MATCH('RAB Standart'!C123,'HARGA SATUAN'!$C$7:$C$1509,0),0))</f>
        <v>16200</v>
      </c>
      <c r="H123" s="283">
        <f t="shared" ca="1" si="36"/>
        <v>0</v>
      </c>
      <c r="I123" s="283">
        <f t="shared" ca="1" si="37"/>
        <v>0</v>
      </c>
      <c r="J123" s="283">
        <f t="shared" ca="1" si="38"/>
        <v>64800</v>
      </c>
      <c r="K123" s="284">
        <f t="shared" ca="1" si="39"/>
        <v>64800</v>
      </c>
      <c r="L123" s="288"/>
      <c r="M123" s="288"/>
      <c r="N123" s="288"/>
      <c r="O123" s="285"/>
      <c r="P123" s="285"/>
      <c r="Q123" s="266"/>
      <c r="R123" s="258"/>
      <c r="S123" s="286"/>
      <c r="T123" s="263"/>
      <c r="U123" s="263"/>
      <c r="V123" s="263"/>
    </row>
    <row r="124" spans="1:22" s="289" customFormat="1">
      <c r="A124" s="258" t="e">
        <f>IF(AND(C124=0,#REF!=0,#REF!=0),"BLANKS",1)</f>
        <v>#REF!</v>
      </c>
      <c r="B124" s="293"/>
      <c r="C124" s="494"/>
      <c r="D124" s="280" t="str">
        <f ca="1">IF(ISERROR(OFFSET('HARGA SATUAN'!$D$6,MATCH('RAB Standart'!C124,'HARGA SATUAN'!$C$7:$C$1509,0),0)),"",OFFSET('HARGA SATUAN'!$D$6,MATCH('RAB Standart'!C124,'HARGA SATUAN'!$C$7:$C$1509,0),0))</f>
        <v/>
      </c>
      <c r="E124" s="281" t="str">
        <f ca="1">IF(B124="+","Unit",IF(ISERROR(OFFSET('HARGA SATUAN'!$E$6,MATCH('RAB Standart'!C124,'HARGA SATUAN'!$C$7:$C$1509,0),0)),"",OFFSET('HARGA SATUAN'!$E$6,MATCH('RAB Standart'!C124,'HARGA SATUAN'!$C$7:$C$1509,0),0)))</f>
        <v/>
      </c>
      <c r="F124" s="281"/>
      <c r="G124" s="282">
        <f ca="1">IF(ISERROR(OFFSET('HARGA SATUAN'!$I$6,MATCH('RAB Standart'!C124,'HARGA SATUAN'!$C$7:$C$1509,0),0)),0,OFFSET('HARGA SATUAN'!$I$6,MATCH('RAB Standart'!C124,'HARGA SATUAN'!$C$7:$C$1509,0),0))</f>
        <v>0</v>
      </c>
      <c r="H124" s="283">
        <f t="shared" ca="1" si="36"/>
        <v>0</v>
      </c>
      <c r="I124" s="283">
        <f t="shared" ca="1" si="37"/>
        <v>0</v>
      </c>
      <c r="J124" s="283">
        <f t="shared" ca="1" si="38"/>
        <v>0</v>
      </c>
      <c r="K124" s="284">
        <f t="shared" ca="1" si="39"/>
        <v>0</v>
      </c>
      <c r="L124" s="288"/>
      <c r="M124" s="288"/>
      <c r="N124" s="288"/>
      <c r="O124" s="285"/>
      <c r="P124" s="285"/>
      <c r="Q124" s="266"/>
      <c r="R124" s="258"/>
      <c r="S124" s="286"/>
      <c r="T124" s="263"/>
      <c r="U124" s="263"/>
      <c r="V124" s="263"/>
    </row>
    <row r="125" spans="1:22" s="289" customFormat="1">
      <c r="A125" s="258" t="e">
        <f>IF(AND(C125=0,#REF!=0,#REF!=0),"BLANKS",1)</f>
        <v>#REF!</v>
      </c>
      <c r="B125" s="293" t="s">
        <v>1008</v>
      </c>
      <c r="C125" s="494" t="s">
        <v>1632</v>
      </c>
      <c r="D125" s="280" t="str">
        <f ca="1">IF(ISERROR(OFFSET('HARGA SATUAN'!$D$6,MATCH('RAB Standart'!C125,'HARGA SATUAN'!$C$7:$C$1509,0),0)),"",OFFSET('HARGA SATUAN'!$D$6,MATCH('RAB Standart'!C125,'HARGA SATUAN'!$C$7:$C$1509,0),0))</f>
        <v/>
      </c>
      <c r="E125" s="281" t="str">
        <f ca="1">IF(B125="+","Unit",IF(ISERROR(OFFSET('HARGA SATUAN'!$E$6,MATCH('RAB Standart'!C125,'HARGA SATUAN'!$C$7:$C$1509,0),0)),"",OFFSET('HARGA SATUAN'!$E$6,MATCH('RAB Standart'!C125,'HARGA SATUAN'!$C$7:$C$1509,0),0)))</f>
        <v>Unit</v>
      </c>
      <c r="F125" s="281">
        <v>4</v>
      </c>
      <c r="G125" s="282">
        <f ca="1">IF(ISERROR(OFFSET('HARGA SATUAN'!$I$6,MATCH('RAB Standart'!C125,'HARGA SATUAN'!$C$7:$C$1509,0),0)),0,OFFSET('HARGA SATUAN'!$I$6,MATCH('RAB Standart'!C125,'HARGA SATUAN'!$C$7:$C$1509,0),0))</f>
        <v>0</v>
      </c>
      <c r="H125" s="283">
        <f t="shared" ca="1" si="32"/>
        <v>0</v>
      </c>
      <c r="I125" s="283">
        <f t="shared" ca="1" si="33"/>
        <v>0</v>
      </c>
      <c r="J125" s="283">
        <f t="shared" ca="1" si="34"/>
        <v>0</v>
      </c>
      <c r="K125" s="284">
        <f t="shared" ca="1" si="35"/>
        <v>0</v>
      </c>
      <c r="L125" s="288"/>
      <c r="M125" s="288"/>
      <c r="N125" s="288"/>
      <c r="O125" s="285"/>
      <c r="P125" s="285"/>
      <c r="Q125" s="266"/>
      <c r="R125" s="258"/>
      <c r="S125" s="286"/>
      <c r="T125" s="263"/>
      <c r="U125" s="263"/>
      <c r="V125" s="263"/>
    </row>
    <row r="126" spans="1:22" s="289" customFormat="1">
      <c r="A126" s="258" t="e">
        <f>IF(AND(C126=0,C127=0,#REF!=0),"BLANKS",1)</f>
        <v>#REF!</v>
      </c>
      <c r="B126" s="293">
        <v>1</v>
      </c>
      <c r="C126" s="494" t="s">
        <v>20</v>
      </c>
      <c r="D126" s="280" t="str">
        <f ca="1">IF(ISERROR(OFFSET('HARGA SATUAN'!$D$6,MATCH('RAB Standart'!C126,'HARGA SATUAN'!$C$7:$C$1509,0),0)),"",OFFSET('HARGA SATUAN'!$D$6,MATCH('RAB Standart'!C126,'HARGA SATUAN'!$C$7:$C$1509,0),0))</f>
        <v>HDW</v>
      </c>
      <c r="E126" s="281" t="str">
        <f ca="1">IF(B126="+","Unit",IF(ISERROR(OFFSET('HARGA SATUAN'!$E$6,MATCH('RAB Standart'!C126,'HARGA SATUAN'!$C$7:$C$1509,0),0)),"",OFFSET('HARGA SATUAN'!$E$6,MATCH('RAB Standart'!C126,'HARGA SATUAN'!$C$7:$C$1509,0),0)))</f>
        <v>Bh</v>
      </c>
      <c r="F126" s="281">
        <f>F125*1</f>
        <v>4</v>
      </c>
      <c r="G126" s="282">
        <f ca="1">IF(ISERROR(OFFSET('HARGA SATUAN'!$I$6,MATCH('RAB Standart'!C126,'HARGA SATUAN'!$C$7:$C$1509,0),0)),0,OFFSET('HARGA SATUAN'!$I$6,MATCH('RAB Standart'!C126,'HARGA SATUAN'!$C$7:$C$1509,0),0))</f>
        <v>47459</v>
      </c>
      <c r="H126" s="283">
        <f t="shared" ca="1" si="32"/>
        <v>0</v>
      </c>
      <c r="I126" s="283">
        <f t="shared" ca="1" si="33"/>
        <v>189836</v>
      </c>
      <c r="J126" s="283">
        <f t="shared" ca="1" si="34"/>
        <v>0</v>
      </c>
      <c r="K126" s="284">
        <f t="shared" ca="1" si="35"/>
        <v>189836</v>
      </c>
      <c r="L126" s="288"/>
      <c r="M126" s="288"/>
      <c r="N126" s="288"/>
      <c r="O126" s="285"/>
      <c r="P126" s="285"/>
      <c r="Q126" s="266"/>
      <c r="R126" s="258"/>
      <c r="S126" s="286"/>
      <c r="T126" s="263"/>
      <c r="U126" s="263"/>
      <c r="V126" s="263"/>
    </row>
    <row r="127" spans="1:22" s="289" customFormat="1">
      <c r="A127" s="258" t="e">
        <f>IF(AND(C127=0,#REF!=0,#REF!=0),"BLANKS",1)</f>
        <v>#REF!</v>
      </c>
      <c r="B127" s="293">
        <v>2</v>
      </c>
      <c r="C127" s="494" t="s">
        <v>22</v>
      </c>
      <c r="D127" s="280" t="str">
        <f ca="1">IF(ISERROR(OFFSET('HARGA SATUAN'!$D$6,MATCH('RAB Standart'!C127,'HARGA SATUAN'!$C$7:$C$1509,0),0)),"",OFFSET('HARGA SATUAN'!$D$6,MATCH('RAB Standart'!C127,'HARGA SATUAN'!$C$7:$C$1509,0),0))</f>
        <v>HDW</v>
      </c>
      <c r="E127" s="281" t="str">
        <f ca="1">IF(B127="+","Unit",IF(ISERROR(OFFSET('HARGA SATUAN'!$E$6,MATCH('RAB Standart'!C127,'HARGA SATUAN'!$C$7:$C$1509,0),0)),"",OFFSET('HARGA SATUAN'!$E$6,MATCH('RAB Standart'!C127,'HARGA SATUAN'!$C$7:$C$1509,0),0)))</f>
        <v>Mtr</v>
      </c>
      <c r="F127" s="281">
        <f>F125*1</f>
        <v>4</v>
      </c>
      <c r="G127" s="282">
        <f ca="1">IF(ISERROR(OFFSET('HARGA SATUAN'!$I$6,MATCH('RAB Standart'!C127,'HARGA SATUAN'!$C$7:$C$1509,0),0)),0,OFFSET('HARGA SATUAN'!$I$6,MATCH('RAB Standart'!C127,'HARGA SATUAN'!$C$7:$C$1509,0),0))</f>
        <v>30000</v>
      </c>
      <c r="H127" s="283">
        <f t="shared" ca="1" si="32"/>
        <v>0</v>
      </c>
      <c r="I127" s="283">
        <f t="shared" ca="1" si="33"/>
        <v>120000</v>
      </c>
      <c r="J127" s="283">
        <f t="shared" ca="1" si="34"/>
        <v>0</v>
      </c>
      <c r="K127" s="284">
        <f t="shared" ca="1" si="35"/>
        <v>120000</v>
      </c>
      <c r="L127" s="288"/>
      <c r="M127" s="288"/>
      <c r="N127" s="288"/>
      <c r="O127" s="285"/>
      <c r="P127" s="285"/>
      <c r="Q127" s="266"/>
      <c r="R127" s="258"/>
      <c r="S127" s="286"/>
      <c r="T127" s="263"/>
      <c r="U127" s="263"/>
      <c r="V127" s="263"/>
    </row>
    <row r="128" spans="1:22" s="289" customFormat="1">
      <c r="A128" s="258"/>
      <c r="B128" s="293">
        <v>3</v>
      </c>
      <c r="C128" s="494" t="s">
        <v>23</v>
      </c>
      <c r="D128" s="280" t="str">
        <f ca="1">IF(ISERROR(OFFSET('HARGA SATUAN'!$D$6,MATCH('RAB Standart'!C128,'HARGA SATUAN'!$C$7:$C$1509,0),0)),"",OFFSET('HARGA SATUAN'!$D$6,MATCH('RAB Standart'!C128,'HARGA SATUAN'!$C$7:$C$1509,0),0))</f>
        <v>HDW</v>
      </c>
      <c r="E128" s="281" t="str">
        <f ca="1">IF(B128="+","Unit",IF(ISERROR(OFFSET('HARGA SATUAN'!$E$6,MATCH('RAB Standart'!C128,'HARGA SATUAN'!$C$7:$C$1509,0),0)),"",OFFSET('HARGA SATUAN'!$E$6,MATCH('RAB Standart'!C128,'HARGA SATUAN'!$C$7:$C$1509,0),0)))</f>
        <v>Bh</v>
      </c>
      <c r="F128" s="281">
        <f>F125*1</f>
        <v>4</v>
      </c>
      <c r="G128" s="282">
        <f ca="1">IF(ISERROR(OFFSET('HARGA SATUAN'!$I$6,MATCH('RAB Standart'!C128,'HARGA SATUAN'!$C$7:$C$1509,0),0)),0,OFFSET('HARGA SATUAN'!$I$6,MATCH('RAB Standart'!C128,'HARGA SATUAN'!$C$7:$C$1509,0),0))</f>
        <v>9500</v>
      </c>
      <c r="H128" s="283">
        <f t="shared" ca="1" si="32"/>
        <v>0</v>
      </c>
      <c r="I128" s="283">
        <f t="shared" ca="1" si="33"/>
        <v>38000</v>
      </c>
      <c r="J128" s="283">
        <f t="shared" ca="1" si="34"/>
        <v>0</v>
      </c>
      <c r="K128" s="284">
        <f t="shared" ca="1" si="35"/>
        <v>38000</v>
      </c>
      <c r="L128" s="288"/>
      <c r="M128" s="288"/>
      <c r="N128" s="288"/>
      <c r="O128" s="285"/>
      <c r="P128" s="285"/>
      <c r="Q128" s="266"/>
      <c r="R128" s="258"/>
      <c r="S128" s="286"/>
      <c r="T128" s="263"/>
      <c r="U128" s="263"/>
      <c r="V128" s="263"/>
    </row>
    <row r="129" spans="1:22" s="289" customFormat="1">
      <c r="A129" s="258" t="e">
        <f>IF(AND(C129=0,#REF!=0,#REF!=0),"BLANKS",1)</f>
        <v>#REF!</v>
      </c>
      <c r="B129" s="293">
        <v>4</v>
      </c>
      <c r="C129" s="494" t="s">
        <v>732</v>
      </c>
      <c r="D129" s="280" t="str">
        <f ca="1">IF(ISERROR(OFFSET('HARGA SATUAN'!$D$6,MATCH('RAB Standart'!C129,'HARGA SATUAN'!$C$7:$C$1509,0),0)),"",OFFSET('HARGA SATUAN'!$D$6,MATCH('RAB Standart'!C129,'HARGA SATUAN'!$C$7:$C$1509,0),0))</f>
        <v>JASA</v>
      </c>
      <c r="E129" s="281" t="str">
        <f ca="1">IF(B129="+","Unit",IF(ISERROR(OFFSET('HARGA SATUAN'!$E$6,MATCH('RAB Standart'!C129,'HARGA SATUAN'!$C$7:$C$1509,0),0)),"",OFFSET('HARGA SATUAN'!$E$6,MATCH('RAB Standart'!C129,'HARGA SATUAN'!$C$7:$C$1509,0),0)))</f>
        <v>Unit</v>
      </c>
      <c r="F129" s="281">
        <f>F125*1</f>
        <v>4</v>
      </c>
      <c r="G129" s="282">
        <f ca="1">IF(ISERROR(OFFSET('HARGA SATUAN'!$I$6,MATCH('RAB Standart'!C129,'HARGA SATUAN'!$C$7:$C$1509,0),0)),0,OFFSET('HARGA SATUAN'!$I$6,MATCH('RAB Standart'!C129,'HARGA SATUAN'!$C$7:$C$1509,0),0))</f>
        <v>21200</v>
      </c>
      <c r="H129" s="283">
        <f t="shared" ca="1" si="32"/>
        <v>0</v>
      </c>
      <c r="I129" s="283">
        <f t="shared" ca="1" si="33"/>
        <v>0</v>
      </c>
      <c r="J129" s="283">
        <f t="shared" ca="1" si="34"/>
        <v>84800</v>
      </c>
      <c r="K129" s="284">
        <f t="shared" ca="1" si="35"/>
        <v>84800</v>
      </c>
      <c r="L129" s="288"/>
      <c r="M129" s="288"/>
      <c r="N129" s="288"/>
      <c r="O129" s="285"/>
      <c r="P129" s="285"/>
      <c r="Q129" s="266"/>
      <c r="R129" s="258"/>
      <c r="S129" s="286"/>
      <c r="T129" s="263"/>
      <c r="U129" s="263"/>
      <c r="V129" s="263"/>
    </row>
    <row r="130" spans="1:22" s="289" customFormat="1">
      <c r="A130" s="258"/>
      <c r="B130" s="293"/>
      <c r="C130" s="494"/>
      <c r="D130" s="280" t="str">
        <f ca="1">IF(ISERROR(OFFSET('HARGA SATUAN'!$D$6,MATCH('RAB Standart'!C130,'HARGA SATUAN'!$C$7:$C$1509,0),0)),"",OFFSET('HARGA SATUAN'!$D$6,MATCH('RAB Standart'!C130,'HARGA SATUAN'!$C$7:$C$1509,0),0))</f>
        <v/>
      </c>
      <c r="E130" s="281" t="str">
        <f ca="1">IF(B130="+","Unit",IF(ISERROR(OFFSET('HARGA SATUAN'!$E$6,MATCH('RAB Standart'!C130,'HARGA SATUAN'!$C$7:$C$1509,0),0)),"",OFFSET('HARGA SATUAN'!$E$6,MATCH('RAB Standart'!C130,'HARGA SATUAN'!$C$7:$C$1509,0),0)))</f>
        <v/>
      </c>
      <c r="F130" s="281"/>
      <c r="G130" s="282">
        <f ca="1">IF(ISERROR(OFFSET('HARGA SATUAN'!$I$6,MATCH('RAB Standart'!C130,'HARGA SATUAN'!$C$7:$C$1509,0),0)),0,OFFSET('HARGA SATUAN'!$I$6,MATCH('RAB Standart'!C130,'HARGA SATUAN'!$C$7:$C$1509,0),0))</f>
        <v>0</v>
      </c>
      <c r="H130" s="283">
        <f t="shared" ref="H130:H143" ca="1" si="40">IF(OR(D130="MDU",D130="MDU-KD"),(IF($O$3="RAB NON MDU","PLN KD",G130*F130)),0)</f>
        <v>0</v>
      </c>
      <c r="I130" s="283">
        <f t="shared" ref="I130:I143" ca="1" si="41">IF(D130="HDW",G130*F130,0)</f>
        <v>0</v>
      </c>
      <c r="J130" s="283">
        <f t="shared" ref="J130:J143" ca="1" si="42">IF(D130="JASA",G130*F130,0)</f>
        <v>0</v>
      </c>
      <c r="K130" s="284">
        <f t="shared" ref="K130:K143" ca="1" si="43">SUM(H130:J130)</f>
        <v>0</v>
      </c>
      <c r="L130" s="288"/>
      <c r="M130" s="288"/>
      <c r="N130" s="288"/>
      <c r="O130" s="285"/>
      <c r="P130" s="285"/>
      <c r="Q130" s="266"/>
      <c r="R130" s="258"/>
      <c r="S130" s="286"/>
      <c r="T130" s="263"/>
      <c r="U130" s="263"/>
      <c r="V130" s="263"/>
    </row>
    <row r="131" spans="1:22" s="289" customFormat="1">
      <c r="A131" s="258"/>
      <c r="B131" s="293" t="s">
        <v>1008</v>
      </c>
      <c r="C131" s="494" t="s">
        <v>1665</v>
      </c>
      <c r="D131" s="280" t="str">
        <f ca="1">IF(ISERROR(OFFSET('HARGA SATUAN'!$D$6,MATCH('RAB Standart'!C131,'HARGA SATUAN'!$C$7:$C$1509,0),0)),"",OFFSET('HARGA SATUAN'!$D$6,MATCH('RAB Standart'!C131,'HARGA SATUAN'!$C$7:$C$1509,0),0))</f>
        <v/>
      </c>
      <c r="E131" s="281" t="str">
        <f ca="1">IF(B131="+","Unit",IF(ISERROR(OFFSET('HARGA SATUAN'!$E$6,MATCH('RAB Standart'!C131,'HARGA SATUAN'!$C$7:$C$1509,0),0)),"",OFFSET('HARGA SATUAN'!$E$6,MATCH('RAB Standart'!C131,'HARGA SATUAN'!$C$7:$C$1509,0),0)))</f>
        <v>Unit</v>
      </c>
      <c r="F131" s="281">
        <v>1</v>
      </c>
      <c r="G131" s="282">
        <f ca="1">IF(ISERROR(OFFSET('HARGA SATUAN'!$I$6,MATCH('RAB Standart'!C131,'HARGA SATUAN'!$C$7:$C$1509,0),0)),0,OFFSET('HARGA SATUAN'!$I$6,MATCH('RAB Standart'!C131,'HARGA SATUAN'!$C$7:$C$1509,0),0))</f>
        <v>0</v>
      </c>
      <c r="H131" s="283">
        <f t="shared" ca="1" si="40"/>
        <v>0</v>
      </c>
      <c r="I131" s="283">
        <f t="shared" ca="1" si="41"/>
        <v>0</v>
      </c>
      <c r="J131" s="283">
        <f t="shared" ca="1" si="42"/>
        <v>0</v>
      </c>
      <c r="K131" s="284">
        <f t="shared" ca="1" si="43"/>
        <v>0</v>
      </c>
      <c r="L131" s="288"/>
      <c r="M131" s="288"/>
      <c r="N131" s="288"/>
      <c r="O131" s="285"/>
      <c r="P131" s="285"/>
      <c r="Q131" s="266"/>
      <c r="R131" s="258"/>
      <c r="S131" s="286"/>
      <c r="T131" s="263"/>
      <c r="U131" s="263"/>
      <c r="V131" s="263"/>
    </row>
    <row r="132" spans="1:22" s="289" customFormat="1">
      <c r="A132" s="258"/>
      <c r="B132" s="293">
        <v>1</v>
      </c>
      <c r="C132" s="494" t="s">
        <v>525</v>
      </c>
      <c r="D132" s="280" t="str">
        <f ca="1">IF(ISERROR(OFFSET('HARGA SATUAN'!$D$6,MATCH('RAB Standart'!C132,'HARGA SATUAN'!$C$7:$C$1509,0),0)),"",OFFSET('HARGA SATUAN'!$D$6,MATCH('RAB Standart'!C132,'HARGA SATUAN'!$C$7:$C$1509,0),0))</f>
        <v>MDU-KD</v>
      </c>
      <c r="E132" s="281" t="str">
        <f ca="1">IF(B132="+","Unit",IF(ISERROR(OFFSET('HARGA SATUAN'!$E$6,MATCH('RAB Standart'!C132,'HARGA SATUAN'!$C$7:$C$1509,0),0)),"",OFFSET('HARGA SATUAN'!$E$6,MATCH('RAB Standart'!C132,'HARGA SATUAN'!$C$7:$C$1509,0),0)))</f>
        <v>Bh</v>
      </c>
      <c r="F132" s="281">
        <f>F131*1</f>
        <v>1</v>
      </c>
      <c r="G132" s="282">
        <f ca="1">IF(ISERROR(OFFSET('HARGA SATUAN'!$I$6,MATCH('RAB Standart'!C132,'HARGA SATUAN'!$C$7:$C$1509,0),0)),0,OFFSET('HARGA SATUAN'!$I$6,MATCH('RAB Standart'!C132,'HARGA SATUAN'!$C$7:$C$1509,0),0))</f>
        <v>27845400</v>
      </c>
      <c r="H132" s="283">
        <f t="shared" ca="1" si="40"/>
        <v>27845400</v>
      </c>
      <c r="I132" s="283">
        <f t="shared" ca="1" si="41"/>
        <v>0</v>
      </c>
      <c r="J132" s="283">
        <f t="shared" ca="1" si="42"/>
        <v>0</v>
      </c>
      <c r="K132" s="284">
        <f t="shared" ca="1" si="43"/>
        <v>27845400</v>
      </c>
      <c r="L132" s="288"/>
      <c r="M132" s="288"/>
      <c r="N132" s="288"/>
      <c r="O132" s="285"/>
      <c r="P132" s="285"/>
      <c r="Q132" s="266"/>
      <c r="R132" s="258"/>
      <c r="S132" s="286"/>
      <c r="T132" s="263"/>
      <c r="U132" s="263"/>
      <c r="V132" s="263"/>
    </row>
    <row r="133" spans="1:22" s="289" customFormat="1">
      <c r="A133" s="258"/>
      <c r="B133" s="293">
        <v>2</v>
      </c>
      <c r="C133" s="494" t="s">
        <v>1666</v>
      </c>
      <c r="D133" s="280" t="str">
        <f ca="1">IF(ISERROR(OFFSET('HARGA SATUAN'!$D$6,MATCH('RAB Standart'!C133,'HARGA SATUAN'!$C$7:$C$1509,0),0)),"",OFFSET('HARGA SATUAN'!$D$6,MATCH('RAB Standart'!C133,'HARGA SATUAN'!$C$7:$C$1509,0),0))</f>
        <v/>
      </c>
      <c r="E133" s="281" t="str">
        <f ca="1">IF(B133="+","Unit",IF(ISERROR(OFFSET('HARGA SATUAN'!$E$6,MATCH('RAB Standart'!C133,'HARGA SATUAN'!$C$7:$C$1509,0),0)),"",OFFSET('HARGA SATUAN'!$E$6,MATCH('RAB Standart'!C133,'HARGA SATUAN'!$C$7:$C$1509,0),0)))</f>
        <v/>
      </c>
      <c r="F133" s="281"/>
      <c r="G133" s="282">
        <f ca="1">IF(ISERROR(OFFSET('HARGA SATUAN'!$I$6,MATCH('RAB Standart'!C133,'HARGA SATUAN'!$C$7:$C$1509,0),0)),0,OFFSET('HARGA SATUAN'!$I$6,MATCH('RAB Standart'!C133,'HARGA SATUAN'!$C$7:$C$1509,0),0))</f>
        <v>0</v>
      </c>
      <c r="H133" s="283">
        <f t="shared" ca="1" si="40"/>
        <v>0</v>
      </c>
      <c r="I133" s="283">
        <f t="shared" ca="1" si="41"/>
        <v>0</v>
      </c>
      <c r="J133" s="283">
        <f t="shared" ca="1" si="42"/>
        <v>0</v>
      </c>
      <c r="K133" s="284">
        <f t="shared" ca="1" si="43"/>
        <v>0</v>
      </c>
      <c r="L133" s="288"/>
      <c r="M133" s="288"/>
      <c r="N133" s="288"/>
      <c r="O133" s="285"/>
      <c r="P133" s="285"/>
      <c r="Q133" s="266"/>
      <c r="R133" s="258"/>
      <c r="S133" s="286"/>
      <c r="T133" s="263"/>
      <c r="U133" s="263"/>
      <c r="V133" s="263"/>
    </row>
    <row r="134" spans="1:22" s="289" customFormat="1">
      <c r="A134" s="258"/>
      <c r="B134" s="293"/>
      <c r="C134" s="494" t="s">
        <v>57</v>
      </c>
      <c r="D134" s="280" t="str">
        <f ca="1">IF(ISERROR(OFFSET('HARGA SATUAN'!$D$6,MATCH('RAB Standart'!C134,'HARGA SATUAN'!$C$7:$C$1509,0),0)),"",OFFSET('HARGA SATUAN'!$D$6,MATCH('RAB Standart'!C134,'HARGA SATUAN'!$C$7:$C$1509,0),0))</f>
        <v>MDU-KD</v>
      </c>
      <c r="E134" s="281" t="str">
        <f ca="1">IF(B134="+","Unit",IF(ISERROR(OFFSET('HARGA SATUAN'!$E$6,MATCH('RAB Standart'!C134,'HARGA SATUAN'!$C$7:$C$1509,0),0)),"",OFFSET('HARGA SATUAN'!$E$6,MATCH('RAB Standart'!C134,'HARGA SATUAN'!$C$7:$C$1509,0),0)))</f>
        <v>Mtr</v>
      </c>
      <c r="F134" s="281">
        <f>F131*2</f>
        <v>2</v>
      </c>
      <c r="G134" s="282">
        <f ca="1">IF(ISERROR(OFFSET('HARGA SATUAN'!$I$6,MATCH('RAB Standart'!C134,'HARGA SATUAN'!$C$7:$C$1509,0),0)),0,OFFSET('HARGA SATUAN'!$I$6,MATCH('RAB Standart'!C134,'HARGA SATUAN'!$C$7:$C$1509,0),0))</f>
        <v>14200</v>
      </c>
      <c r="H134" s="283">
        <f t="shared" ca="1" si="40"/>
        <v>28400</v>
      </c>
      <c r="I134" s="283">
        <f t="shared" ca="1" si="41"/>
        <v>0</v>
      </c>
      <c r="J134" s="283">
        <f t="shared" ca="1" si="42"/>
        <v>0</v>
      </c>
      <c r="K134" s="284">
        <f t="shared" ca="1" si="43"/>
        <v>28400</v>
      </c>
      <c r="L134" s="288"/>
      <c r="M134" s="288"/>
      <c r="N134" s="288"/>
      <c r="O134" s="285"/>
      <c r="P134" s="285"/>
      <c r="Q134" s="266"/>
      <c r="R134" s="258"/>
      <c r="S134" s="286"/>
      <c r="T134" s="263"/>
      <c r="U134" s="263"/>
      <c r="V134" s="263"/>
    </row>
    <row r="135" spans="1:22" s="289" customFormat="1">
      <c r="A135" s="258"/>
      <c r="B135" s="293"/>
      <c r="C135" s="494" t="s">
        <v>1374</v>
      </c>
      <c r="D135" s="280" t="str">
        <f ca="1">IF(ISERROR(OFFSET('HARGA SATUAN'!$D$6,MATCH('RAB Standart'!C135,'HARGA SATUAN'!$C$7:$C$1509,0),0)),"",OFFSET('HARGA SATUAN'!$D$6,MATCH('RAB Standart'!C135,'HARGA SATUAN'!$C$7:$C$1509,0),0))</f>
        <v>MDU-KD</v>
      </c>
      <c r="E135" s="281" t="str">
        <f ca="1">IF(B135="+","Unit",IF(ISERROR(OFFSET('HARGA SATUAN'!$E$6,MATCH('RAB Standart'!C135,'HARGA SATUAN'!$C$7:$C$1509,0),0)),"",OFFSET('HARGA SATUAN'!$E$6,MATCH('RAB Standart'!C135,'HARGA SATUAN'!$C$7:$C$1509,0),0)))</f>
        <v>Mtr</v>
      </c>
      <c r="F135" s="281">
        <f>F131*2</f>
        <v>2</v>
      </c>
      <c r="G135" s="282">
        <f ca="1">IF(ISERROR(OFFSET('HARGA SATUAN'!$I$6,MATCH('RAB Standart'!C135,'HARGA SATUAN'!$C$7:$C$1509,0),0)),0,OFFSET('HARGA SATUAN'!$I$6,MATCH('RAB Standart'!C135,'HARGA SATUAN'!$C$7:$C$1509,0),0))</f>
        <v>53300</v>
      </c>
      <c r="H135" s="283">
        <f t="shared" ca="1" si="40"/>
        <v>106600</v>
      </c>
      <c r="I135" s="283">
        <f t="shared" ca="1" si="41"/>
        <v>0</v>
      </c>
      <c r="J135" s="283">
        <f t="shared" ca="1" si="42"/>
        <v>0</v>
      </c>
      <c r="K135" s="284">
        <f t="shared" ca="1" si="43"/>
        <v>106600</v>
      </c>
      <c r="L135" s="288"/>
      <c r="M135" s="288"/>
      <c r="N135" s="288"/>
      <c r="O135" s="285"/>
      <c r="P135" s="285"/>
      <c r="Q135" s="266"/>
      <c r="R135" s="258"/>
      <c r="S135" s="286"/>
      <c r="T135" s="263"/>
      <c r="U135" s="263"/>
      <c r="V135" s="263"/>
    </row>
    <row r="136" spans="1:22" s="289" customFormat="1">
      <c r="A136" s="258"/>
      <c r="B136" s="293">
        <v>3</v>
      </c>
      <c r="C136" s="494" t="s">
        <v>200</v>
      </c>
      <c r="D136" s="280" t="str">
        <f ca="1">IF(ISERROR(OFFSET('HARGA SATUAN'!$D$6,MATCH('RAB Standart'!C136,'HARGA SATUAN'!$C$7:$C$1509,0),0)),"",OFFSET('HARGA SATUAN'!$D$6,MATCH('RAB Standart'!C136,'HARGA SATUAN'!$C$7:$C$1509,0),0))</f>
        <v>HDW</v>
      </c>
      <c r="E136" s="281" t="str">
        <f ca="1">IF(B136="+","Unit",IF(ISERROR(OFFSET('HARGA SATUAN'!$E$6,MATCH('RAB Standart'!C136,'HARGA SATUAN'!$C$7:$C$1509,0),0)),"",OFFSET('HARGA SATUAN'!$E$6,MATCH('RAB Standart'!C136,'HARGA SATUAN'!$C$7:$C$1509,0),0)))</f>
        <v>Bh</v>
      </c>
      <c r="F136" s="281">
        <f>F131*1</f>
        <v>1</v>
      </c>
      <c r="G136" s="282">
        <f ca="1">IF(ISERROR(OFFSET('HARGA SATUAN'!$I$6,MATCH('RAB Standart'!C136,'HARGA SATUAN'!$C$7:$C$1509,0),0)),0,OFFSET('HARGA SATUAN'!$I$6,MATCH('RAB Standart'!C136,'HARGA SATUAN'!$C$7:$C$1509,0),0))</f>
        <v>87000</v>
      </c>
      <c r="H136" s="283">
        <f t="shared" ca="1" si="40"/>
        <v>0</v>
      </c>
      <c r="I136" s="283">
        <f t="shared" ca="1" si="41"/>
        <v>87000</v>
      </c>
      <c r="J136" s="283">
        <f t="shared" ca="1" si="42"/>
        <v>0</v>
      </c>
      <c r="K136" s="284">
        <f t="shared" ca="1" si="43"/>
        <v>87000</v>
      </c>
      <c r="L136" s="288"/>
      <c r="M136" s="288"/>
      <c r="N136" s="288"/>
      <c r="O136" s="285"/>
      <c r="P136" s="285"/>
      <c r="Q136" s="266"/>
      <c r="R136" s="258"/>
      <c r="S136" s="286"/>
      <c r="T136" s="263"/>
      <c r="U136" s="263"/>
      <c r="V136" s="263"/>
    </row>
    <row r="137" spans="1:22" s="289" customFormat="1">
      <c r="A137" s="258"/>
      <c r="B137" s="293">
        <v>4</v>
      </c>
      <c r="C137" s="494" t="s">
        <v>169</v>
      </c>
      <c r="D137" s="280" t="str">
        <f ca="1">IF(ISERROR(OFFSET('HARGA SATUAN'!$D$6,MATCH('RAB Standart'!C137,'HARGA SATUAN'!$C$7:$C$1509,0),0)),"",OFFSET('HARGA SATUAN'!$D$6,MATCH('RAB Standart'!C137,'HARGA SATUAN'!$C$7:$C$1509,0),0))</f>
        <v>HDW</v>
      </c>
      <c r="E137" s="281" t="str">
        <f ca="1">IF(B137="+","Unit",IF(ISERROR(OFFSET('HARGA SATUAN'!$E$6,MATCH('RAB Standart'!C137,'HARGA SATUAN'!$C$7:$C$1509,0),0)),"",OFFSET('HARGA SATUAN'!$E$6,MATCH('RAB Standart'!C137,'HARGA SATUAN'!$C$7:$C$1509,0),0)))</f>
        <v>Bh</v>
      </c>
      <c r="F137" s="281">
        <f>F131*2</f>
        <v>2</v>
      </c>
      <c r="G137" s="282">
        <f ca="1">IF(ISERROR(OFFSET('HARGA SATUAN'!$I$6,MATCH('RAB Standart'!C137,'HARGA SATUAN'!$C$7:$C$1509,0),0)),0,OFFSET('HARGA SATUAN'!$I$6,MATCH('RAB Standart'!C137,'HARGA SATUAN'!$C$7:$C$1509,0),0))</f>
        <v>404600</v>
      </c>
      <c r="H137" s="283">
        <f t="shared" ca="1" si="40"/>
        <v>0</v>
      </c>
      <c r="I137" s="283">
        <f t="shared" ca="1" si="41"/>
        <v>809200</v>
      </c>
      <c r="J137" s="283">
        <f t="shared" ca="1" si="42"/>
        <v>0</v>
      </c>
      <c r="K137" s="284">
        <f t="shared" ca="1" si="43"/>
        <v>809200</v>
      </c>
      <c r="L137" s="288"/>
      <c r="M137" s="288"/>
      <c r="N137" s="288"/>
      <c r="O137" s="285"/>
      <c r="P137" s="285"/>
      <c r="Q137" s="266"/>
      <c r="R137" s="258"/>
      <c r="S137" s="286"/>
      <c r="T137" s="263"/>
      <c r="U137" s="263"/>
      <c r="V137" s="263"/>
    </row>
    <row r="138" spans="1:22" s="289" customFormat="1">
      <c r="A138" s="258"/>
      <c r="B138" s="293">
        <v>5</v>
      </c>
      <c r="C138" s="494" t="s">
        <v>177</v>
      </c>
      <c r="D138" s="280" t="str">
        <f ca="1">IF(ISERROR(OFFSET('HARGA SATUAN'!$D$6,MATCH('RAB Standart'!C138,'HARGA SATUAN'!$C$7:$C$1509,0),0)),"",OFFSET('HARGA SATUAN'!$D$6,MATCH('RAB Standart'!C138,'HARGA SATUAN'!$C$7:$C$1509,0),0))</f>
        <v>HDW</v>
      </c>
      <c r="E138" s="281" t="str">
        <f ca="1">IF(B138="+","Unit",IF(ISERROR(OFFSET('HARGA SATUAN'!$E$6,MATCH('RAB Standart'!C138,'HARGA SATUAN'!$C$7:$C$1509,0),0)),"",OFFSET('HARGA SATUAN'!$E$6,MATCH('RAB Standart'!C138,'HARGA SATUAN'!$C$7:$C$1509,0),0)))</f>
        <v>Bh</v>
      </c>
      <c r="F138" s="281">
        <f>F131*3</f>
        <v>3</v>
      </c>
      <c r="G138" s="282">
        <f ca="1">IF(ISERROR(OFFSET('HARGA SATUAN'!$I$6,MATCH('RAB Standart'!C138,'HARGA SATUAN'!$C$7:$C$1509,0),0)),0,OFFSET('HARGA SATUAN'!$I$6,MATCH('RAB Standart'!C138,'HARGA SATUAN'!$C$7:$C$1509,0),0))</f>
        <v>15900</v>
      </c>
      <c r="H138" s="283">
        <f t="shared" ca="1" si="40"/>
        <v>0</v>
      </c>
      <c r="I138" s="283">
        <f t="shared" ca="1" si="41"/>
        <v>47700</v>
      </c>
      <c r="J138" s="283">
        <f t="shared" ca="1" si="42"/>
        <v>0</v>
      </c>
      <c r="K138" s="284">
        <f t="shared" ca="1" si="43"/>
        <v>47700</v>
      </c>
      <c r="L138" s="288"/>
      <c r="M138" s="288"/>
      <c r="N138" s="288"/>
      <c r="O138" s="285"/>
      <c r="P138" s="285"/>
      <c r="Q138" s="266"/>
      <c r="R138" s="258"/>
      <c r="S138" s="286"/>
      <c r="T138" s="263"/>
      <c r="U138" s="263"/>
      <c r="V138" s="263"/>
    </row>
    <row r="139" spans="1:22" s="289" customFormat="1">
      <c r="A139" s="258"/>
      <c r="B139" s="293">
        <v>6</v>
      </c>
      <c r="C139" s="494" t="s">
        <v>180</v>
      </c>
      <c r="D139" s="280" t="str">
        <f ca="1">IF(ISERROR(OFFSET('HARGA SATUAN'!$D$6,MATCH('RAB Standart'!C139,'HARGA SATUAN'!$C$7:$C$1509,0),0)),"",OFFSET('HARGA SATUAN'!$D$6,MATCH('RAB Standart'!C139,'HARGA SATUAN'!$C$7:$C$1509,0),0))</f>
        <v>HDW</v>
      </c>
      <c r="E139" s="281" t="str">
        <f ca="1">IF(B139="+","Unit",IF(ISERROR(OFFSET('HARGA SATUAN'!$E$6,MATCH('RAB Standart'!C139,'HARGA SATUAN'!$C$7:$C$1509,0),0)),"",OFFSET('HARGA SATUAN'!$E$6,MATCH('RAB Standart'!C139,'HARGA SATUAN'!$C$7:$C$1509,0),0)))</f>
        <v>Bh</v>
      </c>
      <c r="F139" s="281">
        <f>F131*2</f>
        <v>2</v>
      </c>
      <c r="G139" s="282">
        <f ca="1">IF(ISERROR(OFFSET('HARGA SATUAN'!$I$6,MATCH('RAB Standart'!C139,'HARGA SATUAN'!$C$7:$C$1509,0),0)),0,OFFSET('HARGA SATUAN'!$I$6,MATCH('RAB Standart'!C139,'HARGA SATUAN'!$C$7:$C$1509,0),0))</f>
        <v>17100</v>
      </c>
      <c r="H139" s="283">
        <f t="shared" ca="1" si="40"/>
        <v>0</v>
      </c>
      <c r="I139" s="283">
        <f t="shared" ca="1" si="41"/>
        <v>34200</v>
      </c>
      <c r="J139" s="283">
        <f t="shared" ca="1" si="42"/>
        <v>0</v>
      </c>
      <c r="K139" s="284">
        <f t="shared" ca="1" si="43"/>
        <v>34200</v>
      </c>
      <c r="L139" s="288"/>
      <c r="M139" s="288"/>
      <c r="N139" s="288"/>
      <c r="O139" s="285"/>
      <c r="P139" s="285"/>
      <c r="Q139" s="266"/>
      <c r="R139" s="258"/>
      <c r="S139" s="286"/>
      <c r="T139" s="263"/>
      <c r="U139" s="263"/>
      <c r="V139" s="263"/>
    </row>
    <row r="140" spans="1:22" s="289" customFormat="1">
      <c r="A140" s="258"/>
      <c r="B140" s="293">
        <v>7</v>
      </c>
      <c r="C140" s="494" t="s">
        <v>574</v>
      </c>
      <c r="D140" s="280" t="str">
        <f ca="1">IF(ISERROR(OFFSET('HARGA SATUAN'!$D$6,MATCH('RAB Standart'!C140,'HARGA SATUAN'!$C$7:$C$1509,0),0)),"",OFFSET('HARGA SATUAN'!$D$6,MATCH('RAB Standart'!C140,'HARGA SATUAN'!$C$7:$C$1509,0),0))</f>
        <v>HDW</v>
      </c>
      <c r="E140" s="281" t="str">
        <f ca="1">IF(B140="+","Unit",IF(ISERROR(OFFSET('HARGA SATUAN'!$E$6,MATCH('RAB Standart'!C140,'HARGA SATUAN'!$C$7:$C$1509,0),0)),"",OFFSET('HARGA SATUAN'!$E$6,MATCH('RAB Standart'!C140,'HARGA SATUAN'!$C$7:$C$1509,0),0)))</f>
        <v>Bh</v>
      </c>
      <c r="F140" s="281">
        <f>F131*4</f>
        <v>4</v>
      </c>
      <c r="G140" s="282">
        <f ca="1">IF(ISERROR(OFFSET('HARGA SATUAN'!$I$6,MATCH('RAB Standart'!C140,'HARGA SATUAN'!$C$7:$C$1509,0),0)),0,OFFSET('HARGA SATUAN'!$I$6,MATCH('RAB Standart'!C140,'HARGA SATUAN'!$C$7:$C$1509,0),0))</f>
        <v>49000</v>
      </c>
      <c r="H140" s="283">
        <f t="shared" ca="1" si="40"/>
        <v>0</v>
      </c>
      <c r="I140" s="283">
        <f t="shared" ca="1" si="41"/>
        <v>196000</v>
      </c>
      <c r="J140" s="283">
        <f t="shared" ca="1" si="42"/>
        <v>0</v>
      </c>
      <c r="K140" s="284">
        <f t="shared" ca="1" si="43"/>
        <v>196000</v>
      </c>
      <c r="L140" s="288"/>
      <c r="M140" s="288"/>
      <c r="N140" s="288"/>
      <c r="O140" s="285"/>
      <c r="P140" s="285"/>
      <c r="Q140" s="266"/>
      <c r="R140" s="258"/>
      <c r="S140" s="286"/>
      <c r="T140" s="263"/>
      <c r="U140" s="263"/>
      <c r="V140" s="263"/>
    </row>
    <row r="141" spans="1:22" s="289" customFormat="1">
      <c r="A141" s="258"/>
      <c r="B141" s="293">
        <v>8</v>
      </c>
      <c r="C141" s="494" t="s">
        <v>142</v>
      </c>
      <c r="D141" s="280" t="str">
        <f ca="1">IF(ISERROR(OFFSET('HARGA SATUAN'!$D$6,MATCH('RAB Standart'!C141,'HARGA SATUAN'!$C$7:$C$1509,0),0)),"",OFFSET('HARGA SATUAN'!$D$6,MATCH('RAB Standart'!C141,'HARGA SATUAN'!$C$7:$C$1509,0),0))</f>
        <v>HDW</v>
      </c>
      <c r="E141" s="281" t="str">
        <f ca="1">IF(B141="+","Unit",IF(ISERROR(OFFSET('HARGA SATUAN'!$E$6,MATCH('RAB Standart'!C141,'HARGA SATUAN'!$C$7:$C$1509,0),0)),"",OFFSET('HARGA SATUAN'!$E$6,MATCH('RAB Standart'!C141,'HARGA SATUAN'!$C$7:$C$1509,0),0)))</f>
        <v>Set</v>
      </c>
      <c r="F141" s="281">
        <f>F131*1</f>
        <v>1</v>
      </c>
      <c r="G141" s="282">
        <f ca="1">IF(ISERROR(OFFSET('HARGA SATUAN'!$I$6,MATCH('RAB Standart'!C141,'HARGA SATUAN'!$C$7:$C$1509,0),0)),0,OFFSET('HARGA SATUAN'!$I$6,MATCH('RAB Standart'!C141,'HARGA SATUAN'!$C$7:$C$1509,0),0))</f>
        <v>67800</v>
      </c>
      <c r="H141" s="283">
        <f t="shared" ca="1" si="40"/>
        <v>0</v>
      </c>
      <c r="I141" s="283">
        <f t="shared" ca="1" si="41"/>
        <v>67800</v>
      </c>
      <c r="J141" s="283">
        <f t="shared" ca="1" si="42"/>
        <v>0</v>
      </c>
      <c r="K141" s="284">
        <f t="shared" ca="1" si="43"/>
        <v>67800</v>
      </c>
      <c r="L141" s="288"/>
      <c r="M141" s="288"/>
      <c r="N141" s="288"/>
      <c r="O141" s="285"/>
      <c r="P141" s="285"/>
      <c r="Q141" s="266"/>
      <c r="R141" s="258"/>
      <c r="S141" s="286"/>
      <c r="T141" s="263"/>
      <c r="U141" s="263"/>
      <c r="V141" s="263"/>
    </row>
    <row r="142" spans="1:22" s="289" customFormat="1">
      <c r="A142" s="258"/>
      <c r="B142" s="293">
        <v>9</v>
      </c>
      <c r="C142" s="494" t="s">
        <v>22</v>
      </c>
      <c r="D142" s="280" t="str">
        <f ca="1">IF(ISERROR(OFFSET('HARGA SATUAN'!$D$6,MATCH('RAB Standart'!C142,'HARGA SATUAN'!$C$7:$C$1509,0),0)),"",OFFSET('HARGA SATUAN'!$D$6,MATCH('RAB Standart'!C142,'HARGA SATUAN'!$C$7:$C$1509,0),0))</f>
        <v>HDW</v>
      </c>
      <c r="E142" s="281" t="str">
        <f ca="1">IF(B142="+","Unit",IF(ISERROR(OFFSET('HARGA SATUAN'!$E$6,MATCH('RAB Standart'!C142,'HARGA SATUAN'!$C$7:$C$1509,0),0)),"",OFFSET('HARGA SATUAN'!$E$6,MATCH('RAB Standart'!C142,'HARGA SATUAN'!$C$7:$C$1509,0),0)))</f>
        <v>Mtr</v>
      </c>
      <c r="F142" s="281">
        <f>F131*2</f>
        <v>2</v>
      </c>
      <c r="G142" s="282">
        <f ca="1">IF(ISERROR(OFFSET('HARGA SATUAN'!$I$6,MATCH('RAB Standart'!C142,'HARGA SATUAN'!$C$7:$C$1509,0),0)),0,OFFSET('HARGA SATUAN'!$I$6,MATCH('RAB Standart'!C142,'HARGA SATUAN'!$C$7:$C$1509,0),0))</f>
        <v>30000</v>
      </c>
      <c r="H142" s="283">
        <f t="shared" ca="1" si="40"/>
        <v>0</v>
      </c>
      <c r="I142" s="283">
        <f t="shared" ca="1" si="41"/>
        <v>60000</v>
      </c>
      <c r="J142" s="283">
        <f t="shared" ca="1" si="42"/>
        <v>0</v>
      </c>
      <c r="K142" s="284">
        <f t="shared" ca="1" si="43"/>
        <v>60000</v>
      </c>
      <c r="L142" s="288"/>
      <c r="M142" s="288"/>
      <c r="N142" s="288"/>
      <c r="O142" s="285"/>
      <c r="P142" s="285"/>
      <c r="Q142" s="266"/>
      <c r="R142" s="258"/>
      <c r="S142" s="286"/>
      <c r="T142" s="263"/>
      <c r="U142" s="263"/>
      <c r="V142" s="263"/>
    </row>
    <row r="143" spans="1:22" s="289" customFormat="1">
      <c r="A143" s="258"/>
      <c r="B143" s="293">
        <v>10</v>
      </c>
      <c r="C143" s="494" t="s">
        <v>775</v>
      </c>
      <c r="D143" s="280" t="str">
        <f ca="1">IF(ISERROR(OFFSET('HARGA SATUAN'!$D$6,MATCH('RAB Standart'!C143,'HARGA SATUAN'!$C$7:$C$1509,0),0)),"",OFFSET('HARGA SATUAN'!$D$6,MATCH('RAB Standart'!C143,'HARGA SATUAN'!$C$7:$C$1509,0),0))</f>
        <v>JASA</v>
      </c>
      <c r="E143" s="281" t="str">
        <f ca="1">IF(B143="+","Unit",IF(ISERROR(OFFSET('HARGA SATUAN'!$E$6,MATCH('RAB Standart'!C143,'HARGA SATUAN'!$C$7:$C$1509,0),0)),"",OFFSET('HARGA SATUAN'!$E$6,MATCH('RAB Standart'!C143,'HARGA SATUAN'!$C$7:$C$1509,0),0)))</f>
        <v>Unit</v>
      </c>
      <c r="F143" s="281">
        <f>F131*1</f>
        <v>1</v>
      </c>
      <c r="G143" s="282">
        <f ca="1">IF(ISERROR(OFFSET('HARGA SATUAN'!$I$6,MATCH('RAB Standart'!C143,'HARGA SATUAN'!$C$7:$C$1509,0),0)),0,OFFSET('HARGA SATUAN'!$I$6,MATCH('RAB Standart'!C143,'HARGA SATUAN'!$C$7:$C$1509,0),0))</f>
        <v>346400</v>
      </c>
      <c r="H143" s="283">
        <f t="shared" ca="1" si="40"/>
        <v>0</v>
      </c>
      <c r="I143" s="283">
        <f t="shared" ca="1" si="41"/>
        <v>0</v>
      </c>
      <c r="J143" s="283">
        <f t="shared" ca="1" si="42"/>
        <v>346400</v>
      </c>
      <c r="K143" s="284">
        <f t="shared" ca="1" si="43"/>
        <v>346400</v>
      </c>
      <c r="L143" s="288"/>
      <c r="M143" s="288"/>
      <c r="N143" s="288"/>
      <c r="O143" s="285"/>
      <c r="P143" s="285"/>
      <c r="Q143" s="266"/>
      <c r="R143" s="258"/>
      <c r="S143" s="286"/>
      <c r="T143" s="263"/>
      <c r="U143" s="263"/>
      <c r="V143" s="263"/>
    </row>
    <row r="144" spans="1:22" s="289" customFormat="1">
      <c r="A144" s="258"/>
      <c r="B144" s="293"/>
      <c r="C144" s="494"/>
      <c r="D144" s="280" t="str">
        <f ca="1">IF(ISERROR(OFFSET('HARGA SATUAN'!$D$6,MATCH('RAB Standart'!C144,'HARGA SATUAN'!$C$7:$C$1509,0),0)),"",OFFSET('HARGA SATUAN'!$D$6,MATCH('RAB Standart'!C144,'HARGA SATUAN'!$C$7:$C$1509,0),0))</f>
        <v/>
      </c>
      <c r="E144" s="281" t="str">
        <f ca="1">IF(B144="+","Unit",IF(ISERROR(OFFSET('HARGA SATUAN'!$E$6,MATCH('RAB Standart'!C144,'HARGA SATUAN'!$C$7:$C$1509,0),0)),"",OFFSET('HARGA SATUAN'!$E$6,MATCH('RAB Standart'!C144,'HARGA SATUAN'!$C$7:$C$1509,0),0)))</f>
        <v/>
      </c>
      <c r="F144" s="281">
        <f t="shared" ref="F144:F145" si="44">F132*1</f>
        <v>1</v>
      </c>
      <c r="G144" s="282">
        <f ca="1">IF(ISERROR(OFFSET('HARGA SATUAN'!$I$6,MATCH('RAB Standart'!C144,'HARGA SATUAN'!$C$7:$C$1509,0),0)),0,OFFSET('HARGA SATUAN'!$I$6,MATCH('RAB Standart'!C144,'HARGA SATUAN'!$C$7:$C$1509,0),0))</f>
        <v>0</v>
      </c>
      <c r="H144" s="283">
        <f t="shared" ref="H144:H148" ca="1" si="45">IF(OR(D144="MDU",D144="MDU-KD"),(IF($O$3="RAB NON MDU","PLN KD",G144*F144)),0)</f>
        <v>0</v>
      </c>
      <c r="I144" s="283">
        <f t="shared" ref="I144:I148" ca="1" si="46">IF(D144="HDW",G144*F144,0)</f>
        <v>0</v>
      </c>
      <c r="J144" s="283">
        <f t="shared" ref="J144:J148" ca="1" si="47">IF(D144="JASA",G144*F144,0)</f>
        <v>0</v>
      </c>
      <c r="K144" s="284">
        <f t="shared" ref="K144:K148" ca="1" si="48">SUM(H144:J144)</f>
        <v>0</v>
      </c>
      <c r="L144" s="288"/>
      <c r="M144" s="288"/>
      <c r="N144" s="288"/>
      <c r="O144" s="285"/>
      <c r="P144" s="285"/>
      <c r="Q144" s="266"/>
      <c r="R144" s="258"/>
      <c r="S144" s="286"/>
      <c r="T144" s="263"/>
      <c r="U144" s="263"/>
      <c r="V144" s="263"/>
    </row>
    <row r="145" spans="1:22" s="289" customFormat="1">
      <c r="A145" s="258"/>
      <c r="B145" s="293" t="s">
        <v>1008</v>
      </c>
      <c r="C145" s="494" t="s">
        <v>1667</v>
      </c>
      <c r="D145" s="280" t="str">
        <f ca="1">IF(ISERROR(OFFSET('HARGA SATUAN'!$D$6,MATCH('RAB Standart'!C145,'HARGA SATUAN'!$C$7:$C$1509,0),0)),"",OFFSET('HARGA SATUAN'!$D$6,MATCH('RAB Standart'!C145,'HARGA SATUAN'!$C$7:$C$1509,0),0))</f>
        <v/>
      </c>
      <c r="E145" s="281" t="str">
        <f ca="1">IF(B145="+","Unit",IF(ISERROR(OFFSET('HARGA SATUAN'!$E$6,MATCH('RAB Standart'!C145,'HARGA SATUAN'!$C$7:$C$1509,0),0)),"",OFFSET('HARGA SATUAN'!$E$6,MATCH('RAB Standart'!C145,'HARGA SATUAN'!$C$7:$C$1509,0),0)))</f>
        <v>Unit</v>
      </c>
      <c r="F145" s="281">
        <f t="shared" si="44"/>
        <v>0</v>
      </c>
      <c r="G145" s="282">
        <f ca="1">IF(ISERROR(OFFSET('HARGA SATUAN'!$I$6,MATCH('RAB Standart'!C145,'HARGA SATUAN'!$C$7:$C$1509,0),0)),0,OFFSET('HARGA SATUAN'!$I$6,MATCH('RAB Standart'!C145,'HARGA SATUAN'!$C$7:$C$1509,0),0))</f>
        <v>0</v>
      </c>
      <c r="H145" s="283">
        <f t="shared" ca="1" si="45"/>
        <v>0</v>
      </c>
      <c r="I145" s="283">
        <f t="shared" ca="1" si="46"/>
        <v>0</v>
      </c>
      <c r="J145" s="283">
        <f t="shared" ca="1" si="47"/>
        <v>0</v>
      </c>
      <c r="K145" s="284">
        <f t="shared" ca="1" si="48"/>
        <v>0</v>
      </c>
      <c r="L145" s="288"/>
      <c r="M145" s="288"/>
      <c r="N145" s="288"/>
      <c r="O145" s="285"/>
      <c r="P145" s="285"/>
      <c r="Q145" s="266"/>
      <c r="R145" s="258"/>
      <c r="S145" s="286"/>
      <c r="T145" s="263"/>
      <c r="U145" s="263"/>
      <c r="V145" s="263"/>
    </row>
    <row r="146" spans="1:22" s="289" customFormat="1">
      <c r="A146" s="258"/>
      <c r="B146" s="293">
        <v>1</v>
      </c>
      <c r="C146" s="494" t="s">
        <v>59</v>
      </c>
      <c r="D146" s="280" t="str">
        <f ca="1">IF(ISERROR(OFFSET('HARGA SATUAN'!$D$6,MATCH('RAB Standart'!C146,'HARGA SATUAN'!$C$7:$C$1509,0),0)),"",OFFSET('HARGA SATUAN'!$D$6,MATCH('RAB Standart'!C146,'HARGA SATUAN'!$C$7:$C$1509,0),0))</f>
        <v>MDU-KD</v>
      </c>
      <c r="E146" s="281" t="str">
        <f ca="1">IF(B146="+","Unit",IF(ISERROR(OFFSET('HARGA SATUAN'!$E$6,MATCH('RAB Standart'!C146,'HARGA SATUAN'!$C$7:$C$1509,0),0)),"",OFFSET('HARGA SATUAN'!$E$6,MATCH('RAB Standart'!C146,'HARGA SATUAN'!$C$7:$C$1509,0),0)))</f>
        <v>Mtr</v>
      </c>
      <c r="F146" s="281">
        <f>3*90</f>
        <v>270</v>
      </c>
      <c r="G146" s="282">
        <f ca="1">IF(ISERROR(OFFSET('HARGA SATUAN'!$I$6,MATCH('RAB Standart'!C146,'HARGA SATUAN'!$C$7:$C$1509,0),0)),0,OFFSET('HARGA SATUAN'!$I$6,MATCH('RAB Standart'!C146,'HARGA SATUAN'!$C$7:$C$1509,0),0))</f>
        <v>36900</v>
      </c>
      <c r="H146" s="283">
        <f t="shared" ca="1" si="45"/>
        <v>9963000</v>
      </c>
      <c r="I146" s="283">
        <f t="shared" ca="1" si="46"/>
        <v>0</v>
      </c>
      <c r="J146" s="283">
        <f t="shared" ca="1" si="47"/>
        <v>0</v>
      </c>
      <c r="K146" s="284">
        <f t="shared" ca="1" si="48"/>
        <v>9963000</v>
      </c>
      <c r="L146" s="288"/>
      <c r="M146" s="288"/>
      <c r="N146" s="288"/>
      <c r="O146" s="285"/>
      <c r="P146" s="285"/>
      <c r="Q146" s="266"/>
      <c r="R146" s="258"/>
      <c r="S146" s="286"/>
      <c r="T146" s="263"/>
      <c r="U146" s="263"/>
      <c r="V146" s="263"/>
    </row>
    <row r="147" spans="1:22" s="289" customFormat="1">
      <c r="A147" s="258"/>
      <c r="B147" s="293">
        <v>2</v>
      </c>
      <c r="C147" s="494" t="s">
        <v>58</v>
      </c>
      <c r="D147" s="280" t="str">
        <f ca="1">IF(ISERROR(OFFSET('HARGA SATUAN'!$D$6,MATCH('RAB Standart'!C147,'HARGA SATUAN'!$C$7:$C$1509,0),0)),"",OFFSET('HARGA SATUAN'!$D$6,MATCH('RAB Standart'!C147,'HARGA SATUAN'!$C$7:$C$1509,0),0))</f>
        <v>MDU-KD</v>
      </c>
      <c r="E147" s="281" t="str">
        <f ca="1">IF(B147="+","Unit",IF(ISERROR(OFFSET('HARGA SATUAN'!$E$6,MATCH('RAB Standart'!C147,'HARGA SATUAN'!$C$7:$C$1509,0),0)),"",OFFSET('HARGA SATUAN'!$E$6,MATCH('RAB Standart'!C147,'HARGA SATUAN'!$C$7:$C$1509,0),0)))</f>
        <v>Mtr</v>
      </c>
      <c r="F147" s="281">
        <v>90</v>
      </c>
      <c r="G147" s="282">
        <f ca="1">IF(ISERROR(OFFSET('HARGA SATUAN'!$I$6,MATCH('RAB Standart'!C147,'HARGA SATUAN'!$C$7:$C$1509,0),0)),0,OFFSET('HARGA SATUAN'!$I$6,MATCH('RAB Standart'!C147,'HARGA SATUAN'!$C$7:$C$1509,0),0))</f>
        <v>25300</v>
      </c>
      <c r="H147" s="283">
        <f t="shared" ref="H147" ca="1" si="49">IF(OR(D147="MDU",D147="MDU-KD"),(IF($O$3="RAB NON MDU","PLN KD",G147*F147)),0)</f>
        <v>2277000</v>
      </c>
      <c r="I147" s="283">
        <f t="shared" ref="I147" ca="1" si="50">IF(D147="HDW",G147*F147,0)</f>
        <v>0</v>
      </c>
      <c r="J147" s="283">
        <f t="shared" ref="J147" ca="1" si="51">IF(D147="JASA",G147*F147,0)</f>
        <v>0</v>
      </c>
      <c r="K147" s="284">
        <f t="shared" ref="K147" ca="1" si="52">SUM(H147:J147)</f>
        <v>2277000</v>
      </c>
      <c r="L147" s="288"/>
      <c r="M147" s="288"/>
      <c r="N147" s="288"/>
      <c r="O147" s="285"/>
      <c r="P147" s="285"/>
      <c r="Q147" s="266"/>
      <c r="R147" s="258"/>
      <c r="S147" s="286"/>
      <c r="T147" s="263"/>
      <c r="U147" s="263"/>
      <c r="V147" s="263"/>
    </row>
    <row r="148" spans="1:22" s="289" customFormat="1">
      <c r="A148" s="258"/>
      <c r="B148" s="293">
        <v>3</v>
      </c>
      <c r="C148" s="494" t="s">
        <v>765</v>
      </c>
      <c r="D148" s="280" t="str">
        <f ca="1">IF(ISERROR(OFFSET('HARGA SATUAN'!$D$6,MATCH('RAB Standart'!C148,'HARGA SATUAN'!$C$7:$C$1509,0),0)),"",OFFSET('HARGA SATUAN'!$D$6,MATCH('RAB Standart'!C148,'HARGA SATUAN'!$C$7:$C$1509,0),0))</f>
        <v>JASA</v>
      </c>
      <c r="E148" s="281" t="str">
        <f ca="1">IF(B148="+","Unit",IF(ISERROR(OFFSET('HARGA SATUAN'!$E$6,MATCH('RAB Standart'!C148,'HARGA SATUAN'!$C$7:$C$1509,0),0)),"",OFFSET('HARGA SATUAN'!$E$6,MATCH('RAB Standart'!C148,'HARGA SATUAN'!$C$7:$C$1509,0),0)))</f>
        <v>Per 50 m</v>
      </c>
      <c r="F148" s="281">
        <f>90/50</f>
        <v>1.8</v>
      </c>
      <c r="G148" s="282">
        <f ca="1">IF(ISERROR(OFFSET('HARGA SATUAN'!$I$6,MATCH('RAB Standart'!C148,'HARGA SATUAN'!$C$7:$C$1509,0),0)),0,OFFSET('HARGA SATUAN'!$I$6,MATCH('RAB Standart'!C148,'HARGA SATUAN'!$C$7:$C$1509,0),0))</f>
        <v>475700</v>
      </c>
      <c r="H148" s="283">
        <f t="shared" ca="1" si="45"/>
        <v>0</v>
      </c>
      <c r="I148" s="283">
        <f t="shared" ca="1" si="46"/>
        <v>0</v>
      </c>
      <c r="J148" s="283">
        <f t="shared" ca="1" si="47"/>
        <v>856260</v>
      </c>
      <c r="K148" s="284">
        <f t="shared" ca="1" si="48"/>
        <v>856260</v>
      </c>
      <c r="L148" s="288"/>
      <c r="M148" s="288"/>
      <c r="N148" s="288"/>
      <c r="O148" s="285"/>
      <c r="P148" s="285"/>
      <c r="Q148" s="266"/>
      <c r="R148" s="258"/>
      <c r="S148" s="286"/>
      <c r="T148" s="263"/>
      <c r="U148" s="263"/>
      <c r="V148" s="263"/>
    </row>
    <row r="149" spans="1:22" s="287" customFormat="1">
      <c r="A149" s="258"/>
      <c r="B149" s="524"/>
      <c r="C149" s="491"/>
      <c r="D149" s="280" t="str">
        <f ca="1">IF(ISERROR(OFFSET('HARGA SATUAN'!$D$6,MATCH('RAB Standart'!C149,'HARGA SATUAN'!$C$7:$C$1509,0),0)),"",OFFSET('HARGA SATUAN'!$D$6,MATCH('RAB Standart'!C149,'HARGA SATUAN'!$C$7:$C$1509,0),0))</f>
        <v/>
      </c>
      <c r="E149" s="281" t="str">
        <f ca="1">IF(B149="+","Unit",IF(ISERROR(OFFSET('HARGA SATUAN'!$E$6,MATCH('RAB Standart'!C149,'HARGA SATUAN'!$C$7:$C$1509,0),0)),"",OFFSET('HARGA SATUAN'!$E$6,MATCH('RAB Standart'!C149,'HARGA SATUAN'!$C$7:$C$1509,0),0)))</f>
        <v/>
      </c>
      <c r="F149" s="294"/>
      <c r="G149" s="282"/>
      <c r="H149" s="283"/>
      <c r="I149" s="283"/>
      <c r="J149" s="283"/>
      <c r="K149" s="284"/>
      <c r="L149" s="324"/>
      <c r="M149" s="324"/>
      <c r="N149" s="288"/>
      <c r="O149" s="266"/>
      <c r="P149" s="266"/>
      <c r="Q149" s="266"/>
    </row>
    <row r="150" spans="1:22" s="289" customFormat="1" ht="14.25" customHeight="1">
      <c r="A150" s="258"/>
      <c r="B150" s="291" t="s">
        <v>1626</v>
      </c>
      <c r="C150" s="292" t="s">
        <v>1653</v>
      </c>
      <c r="D150" s="280" t="str">
        <f ca="1">IF(ISERROR(OFFSET('HARGA SATUAN'!$D$6,MATCH('RAB Standart'!C150,'HARGA SATUAN'!$C$7:$C$1509,0),0)),"",OFFSET('HARGA SATUAN'!$D$6,MATCH('RAB Standart'!C150,'HARGA SATUAN'!$C$7:$C$1509,0),0))</f>
        <v/>
      </c>
      <c r="E150" s="281" t="str">
        <f ca="1">IF(B150="+","Unit",IF(ISERROR(OFFSET('HARGA SATUAN'!$E$6,MATCH('RAB Standart'!C150,'HARGA SATUAN'!$C$7:$C$1509,0),0)),"",OFFSET('HARGA SATUAN'!$E$6,MATCH('RAB Standart'!C150,'HARGA SATUAN'!$C$7:$C$1509,0),0)))</f>
        <v/>
      </c>
      <c r="F150" s="290"/>
      <c r="G150" s="282">
        <f ca="1">IF(ISERROR(OFFSET('HARGA SATUAN'!$I$6,MATCH('RAB Standart'!C150,'HARGA SATUAN'!$C$7:$C$1509,0),0)),0,OFFSET('HARGA SATUAN'!$I$6,MATCH('RAB Standart'!C150,'HARGA SATUAN'!$C$7:$C$1509,0),0))</f>
        <v>0</v>
      </c>
      <c r="H150" s="283">
        <f t="shared" ref="H150:H214" ca="1" si="53">IF(OR(D150="MDU",D150="MDU-KD"),(IF($O$3="RAB NON MDU","PLN KD",G150*F150)),0)</f>
        <v>0</v>
      </c>
      <c r="I150" s="283">
        <f t="shared" ref="I150:I214" ca="1" si="54">IF(D150="HDW",G150*F150,0)</f>
        <v>0</v>
      </c>
      <c r="J150" s="283">
        <f t="shared" ref="J150:J214" ca="1" si="55">IF(D150="JASA",G150*F150,0)</f>
        <v>0</v>
      </c>
      <c r="K150" s="284">
        <f t="shared" ref="K150:K214" ca="1" si="56">SUM(H150:J150)</f>
        <v>0</v>
      </c>
      <c r="L150" s="288"/>
      <c r="M150" s="288"/>
      <c r="N150" s="288"/>
      <c r="O150" s="285"/>
      <c r="P150" s="285"/>
      <c r="Q150" s="266"/>
      <c r="R150" s="258"/>
      <c r="S150" s="286"/>
      <c r="T150" s="263"/>
      <c r="U150" s="263"/>
      <c r="V150" s="263"/>
    </row>
    <row r="151" spans="1:22" s="289" customFormat="1" ht="14.25" customHeight="1">
      <c r="A151" s="258"/>
      <c r="B151" s="293" t="s">
        <v>1008</v>
      </c>
      <c r="C151" s="494" t="s">
        <v>1655</v>
      </c>
      <c r="D151" s="280" t="str">
        <f ca="1">IF(ISERROR(OFFSET('HARGA SATUAN'!$D$6,MATCH('RAB Standart'!C151,'HARGA SATUAN'!$C$7:$C$1509,0),0)),"",OFFSET('HARGA SATUAN'!$D$6,MATCH('RAB Standart'!C151,'HARGA SATUAN'!$C$7:$C$1509,0),0))</f>
        <v/>
      </c>
      <c r="E151" s="281" t="str">
        <f ca="1">IF(B151="+","Unit",IF(ISERROR(OFFSET('HARGA SATUAN'!$E$6,MATCH('RAB Standart'!C151,'HARGA SATUAN'!$C$7:$C$1509,0),0)),"",OFFSET('HARGA SATUAN'!$E$6,MATCH('RAB Standart'!C151,'HARGA SATUAN'!$C$7:$C$1509,0),0)))</f>
        <v>Unit</v>
      </c>
      <c r="F151" s="290">
        <v>1</v>
      </c>
      <c r="G151" s="282">
        <f ca="1">IF(ISERROR(OFFSET('HARGA SATUAN'!$I$6,MATCH('RAB Standart'!C151,'HARGA SATUAN'!$C$7:$C$1509,0),0)),0,OFFSET('HARGA SATUAN'!$I$6,MATCH('RAB Standart'!C151,'HARGA SATUAN'!$C$7:$C$1509,0),0))</f>
        <v>0</v>
      </c>
      <c r="H151" s="283">
        <f t="shared" ca="1" si="53"/>
        <v>0</v>
      </c>
      <c r="I151" s="283">
        <f t="shared" ca="1" si="54"/>
        <v>0</v>
      </c>
      <c r="J151" s="283">
        <f t="shared" ca="1" si="55"/>
        <v>0</v>
      </c>
      <c r="K151" s="284">
        <f t="shared" ca="1" si="56"/>
        <v>0</v>
      </c>
      <c r="L151" s="288"/>
      <c r="M151" s="288"/>
      <c r="N151" s="288"/>
      <c r="O151" s="285"/>
      <c r="P151" s="285"/>
      <c r="Q151" s="266"/>
      <c r="R151" s="258"/>
      <c r="S151" s="286"/>
      <c r="T151" s="263"/>
      <c r="U151" s="263"/>
      <c r="V151" s="263"/>
    </row>
    <row r="152" spans="1:22" s="289" customFormat="1" ht="14.25" customHeight="1">
      <c r="A152" s="258"/>
      <c r="B152" s="293">
        <v>1</v>
      </c>
      <c r="C152" s="494" t="s">
        <v>1171</v>
      </c>
      <c r="D152" s="280" t="str">
        <f ca="1">IF(ISERROR(OFFSET('HARGA SATUAN'!$D$6,MATCH('RAB Standart'!C152,'HARGA SATUAN'!$C$7:$C$1509,0),0)),"",OFFSET('HARGA SATUAN'!$D$6,MATCH('RAB Standart'!C152,'HARGA SATUAN'!$C$7:$C$1509,0),0))</f>
        <v>MDU-KD</v>
      </c>
      <c r="E152" s="281" t="str">
        <f ca="1">IF(B152="+","Unit",IF(ISERROR(OFFSET('HARGA SATUAN'!$E$6,MATCH('RAB Standart'!C152,'HARGA SATUAN'!$C$7:$C$1509,0),0)),"",OFFSET('HARGA SATUAN'!$E$6,MATCH('RAB Standart'!C152,'HARGA SATUAN'!$C$7:$C$1509,0),0)))</f>
        <v>Bh</v>
      </c>
      <c r="F152" s="290">
        <f>F151*1</f>
        <v>1</v>
      </c>
      <c r="G152" s="282">
        <f ca="1">IF(ISERROR(OFFSET('HARGA SATUAN'!$I$6,MATCH('RAB Standart'!C152,'HARGA SATUAN'!$C$7:$C$1509,0),0)),0,OFFSET('HARGA SATUAN'!$I$6,MATCH('RAB Standart'!C152,'HARGA SATUAN'!$C$7:$C$1509,0),0))</f>
        <v>1497600</v>
      </c>
      <c r="H152" s="283">
        <f t="shared" ca="1" si="53"/>
        <v>1497600</v>
      </c>
      <c r="I152" s="283">
        <f t="shared" ca="1" si="54"/>
        <v>0</v>
      </c>
      <c r="J152" s="283">
        <f t="shared" ca="1" si="55"/>
        <v>0</v>
      </c>
      <c r="K152" s="284">
        <f t="shared" ca="1" si="56"/>
        <v>1497600</v>
      </c>
      <c r="L152" s="288"/>
      <c r="M152" s="288"/>
      <c r="N152" s="288"/>
      <c r="O152" s="285"/>
      <c r="P152" s="285"/>
      <c r="Q152" s="266"/>
      <c r="R152" s="258"/>
      <c r="S152" s="286"/>
      <c r="T152" s="263"/>
      <c r="U152" s="263"/>
      <c r="V152" s="263"/>
    </row>
    <row r="153" spans="1:22" s="289" customFormat="1" ht="14.25" customHeight="1">
      <c r="A153" s="258"/>
      <c r="B153" s="293">
        <v>2</v>
      </c>
      <c r="C153" s="494" t="s">
        <v>516</v>
      </c>
      <c r="D153" s="280" t="str">
        <f ca="1">IF(ISERROR(OFFSET('HARGA SATUAN'!$D$6,MATCH('RAB Standart'!C153,'HARGA SATUAN'!$C$7:$C$1509,0),0)),"",OFFSET('HARGA SATUAN'!$D$6,MATCH('RAB Standart'!C153,'HARGA SATUAN'!$C$7:$C$1509,0),0))</f>
        <v>MDU-KD</v>
      </c>
      <c r="E153" s="281" t="str">
        <f ca="1">IF(B153="+","Unit",IF(ISERROR(OFFSET('HARGA SATUAN'!$E$6,MATCH('RAB Standart'!C153,'HARGA SATUAN'!$C$7:$C$1509,0),0)),"",OFFSET('HARGA SATUAN'!$E$6,MATCH('RAB Standart'!C153,'HARGA SATUAN'!$C$7:$C$1509,0),0)))</f>
        <v>Unit</v>
      </c>
      <c r="F153" s="290">
        <f>F151*1</f>
        <v>1</v>
      </c>
      <c r="G153" s="282">
        <f ca="1">IF(ISERROR(OFFSET('HARGA SATUAN'!$I$6,MATCH('RAB Standart'!C153,'HARGA SATUAN'!$C$7:$C$1509,0),0)),0,OFFSET('HARGA SATUAN'!$I$6,MATCH('RAB Standart'!C153,'HARGA SATUAN'!$C$7:$C$1509,0),0))</f>
        <v>3050000</v>
      </c>
      <c r="H153" s="283">
        <f t="shared" ca="1" si="53"/>
        <v>3050000</v>
      </c>
      <c r="I153" s="283">
        <f t="shared" ca="1" si="54"/>
        <v>0</v>
      </c>
      <c r="J153" s="283">
        <f t="shared" ca="1" si="55"/>
        <v>0</v>
      </c>
      <c r="K153" s="284">
        <f t="shared" ca="1" si="56"/>
        <v>3050000</v>
      </c>
      <c r="L153" s="288"/>
      <c r="M153" s="288"/>
      <c r="N153" s="288"/>
      <c r="O153" s="285"/>
      <c r="P153" s="285"/>
      <c r="Q153" s="266"/>
      <c r="R153" s="258"/>
      <c r="S153" s="286"/>
      <c r="T153" s="263"/>
      <c r="U153" s="263"/>
      <c r="V153" s="263"/>
    </row>
    <row r="154" spans="1:22" s="289" customFormat="1" ht="14.25" customHeight="1">
      <c r="A154" s="258"/>
      <c r="B154" s="293">
        <v>3</v>
      </c>
      <c r="C154" s="494" t="s">
        <v>1115</v>
      </c>
      <c r="D154" s="280" t="str">
        <f ca="1">IF(ISERROR(OFFSET('HARGA SATUAN'!$D$6,MATCH('RAB Standart'!C154,'HARGA SATUAN'!$C$7:$C$1509,0),0)),"",OFFSET('HARGA SATUAN'!$D$6,MATCH('RAB Standart'!C154,'HARGA SATUAN'!$C$7:$C$1509,0),0))</f>
        <v>HDW</v>
      </c>
      <c r="E154" s="281" t="str">
        <f ca="1">IF(B154="+","Unit",IF(ISERROR(OFFSET('HARGA SATUAN'!$E$6,MATCH('RAB Standart'!C154,'HARGA SATUAN'!$C$7:$C$1509,0),0)),"",OFFSET('HARGA SATUAN'!$E$6,MATCH('RAB Standart'!C154,'HARGA SATUAN'!$C$7:$C$1509,0),0)))</f>
        <v>Unit</v>
      </c>
      <c r="F154" s="290">
        <f>F151*1</f>
        <v>1</v>
      </c>
      <c r="G154" s="282">
        <f ca="1">IF(ISERROR(OFFSET('HARGA SATUAN'!$I$6,MATCH('RAB Standart'!C154,'HARGA SATUAN'!$C$7:$C$1509,0),0)),0,OFFSET('HARGA SATUAN'!$I$6,MATCH('RAB Standart'!C154,'HARGA SATUAN'!$C$7:$C$1509,0),0))</f>
        <v>1113900</v>
      </c>
      <c r="H154" s="283">
        <f t="shared" ca="1" si="53"/>
        <v>0</v>
      </c>
      <c r="I154" s="283">
        <f t="shared" ca="1" si="54"/>
        <v>1113900</v>
      </c>
      <c r="J154" s="283">
        <f t="shared" ca="1" si="55"/>
        <v>0</v>
      </c>
      <c r="K154" s="284">
        <f t="shared" ca="1" si="56"/>
        <v>1113900</v>
      </c>
      <c r="L154" s="288"/>
      <c r="M154" s="288"/>
      <c r="N154" s="288"/>
      <c r="O154" s="285"/>
      <c r="P154" s="285"/>
      <c r="Q154" s="266"/>
      <c r="R154" s="258"/>
      <c r="S154" s="286"/>
      <c r="T154" s="263"/>
      <c r="U154" s="263"/>
      <c r="V154" s="263"/>
    </row>
    <row r="155" spans="1:22" s="289" customFormat="1" ht="14.25" customHeight="1">
      <c r="A155" s="258"/>
      <c r="B155" s="293">
        <v>4</v>
      </c>
      <c r="C155" s="494" t="s">
        <v>156</v>
      </c>
      <c r="D155" s="280" t="str">
        <f ca="1">IF(ISERROR(OFFSET('HARGA SATUAN'!$D$6,MATCH('RAB Standart'!C155,'HARGA SATUAN'!$C$7:$C$1509,0),0)),"",OFFSET('HARGA SATUAN'!$D$6,MATCH('RAB Standart'!C155,'HARGA SATUAN'!$C$7:$C$1509,0),0))</f>
        <v>HDW</v>
      </c>
      <c r="E155" s="281" t="str">
        <f ca="1">IF(B155="+","Unit",IF(ISERROR(OFFSET('HARGA SATUAN'!$E$6,MATCH('RAB Standart'!C155,'HARGA SATUAN'!$C$7:$C$1509,0),0)),"",OFFSET('HARGA SATUAN'!$E$6,MATCH('RAB Standart'!C155,'HARGA SATUAN'!$C$7:$C$1509,0),0)))</f>
        <v>Bh</v>
      </c>
      <c r="F155" s="290">
        <f>F151*4</f>
        <v>4</v>
      </c>
      <c r="G155" s="282">
        <f ca="1">IF(ISERROR(OFFSET('HARGA SATUAN'!$I$6,MATCH('RAB Standart'!C155,'HARGA SATUAN'!$C$7:$C$1509,0),0)),0,OFFSET('HARGA SATUAN'!$I$6,MATCH('RAB Standart'!C155,'HARGA SATUAN'!$C$7:$C$1509,0),0))</f>
        <v>7938</v>
      </c>
      <c r="H155" s="283">
        <f t="shared" ca="1" si="53"/>
        <v>0</v>
      </c>
      <c r="I155" s="283">
        <f t="shared" ca="1" si="54"/>
        <v>31752</v>
      </c>
      <c r="J155" s="283">
        <f t="shared" ca="1" si="55"/>
        <v>0</v>
      </c>
      <c r="K155" s="284">
        <f t="shared" ca="1" si="56"/>
        <v>31752</v>
      </c>
      <c r="L155" s="288"/>
      <c r="M155" s="288"/>
      <c r="N155" s="288"/>
      <c r="O155" s="285"/>
      <c r="P155" s="285"/>
      <c r="Q155" s="266"/>
      <c r="R155" s="258"/>
      <c r="S155" s="286"/>
      <c r="T155" s="263"/>
      <c r="U155" s="263"/>
      <c r="V155" s="263"/>
    </row>
    <row r="156" spans="1:22" s="289" customFormat="1" ht="14.25" customHeight="1">
      <c r="A156" s="258"/>
      <c r="B156" s="293">
        <v>5</v>
      </c>
      <c r="C156" s="494" t="s">
        <v>587</v>
      </c>
      <c r="D156" s="280" t="str">
        <f ca="1">IF(ISERROR(OFFSET('HARGA SATUAN'!$D$6,MATCH('RAB Standart'!C156,'HARGA SATUAN'!$C$7:$C$1509,0),0)),"",OFFSET('HARGA SATUAN'!$D$6,MATCH('RAB Standart'!C156,'HARGA SATUAN'!$C$7:$C$1509,0),0))</f>
        <v>HDW</v>
      </c>
      <c r="E156" s="281" t="str">
        <f ca="1">IF(B156="+","Unit",IF(ISERROR(OFFSET('HARGA SATUAN'!$E$6,MATCH('RAB Standart'!C156,'HARGA SATUAN'!$C$7:$C$1509,0),0)),"",OFFSET('HARGA SATUAN'!$E$6,MATCH('RAB Standart'!C156,'HARGA SATUAN'!$C$7:$C$1509,0),0)))</f>
        <v>Bh</v>
      </c>
      <c r="F156" s="290">
        <f>F151*1</f>
        <v>1</v>
      </c>
      <c r="G156" s="282">
        <f ca="1">IF(ISERROR(OFFSET('HARGA SATUAN'!$I$6,MATCH('RAB Standart'!C156,'HARGA SATUAN'!$C$7:$C$1509,0),0)),0,OFFSET('HARGA SATUAN'!$I$6,MATCH('RAB Standart'!C156,'HARGA SATUAN'!$C$7:$C$1509,0),0))</f>
        <v>380500</v>
      </c>
      <c r="H156" s="283">
        <f t="shared" ca="1" si="53"/>
        <v>0</v>
      </c>
      <c r="I156" s="283">
        <f t="shared" ca="1" si="54"/>
        <v>380500</v>
      </c>
      <c r="J156" s="283">
        <f t="shared" ca="1" si="55"/>
        <v>0</v>
      </c>
      <c r="K156" s="284">
        <f t="shared" ca="1" si="56"/>
        <v>380500</v>
      </c>
      <c r="L156" s="288"/>
      <c r="M156" s="288"/>
      <c r="N156" s="288"/>
      <c r="O156" s="285"/>
      <c r="P156" s="285"/>
      <c r="Q156" s="266"/>
      <c r="R156" s="258"/>
      <c r="S156" s="286"/>
      <c r="T156" s="263"/>
      <c r="U156" s="263"/>
      <c r="V156" s="263"/>
    </row>
    <row r="157" spans="1:22" s="289" customFormat="1" ht="14.25" customHeight="1">
      <c r="A157" s="258"/>
      <c r="B157" s="293">
        <v>6</v>
      </c>
      <c r="C157" s="494" t="s">
        <v>241</v>
      </c>
      <c r="D157" s="280" t="str">
        <f ca="1">IF(ISERROR(OFFSET('HARGA SATUAN'!$D$6,MATCH('RAB Standart'!C157,'HARGA SATUAN'!$C$7:$C$1509,0),0)),"",OFFSET('HARGA SATUAN'!$D$6,MATCH('RAB Standart'!C157,'HARGA SATUAN'!$C$7:$C$1509,0),0))</f>
        <v>HDW</v>
      </c>
      <c r="E157" s="281" t="str">
        <f ca="1">IF(B157="+","Unit",IF(ISERROR(OFFSET('HARGA SATUAN'!$E$6,MATCH('RAB Standart'!C157,'HARGA SATUAN'!$C$7:$C$1509,0),0)),"",OFFSET('HARGA SATUAN'!$E$6,MATCH('RAB Standart'!C157,'HARGA SATUAN'!$C$7:$C$1509,0),0)))</f>
        <v>Bh</v>
      </c>
      <c r="F157" s="290">
        <f>F151*2</f>
        <v>2</v>
      </c>
      <c r="G157" s="282">
        <f ca="1">IF(ISERROR(OFFSET('HARGA SATUAN'!$I$6,MATCH('RAB Standart'!C157,'HARGA SATUAN'!$C$7:$C$1509,0),0)),0,OFFSET('HARGA SATUAN'!$I$6,MATCH('RAB Standart'!C157,'HARGA SATUAN'!$C$7:$C$1509,0),0))</f>
        <v>60300</v>
      </c>
      <c r="H157" s="283">
        <f t="shared" ca="1" si="53"/>
        <v>0</v>
      </c>
      <c r="I157" s="283">
        <f t="shared" ca="1" si="54"/>
        <v>120600</v>
      </c>
      <c r="J157" s="283">
        <f t="shared" ca="1" si="55"/>
        <v>0</v>
      </c>
      <c r="K157" s="284">
        <f t="shared" ca="1" si="56"/>
        <v>120600</v>
      </c>
      <c r="L157" s="288"/>
      <c r="M157" s="288"/>
      <c r="N157" s="288"/>
      <c r="O157" s="285"/>
      <c r="P157" s="285"/>
      <c r="Q157" s="266"/>
      <c r="R157" s="258"/>
      <c r="S157" s="286"/>
      <c r="T157" s="263"/>
      <c r="U157" s="263"/>
      <c r="V157" s="263"/>
    </row>
    <row r="158" spans="1:22" s="289" customFormat="1" ht="14.25" customHeight="1">
      <c r="A158" s="258"/>
      <c r="B158" s="293">
        <v>7</v>
      </c>
      <c r="C158" s="494" t="s">
        <v>477</v>
      </c>
      <c r="D158" s="280" t="str">
        <f ca="1">IF(ISERROR(OFFSET('HARGA SATUAN'!$D$6,MATCH('RAB Standart'!C158,'HARGA SATUAN'!$C$7:$C$1509,0),0)),"",OFFSET('HARGA SATUAN'!$D$6,MATCH('RAB Standart'!C158,'HARGA SATUAN'!$C$7:$C$1509,0),0))</f>
        <v>MDU-KD</v>
      </c>
      <c r="E158" s="281" t="str">
        <f ca="1">IF(B158="+","Unit",IF(ISERROR(OFFSET('HARGA SATUAN'!$E$6,MATCH('RAB Standart'!C158,'HARGA SATUAN'!$C$7:$C$1509,0),0)),"",OFFSET('HARGA SATUAN'!$E$6,MATCH('RAB Standart'!C158,'HARGA SATUAN'!$C$7:$C$1509,0),0)))</f>
        <v>Bh</v>
      </c>
      <c r="F158" s="290">
        <f>F151*1</f>
        <v>1</v>
      </c>
      <c r="G158" s="282">
        <f ca="1">IF(ISERROR(OFFSET('HARGA SATUAN'!$I$6,MATCH('RAB Standart'!C158,'HARGA SATUAN'!$C$7:$C$1509,0),0)),0,OFFSET('HARGA SATUAN'!$I$6,MATCH('RAB Standart'!C158,'HARGA SATUAN'!$C$7:$C$1509,0),0))</f>
        <v>168200</v>
      </c>
      <c r="H158" s="283">
        <f t="shared" ca="1" si="53"/>
        <v>168200</v>
      </c>
      <c r="I158" s="283">
        <f t="shared" ca="1" si="54"/>
        <v>0</v>
      </c>
      <c r="J158" s="283">
        <f t="shared" ca="1" si="55"/>
        <v>0</v>
      </c>
      <c r="K158" s="284">
        <f t="shared" ca="1" si="56"/>
        <v>168200</v>
      </c>
      <c r="L158" s="288"/>
      <c r="M158" s="288"/>
      <c r="N158" s="288"/>
      <c r="O158" s="285"/>
      <c r="P158" s="285"/>
      <c r="Q158" s="266"/>
      <c r="R158" s="258"/>
      <c r="S158" s="286"/>
      <c r="T158" s="263"/>
      <c r="U158" s="263"/>
      <c r="V158" s="263"/>
    </row>
    <row r="159" spans="1:22" s="289" customFormat="1" ht="14.25" customHeight="1">
      <c r="A159" s="258"/>
      <c r="B159" s="293">
        <v>8</v>
      </c>
      <c r="C159" s="494" t="s">
        <v>481</v>
      </c>
      <c r="D159" s="280" t="str">
        <f ca="1">IF(ISERROR(OFFSET('HARGA SATUAN'!$D$6,MATCH('RAB Standart'!C159,'HARGA SATUAN'!$C$7:$C$1509,0),0)),"",OFFSET('HARGA SATUAN'!$D$6,MATCH('RAB Standart'!C159,'HARGA SATUAN'!$C$7:$C$1509,0),0))</f>
        <v>MDU-KD</v>
      </c>
      <c r="E159" s="281" t="str">
        <f ca="1">IF(B159="+","Unit",IF(ISERROR(OFFSET('HARGA SATUAN'!$E$6,MATCH('RAB Standart'!C159,'HARGA SATUAN'!$C$7:$C$1509,0),0)),"",OFFSET('HARGA SATUAN'!$E$6,MATCH('RAB Standart'!C159,'HARGA SATUAN'!$C$7:$C$1509,0),0)))</f>
        <v>Bh</v>
      </c>
      <c r="F159" s="290">
        <f>F151*1</f>
        <v>1</v>
      </c>
      <c r="G159" s="282">
        <f ca="1">IF(ISERROR(OFFSET('HARGA SATUAN'!$I$6,MATCH('RAB Standart'!C159,'HARGA SATUAN'!$C$7:$C$1509,0),0)),0,OFFSET('HARGA SATUAN'!$I$6,MATCH('RAB Standart'!C159,'HARGA SATUAN'!$C$7:$C$1509,0),0))</f>
        <v>39000</v>
      </c>
      <c r="H159" s="283">
        <f t="shared" ca="1" si="53"/>
        <v>39000</v>
      </c>
      <c r="I159" s="283">
        <f t="shared" ca="1" si="54"/>
        <v>0</v>
      </c>
      <c r="J159" s="283">
        <f t="shared" ca="1" si="55"/>
        <v>0</v>
      </c>
      <c r="K159" s="284">
        <f t="shared" ca="1" si="56"/>
        <v>39000</v>
      </c>
      <c r="L159" s="288"/>
      <c r="M159" s="288"/>
      <c r="N159" s="288"/>
      <c r="O159" s="285"/>
      <c r="P159" s="285"/>
      <c r="Q159" s="266"/>
      <c r="R159" s="258"/>
      <c r="S159" s="286"/>
      <c r="T159" s="263"/>
      <c r="U159" s="263"/>
      <c r="V159" s="263"/>
    </row>
    <row r="160" spans="1:22" s="289" customFormat="1" ht="14.25" customHeight="1">
      <c r="A160" s="258"/>
      <c r="B160" s="293">
        <v>9</v>
      </c>
      <c r="C160" s="494" t="s">
        <v>66</v>
      </c>
      <c r="D160" s="280" t="str">
        <f ca="1">IF(ISERROR(OFFSET('HARGA SATUAN'!$D$6,MATCH('RAB Standart'!C160,'HARGA SATUAN'!$C$7:$C$1509,0),0)),"",OFFSET('HARGA SATUAN'!$D$6,MATCH('RAB Standart'!C160,'HARGA SATUAN'!$C$7:$C$1509,0),0))</f>
        <v>MDU-KD</v>
      </c>
      <c r="E160" s="281" t="str">
        <f ca="1">IF(B160="+","Unit",IF(ISERROR(OFFSET('HARGA SATUAN'!$E$6,MATCH('RAB Standart'!C160,'HARGA SATUAN'!$C$7:$C$1509,0),0)),"",OFFSET('HARGA SATUAN'!$E$6,MATCH('RAB Standart'!C160,'HARGA SATUAN'!$C$7:$C$1509,0),0)))</f>
        <v>Mtr</v>
      </c>
      <c r="F160" s="290">
        <f>F151*35</f>
        <v>35</v>
      </c>
      <c r="G160" s="282">
        <f ca="1">IF(ISERROR(OFFSET('HARGA SATUAN'!$I$6,MATCH('RAB Standart'!C160,'HARGA SATUAN'!$C$7:$C$1509,0),0)),0,OFFSET('HARGA SATUAN'!$I$6,MATCH('RAB Standart'!C160,'HARGA SATUAN'!$C$7:$C$1509,0),0))</f>
        <v>4300</v>
      </c>
      <c r="H160" s="283">
        <f t="shared" ca="1" si="53"/>
        <v>150500</v>
      </c>
      <c r="I160" s="283">
        <f t="shared" ca="1" si="54"/>
        <v>0</v>
      </c>
      <c r="J160" s="283">
        <f t="shared" ca="1" si="55"/>
        <v>0</v>
      </c>
      <c r="K160" s="284">
        <f t="shared" ca="1" si="56"/>
        <v>150500</v>
      </c>
      <c r="L160" s="288"/>
      <c r="M160" s="288"/>
      <c r="N160" s="288"/>
      <c r="O160" s="285"/>
      <c r="P160" s="285"/>
      <c r="Q160" s="266"/>
      <c r="R160" s="258"/>
      <c r="S160" s="286"/>
      <c r="T160" s="263"/>
      <c r="U160" s="263"/>
      <c r="V160" s="263"/>
    </row>
    <row r="161" spans="1:22" s="289" customFormat="1" ht="14.25" customHeight="1">
      <c r="A161" s="258"/>
      <c r="B161" s="293">
        <v>10</v>
      </c>
      <c r="C161" s="494" t="s">
        <v>794</v>
      </c>
      <c r="D161" s="280" t="str">
        <f ca="1">IF(ISERROR(OFFSET('HARGA SATUAN'!$D$6,MATCH('RAB Standart'!C161,'HARGA SATUAN'!$C$7:$C$1509,0),0)),"",OFFSET('HARGA SATUAN'!$D$6,MATCH('RAB Standart'!C161,'HARGA SATUAN'!$C$7:$C$1509,0),0))</f>
        <v>JASA</v>
      </c>
      <c r="E161" s="281" t="str">
        <f ca="1">IF(B161="+","Unit",IF(ISERROR(OFFSET('HARGA SATUAN'!$E$6,MATCH('RAB Standart'!C161,'HARGA SATUAN'!$C$7:$C$1509,0),0)),"",OFFSET('HARGA SATUAN'!$E$6,MATCH('RAB Standart'!C161,'HARGA SATUAN'!$C$7:$C$1509,0),0)))</f>
        <v>Unit</v>
      </c>
      <c r="F161" s="290">
        <f>F151*1</f>
        <v>1</v>
      </c>
      <c r="G161" s="282">
        <f ca="1">IF(ISERROR(OFFSET('HARGA SATUAN'!$I$6,MATCH('RAB Standart'!C161,'HARGA SATUAN'!$C$7:$C$1509,0),0)),0,OFFSET('HARGA SATUAN'!$I$6,MATCH('RAB Standart'!C161,'HARGA SATUAN'!$C$7:$C$1509,0),0))</f>
        <v>798700</v>
      </c>
      <c r="H161" s="283">
        <f t="shared" ca="1" si="53"/>
        <v>0</v>
      </c>
      <c r="I161" s="283">
        <f t="shared" ca="1" si="54"/>
        <v>0</v>
      </c>
      <c r="J161" s="283">
        <f t="shared" ca="1" si="55"/>
        <v>798700</v>
      </c>
      <c r="K161" s="284">
        <f t="shared" ca="1" si="56"/>
        <v>798700</v>
      </c>
      <c r="L161" s="288"/>
      <c r="M161" s="288"/>
      <c r="N161" s="288"/>
      <c r="O161" s="285"/>
      <c r="P161" s="285"/>
      <c r="Q161" s="266"/>
      <c r="R161" s="258"/>
      <c r="S161" s="286"/>
      <c r="T161" s="263"/>
      <c r="U161" s="263"/>
      <c r="V161" s="263"/>
    </row>
    <row r="162" spans="1:22" s="289" customFormat="1" ht="14.25" customHeight="1">
      <c r="A162" s="258"/>
      <c r="B162" s="293"/>
      <c r="C162" s="494"/>
      <c r="D162" s="280" t="str">
        <f ca="1">IF(ISERROR(OFFSET('HARGA SATUAN'!$D$6,MATCH('RAB Standart'!C162,'HARGA SATUAN'!$C$7:$C$1509,0),0)),"",OFFSET('HARGA SATUAN'!$D$6,MATCH('RAB Standart'!C162,'HARGA SATUAN'!$C$7:$C$1509,0),0))</f>
        <v/>
      </c>
      <c r="E162" s="281" t="str">
        <f ca="1">IF(B162="+","Unit",IF(ISERROR(OFFSET('HARGA SATUAN'!$E$6,MATCH('RAB Standart'!C162,'HARGA SATUAN'!$C$7:$C$1509,0),0)),"",OFFSET('HARGA SATUAN'!$E$6,MATCH('RAB Standart'!C162,'HARGA SATUAN'!$C$7:$C$1509,0),0)))</f>
        <v/>
      </c>
      <c r="F162" s="290"/>
      <c r="G162" s="282">
        <f ca="1">IF(ISERROR(OFFSET('HARGA SATUAN'!$I$6,MATCH('RAB Standart'!C162,'HARGA SATUAN'!$C$7:$C$1509,0),0)),0,OFFSET('HARGA SATUAN'!$I$6,MATCH('RAB Standart'!C162,'HARGA SATUAN'!$C$7:$C$1509,0),0))</f>
        <v>0</v>
      </c>
      <c r="H162" s="283">
        <f t="shared" ca="1" si="53"/>
        <v>0</v>
      </c>
      <c r="I162" s="283">
        <f t="shared" ca="1" si="54"/>
        <v>0</v>
      </c>
      <c r="J162" s="283">
        <f t="shared" ca="1" si="55"/>
        <v>0</v>
      </c>
      <c r="K162" s="284">
        <f t="shared" ca="1" si="56"/>
        <v>0</v>
      </c>
      <c r="L162" s="288"/>
      <c r="M162" s="288"/>
      <c r="N162" s="288"/>
      <c r="O162" s="285"/>
      <c r="P162" s="285"/>
      <c r="Q162" s="266"/>
      <c r="R162" s="258"/>
      <c r="S162" s="286"/>
      <c r="T162" s="263"/>
      <c r="U162" s="263"/>
      <c r="V162" s="263"/>
    </row>
    <row r="163" spans="1:22" s="289" customFormat="1" ht="14.25" customHeight="1">
      <c r="A163" s="258"/>
      <c r="B163" s="293" t="s">
        <v>1008</v>
      </c>
      <c r="C163" s="494" t="s">
        <v>1654</v>
      </c>
      <c r="D163" s="280" t="str">
        <f ca="1">IF(ISERROR(OFFSET('HARGA SATUAN'!$D$6,MATCH('RAB Standart'!C163,'HARGA SATUAN'!$C$7:$C$1509,0),0)),"",OFFSET('HARGA SATUAN'!$D$6,MATCH('RAB Standart'!C163,'HARGA SATUAN'!$C$7:$C$1509,0),0))</f>
        <v/>
      </c>
      <c r="E163" s="281" t="str">
        <f ca="1">IF(B163="+","Unit",IF(ISERROR(OFFSET('HARGA SATUAN'!$E$6,MATCH('RAB Standart'!C163,'HARGA SATUAN'!$C$7:$C$1509,0),0)),"",OFFSET('HARGA SATUAN'!$E$6,MATCH('RAB Standart'!C163,'HARGA SATUAN'!$C$7:$C$1509,0),0)))</f>
        <v>Unit</v>
      </c>
      <c r="F163" s="290">
        <v>1</v>
      </c>
      <c r="G163" s="282">
        <f ca="1">IF(ISERROR(OFFSET('HARGA SATUAN'!$I$6,MATCH('RAB Standart'!C163,'HARGA SATUAN'!$C$7:$C$1509,0),0)),0,OFFSET('HARGA SATUAN'!$I$6,MATCH('RAB Standart'!C163,'HARGA SATUAN'!$C$7:$C$1509,0),0))</f>
        <v>0</v>
      </c>
      <c r="H163" s="283">
        <f t="shared" ca="1" si="53"/>
        <v>0</v>
      </c>
      <c r="I163" s="283">
        <f t="shared" ca="1" si="54"/>
        <v>0</v>
      </c>
      <c r="J163" s="283">
        <f t="shared" ca="1" si="55"/>
        <v>0</v>
      </c>
      <c r="K163" s="284">
        <f t="shared" ca="1" si="56"/>
        <v>0</v>
      </c>
      <c r="L163" s="288"/>
      <c r="M163" s="288"/>
      <c r="N163" s="288"/>
      <c r="O163" s="285"/>
      <c r="P163" s="285"/>
      <c r="Q163" s="266"/>
      <c r="R163" s="258"/>
      <c r="S163" s="286"/>
      <c r="T163" s="263"/>
      <c r="U163" s="263"/>
      <c r="V163" s="263"/>
    </row>
    <row r="164" spans="1:22" s="289" customFormat="1" ht="14.25" customHeight="1">
      <c r="A164" s="258"/>
      <c r="B164" s="293">
        <v>1</v>
      </c>
      <c r="C164" s="494" t="s">
        <v>988</v>
      </c>
      <c r="D164" s="280" t="str">
        <f ca="1">IF(ISERROR(OFFSET('HARGA SATUAN'!$D$6,MATCH('RAB Standart'!C164,'HARGA SATUAN'!$C$7:$C$1509,0),0)),"",OFFSET('HARGA SATUAN'!$D$6,MATCH('RAB Standart'!C164,'HARGA SATUAN'!$C$7:$C$1509,0),0))</f>
        <v>MDU-KD</v>
      </c>
      <c r="E164" s="281" t="str">
        <f ca="1">IF(B164="+","Unit",IF(ISERROR(OFFSET('HARGA SATUAN'!$E$6,MATCH('RAB Standart'!C164,'HARGA SATUAN'!$C$7:$C$1509,0),0)),"",OFFSET('HARGA SATUAN'!$E$6,MATCH('RAB Standart'!C164,'HARGA SATUAN'!$C$7:$C$1509,0),0)))</f>
        <v>Cell</v>
      </c>
      <c r="F164" s="290">
        <v>1</v>
      </c>
      <c r="G164" s="282">
        <f ca="1">IF(ISERROR(OFFSET('HARGA SATUAN'!$I$6,MATCH('RAB Standart'!C164,'HARGA SATUAN'!$C$7:$C$1509,0),0)),0,OFFSET('HARGA SATUAN'!$I$6,MATCH('RAB Standart'!C164,'HARGA SATUAN'!$C$7:$C$1509,0),0))</f>
        <v>34969900</v>
      </c>
      <c r="H164" s="283">
        <f t="shared" ca="1" si="53"/>
        <v>34969900</v>
      </c>
      <c r="I164" s="283">
        <f t="shared" ca="1" si="54"/>
        <v>0</v>
      </c>
      <c r="J164" s="283">
        <f t="shared" ca="1" si="55"/>
        <v>0</v>
      </c>
      <c r="K164" s="284">
        <f t="shared" ca="1" si="56"/>
        <v>34969900</v>
      </c>
      <c r="L164" s="288"/>
      <c r="M164" s="288"/>
      <c r="N164" s="288"/>
      <c r="O164" s="285"/>
      <c r="P164" s="285"/>
      <c r="Q164" s="266"/>
      <c r="R164" s="258"/>
      <c r="S164" s="286"/>
      <c r="T164" s="263"/>
      <c r="U164" s="263"/>
      <c r="V164" s="263"/>
    </row>
    <row r="165" spans="1:22" s="289" customFormat="1" ht="14.25" customHeight="1">
      <c r="A165" s="258"/>
      <c r="B165" s="293">
        <v>2</v>
      </c>
      <c r="C165" s="494" t="s">
        <v>989</v>
      </c>
      <c r="D165" s="280" t="str">
        <f ca="1">IF(ISERROR(OFFSET('HARGA SATUAN'!$D$6,MATCH('RAB Standart'!C165,'HARGA SATUAN'!$C$7:$C$1509,0),0)),"",OFFSET('HARGA SATUAN'!$D$6,MATCH('RAB Standart'!C165,'HARGA SATUAN'!$C$7:$C$1509,0),0))</f>
        <v>MDU-KD</v>
      </c>
      <c r="E165" s="281" t="str">
        <f ca="1">IF(B165="+","Unit",IF(ISERROR(OFFSET('HARGA SATUAN'!$E$6,MATCH('RAB Standart'!C165,'HARGA SATUAN'!$C$7:$C$1509,0),0)),"",OFFSET('HARGA SATUAN'!$E$6,MATCH('RAB Standart'!C165,'HARGA SATUAN'!$C$7:$C$1509,0),0)))</f>
        <v>Cell</v>
      </c>
      <c r="F165" s="290">
        <v>1</v>
      </c>
      <c r="G165" s="282">
        <f ca="1">IF(ISERROR(OFFSET('HARGA SATUAN'!$I$6,MATCH('RAB Standart'!C165,'HARGA SATUAN'!$C$7:$C$1509,0),0)),0,OFFSET('HARGA SATUAN'!$I$6,MATCH('RAB Standart'!C165,'HARGA SATUAN'!$C$7:$C$1509,0),0))</f>
        <v>145312800</v>
      </c>
      <c r="H165" s="283">
        <f t="shared" ca="1" si="53"/>
        <v>145312800</v>
      </c>
      <c r="I165" s="283">
        <f t="shared" ca="1" si="54"/>
        <v>0</v>
      </c>
      <c r="J165" s="283">
        <f t="shared" ca="1" si="55"/>
        <v>0</v>
      </c>
      <c r="K165" s="284">
        <f t="shared" ca="1" si="56"/>
        <v>145312800</v>
      </c>
      <c r="L165" s="288"/>
      <c r="M165" s="288"/>
      <c r="N165" s="288"/>
      <c r="O165" s="285"/>
      <c r="P165" s="285"/>
      <c r="Q165" s="266"/>
      <c r="R165" s="258"/>
      <c r="S165" s="286"/>
      <c r="T165" s="263"/>
      <c r="U165" s="263"/>
      <c r="V165" s="263"/>
    </row>
    <row r="166" spans="1:22" s="289" customFormat="1" ht="14.25" customHeight="1">
      <c r="A166" s="258"/>
      <c r="B166" s="293">
        <v>3</v>
      </c>
      <c r="C166" s="494" t="s">
        <v>1140</v>
      </c>
      <c r="D166" s="280" t="str">
        <f ca="1">IF(ISERROR(OFFSET('HARGA SATUAN'!$D$6,MATCH('RAB Standart'!C166,'HARGA SATUAN'!$C$7:$C$1509,0),0)),"",OFFSET('HARGA SATUAN'!$D$6,MATCH('RAB Standart'!C166,'HARGA SATUAN'!$C$7:$C$1509,0),0))</f>
        <v>JASA</v>
      </c>
      <c r="E166" s="281" t="str">
        <f ca="1">IF(B166="+","Unit",IF(ISERROR(OFFSET('HARGA SATUAN'!$E$6,MATCH('RAB Standart'!C166,'HARGA SATUAN'!$C$7:$C$1509,0),0)),"",OFFSET('HARGA SATUAN'!$E$6,MATCH('RAB Standart'!C166,'HARGA SATUAN'!$C$7:$C$1509,0),0)))</f>
        <v>Unit</v>
      </c>
      <c r="F166" s="290">
        <v>1</v>
      </c>
      <c r="G166" s="282">
        <f ca="1">IF(ISERROR(OFFSET('HARGA SATUAN'!$I$6,MATCH('RAB Standart'!C166,'HARGA SATUAN'!$C$7:$C$1509,0),0)),0,OFFSET('HARGA SATUAN'!$I$6,MATCH('RAB Standart'!C166,'HARGA SATUAN'!$C$7:$C$1509,0),0))</f>
        <v>1641700</v>
      </c>
      <c r="H166" s="283">
        <f t="shared" ca="1" si="53"/>
        <v>0</v>
      </c>
      <c r="I166" s="283">
        <f t="shared" ca="1" si="54"/>
        <v>0</v>
      </c>
      <c r="J166" s="283">
        <f t="shared" ca="1" si="55"/>
        <v>1641700</v>
      </c>
      <c r="K166" s="284">
        <f t="shared" ca="1" si="56"/>
        <v>1641700</v>
      </c>
      <c r="L166" s="288"/>
      <c r="M166" s="288"/>
      <c r="N166" s="288"/>
      <c r="O166" s="285"/>
      <c r="P166" s="285"/>
      <c r="Q166" s="266"/>
      <c r="R166" s="258"/>
      <c r="S166" s="286"/>
      <c r="T166" s="263"/>
      <c r="U166" s="263"/>
      <c r="V166" s="263"/>
    </row>
    <row r="167" spans="1:22" s="289" customFormat="1" ht="14.25" customHeight="1">
      <c r="A167" s="258"/>
      <c r="B167" s="293"/>
      <c r="C167" s="494"/>
      <c r="D167" s="280" t="str">
        <f ca="1">IF(ISERROR(OFFSET('HARGA SATUAN'!$D$6,MATCH('RAB Standart'!C167,'HARGA SATUAN'!$C$7:$C$1509,0),0)),"",OFFSET('HARGA SATUAN'!$D$6,MATCH('RAB Standart'!C167,'HARGA SATUAN'!$C$7:$C$1509,0),0))</f>
        <v/>
      </c>
      <c r="E167" s="281" t="str">
        <f ca="1">IF(B167="+","Unit",IF(ISERROR(OFFSET('HARGA SATUAN'!$E$6,MATCH('RAB Standart'!C167,'HARGA SATUAN'!$C$7:$C$1509,0),0)),"",OFFSET('HARGA SATUAN'!$E$6,MATCH('RAB Standart'!C167,'HARGA SATUAN'!$C$7:$C$1509,0),0)))</f>
        <v/>
      </c>
      <c r="F167" s="290"/>
      <c r="G167" s="282">
        <f ca="1">IF(ISERROR(OFFSET('HARGA SATUAN'!$I$6,MATCH('RAB Standart'!C167,'HARGA SATUAN'!$C$7:$C$1509,0),0)),0,OFFSET('HARGA SATUAN'!$I$6,MATCH('RAB Standart'!C167,'HARGA SATUAN'!$C$7:$C$1509,0),0))</f>
        <v>0</v>
      </c>
      <c r="H167" s="283">
        <f t="shared" ca="1" si="53"/>
        <v>0</v>
      </c>
      <c r="I167" s="283">
        <f t="shared" ca="1" si="54"/>
        <v>0</v>
      </c>
      <c r="J167" s="283">
        <f t="shared" ca="1" si="55"/>
        <v>0</v>
      </c>
      <c r="K167" s="284">
        <f t="shared" ca="1" si="56"/>
        <v>0</v>
      </c>
      <c r="L167" s="288"/>
      <c r="M167" s="288"/>
      <c r="N167" s="288"/>
      <c r="O167" s="285"/>
      <c r="P167" s="285"/>
      <c r="Q167" s="266"/>
      <c r="R167" s="258"/>
      <c r="S167" s="286"/>
      <c r="T167" s="263"/>
      <c r="U167" s="263"/>
      <c r="V167" s="263"/>
    </row>
    <row r="168" spans="1:22" s="289" customFormat="1" ht="14.25" customHeight="1">
      <c r="A168" s="258"/>
      <c r="B168" s="293" t="s">
        <v>1008</v>
      </c>
      <c r="C168" s="494" t="s">
        <v>1656</v>
      </c>
      <c r="D168" s="280" t="str">
        <f ca="1">IF(ISERROR(OFFSET('HARGA SATUAN'!$D$6,MATCH('RAB Standart'!C168,'HARGA SATUAN'!$C$7:$C$1509,0),0)),"",OFFSET('HARGA SATUAN'!$D$6,MATCH('RAB Standart'!C168,'HARGA SATUAN'!$C$7:$C$1509,0),0))</f>
        <v/>
      </c>
      <c r="E168" s="281" t="str">
        <f ca="1">IF(B168="+","Unit",IF(ISERROR(OFFSET('HARGA SATUAN'!$E$6,MATCH('RAB Standart'!C168,'HARGA SATUAN'!$C$7:$C$1509,0),0)),"",OFFSET('HARGA SATUAN'!$E$6,MATCH('RAB Standart'!C168,'HARGA SATUAN'!$C$7:$C$1509,0),0)))</f>
        <v>Unit</v>
      </c>
      <c r="F168" s="290">
        <v>1</v>
      </c>
      <c r="G168" s="282">
        <f ca="1">IF(ISERROR(OFFSET('HARGA SATUAN'!$I$6,MATCH('RAB Standart'!C168,'HARGA SATUAN'!$C$7:$C$1509,0),0)),0,OFFSET('HARGA SATUAN'!$I$6,MATCH('RAB Standart'!C168,'HARGA SATUAN'!$C$7:$C$1509,0),0))</f>
        <v>0</v>
      </c>
      <c r="H168" s="283">
        <f t="shared" ca="1" si="53"/>
        <v>0</v>
      </c>
      <c r="I168" s="283">
        <f t="shared" ca="1" si="54"/>
        <v>0</v>
      </c>
      <c r="J168" s="283">
        <f t="shared" ca="1" si="55"/>
        <v>0</v>
      </c>
      <c r="K168" s="284">
        <f t="shared" ca="1" si="56"/>
        <v>0</v>
      </c>
      <c r="L168" s="288"/>
      <c r="M168" s="288"/>
      <c r="N168" s="288"/>
      <c r="O168" s="285"/>
      <c r="P168" s="285"/>
      <c r="Q168" s="266"/>
      <c r="R168" s="258"/>
      <c r="S168" s="286"/>
      <c r="T168" s="263"/>
      <c r="U168" s="263"/>
      <c r="V168" s="263"/>
    </row>
    <row r="169" spans="1:22" s="289" customFormat="1" ht="14.25" customHeight="1">
      <c r="A169" s="258"/>
      <c r="B169" s="293">
        <v>1</v>
      </c>
      <c r="C169" s="494" t="s">
        <v>1576</v>
      </c>
      <c r="D169" s="280" t="str">
        <f ca="1">IF(ISERROR(OFFSET('HARGA SATUAN'!$D$6,MATCH('RAB Standart'!C169,'HARGA SATUAN'!$C$7:$C$1509,0),0)),"",OFFSET('HARGA SATUAN'!$D$6,MATCH('RAB Standart'!C169,'HARGA SATUAN'!$C$7:$C$1509,0),0))</f>
        <v>MDU-KD</v>
      </c>
      <c r="E169" s="281" t="str">
        <f ca="1">IF(B169="+","Unit",IF(ISERROR(OFFSET('HARGA SATUAN'!$E$6,MATCH('RAB Standart'!C169,'HARGA SATUAN'!$C$7:$C$1509,0),0)),"",OFFSET('HARGA SATUAN'!$E$6,MATCH('RAB Standart'!C169,'HARGA SATUAN'!$C$7:$C$1509,0),0)))</f>
        <v>Set</v>
      </c>
      <c r="F169" s="290">
        <v>1</v>
      </c>
      <c r="G169" s="282">
        <f ca="1">IF(ISERROR(OFFSET('HARGA SATUAN'!$I$6,MATCH('RAB Standart'!C169,'HARGA SATUAN'!$C$7:$C$1509,0),0)),0,OFFSET('HARGA SATUAN'!$I$6,MATCH('RAB Standart'!C169,'HARGA SATUAN'!$C$7:$C$1509,0),0))</f>
        <v>8703800</v>
      </c>
      <c r="H169" s="283">
        <f t="shared" ca="1" si="53"/>
        <v>8703800</v>
      </c>
      <c r="I169" s="283">
        <f t="shared" ca="1" si="54"/>
        <v>0</v>
      </c>
      <c r="J169" s="283">
        <f t="shared" ca="1" si="55"/>
        <v>0</v>
      </c>
      <c r="K169" s="284">
        <f t="shared" ca="1" si="56"/>
        <v>8703800</v>
      </c>
      <c r="L169" s="288"/>
      <c r="M169" s="288"/>
      <c r="N169" s="288"/>
      <c r="O169" s="285"/>
      <c r="P169" s="285"/>
      <c r="Q169" s="266"/>
      <c r="R169" s="258"/>
      <c r="S169" s="286"/>
      <c r="T169" s="263"/>
      <c r="U169" s="263"/>
      <c r="V169" s="263"/>
    </row>
    <row r="170" spans="1:22" s="289" customFormat="1" ht="14.25" customHeight="1">
      <c r="A170" s="258"/>
      <c r="B170" s="293">
        <v>2</v>
      </c>
      <c r="C170" s="494" t="s">
        <v>587</v>
      </c>
      <c r="D170" s="280" t="str">
        <f ca="1">IF(ISERROR(OFFSET('HARGA SATUAN'!$D$6,MATCH('RAB Standart'!C170,'HARGA SATUAN'!$C$7:$C$1509,0),0)),"",OFFSET('HARGA SATUAN'!$D$6,MATCH('RAB Standart'!C170,'HARGA SATUAN'!$C$7:$C$1509,0),0))</f>
        <v>HDW</v>
      </c>
      <c r="E170" s="281" t="str">
        <f ca="1">IF(B170="+","Unit",IF(ISERROR(OFFSET('HARGA SATUAN'!$E$6,MATCH('RAB Standart'!C170,'HARGA SATUAN'!$C$7:$C$1509,0),0)),"",OFFSET('HARGA SATUAN'!$E$6,MATCH('RAB Standart'!C170,'HARGA SATUAN'!$C$7:$C$1509,0),0)))</f>
        <v>Bh</v>
      </c>
      <c r="F170" s="290">
        <v>2</v>
      </c>
      <c r="G170" s="282">
        <f ca="1">IF(ISERROR(OFFSET('HARGA SATUAN'!$I$6,MATCH('RAB Standart'!C170,'HARGA SATUAN'!$C$7:$C$1509,0),0)),0,OFFSET('HARGA SATUAN'!$I$6,MATCH('RAB Standart'!C170,'HARGA SATUAN'!$C$7:$C$1509,0),0))</f>
        <v>380500</v>
      </c>
      <c r="H170" s="283">
        <f t="shared" ca="1" si="53"/>
        <v>0</v>
      </c>
      <c r="I170" s="283">
        <f t="shared" ca="1" si="54"/>
        <v>761000</v>
      </c>
      <c r="J170" s="283">
        <f t="shared" ca="1" si="55"/>
        <v>0</v>
      </c>
      <c r="K170" s="284">
        <f t="shared" ca="1" si="56"/>
        <v>761000</v>
      </c>
      <c r="L170" s="288"/>
      <c r="M170" s="288"/>
      <c r="N170" s="288"/>
      <c r="O170" s="285"/>
      <c r="P170" s="285"/>
      <c r="Q170" s="266"/>
      <c r="R170" s="258"/>
      <c r="S170" s="286"/>
      <c r="T170" s="263"/>
      <c r="U170" s="263"/>
      <c r="V170" s="263"/>
    </row>
    <row r="171" spans="1:22" s="289" customFormat="1" ht="14.25" customHeight="1">
      <c r="A171" s="258"/>
      <c r="B171" s="293">
        <v>3</v>
      </c>
      <c r="C171" s="494" t="s">
        <v>166</v>
      </c>
      <c r="D171" s="280" t="str">
        <f ca="1">IF(ISERROR(OFFSET('HARGA SATUAN'!$D$6,MATCH('RAB Standart'!C171,'HARGA SATUAN'!$C$7:$C$1509,0),0)),"",OFFSET('HARGA SATUAN'!$D$6,MATCH('RAB Standart'!C171,'HARGA SATUAN'!$C$7:$C$1509,0),0))</f>
        <v>HDW</v>
      </c>
      <c r="E171" s="281" t="str">
        <f ca="1">IF(B171="+","Unit",IF(ISERROR(OFFSET('HARGA SATUAN'!$E$6,MATCH('RAB Standart'!C171,'HARGA SATUAN'!$C$7:$C$1509,0),0)),"",OFFSET('HARGA SATUAN'!$E$6,MATCH('RAB Standart'!C171,'HARGA SATUAN'!$C$7:$C$1509,0),0)))</f>
        <v>Bh</v>
      </c>
      <c r="F171" s="290">
        <v>4</v>
      </c>
      <c r="G171" s="282">
        <f ca="1">IF(ISERROR(OFFSET('HARGA SATUAN'!$I$6,MATCH('RAB Standart'!C171,'HARGA SATUAN'!$C$7:$C$1509,0),0)),0,OFFSET('HARGA SATUAN'!$I$6,MATCH('RAB Standart'!C171,'HARGA SATUAN'!$C$7:$C$1509,0),0))</f>
        <v>45000</v>
      </c>
      <c r="H171" s="283">
        <f t="shared" ca="1" si="53"/>
        <v>0</v>
      </c>
      <c r="I171" s="283">
        <f t="shared" ca="1" si="54"/>
        <v>180000</v>
      </c>
      <c r="J171" s="283">
        <f t="shared" ca="1" si="55"/>
        <v>0</v>
      </c>
      <c r="K171" s="284">
        <f t="shared" ca="1" si="56"/>
        <v>180000</v>
      </c>
      <c r="L171" s="288"/>
      <c r="M171" s="288"/>
      <c r="N171" s="288"/>
      <c r="O171" s="285"/>
      <c r="P171" s="285"/>
      <c r="Q171" s="266"/>
      <c r="R171" s="258"/>
      <c r="S171" s="286"/>
      <c r="T171" s="263"/>
      <c r="U171" s="263"/>
      <c r="V171" s="263"/>
    </row>
    <row r="172" spans="1:22" s="289" customFormat="1" ht="14.25" customHeight="1">
      <c r="A172" s="258"/>
      <c r="B172" s="293">
        <v>4</v>
      </c>
      <c r="C172" s="494" t="s">
        <v>150</v>
      </c>
      <c r="D172" s="280" t="str">
        <f ca="1">IF(ISERROR(OFFSET('HARGA SATUAN'!$D$6,MATCH('RAB Standart'!C172,'HARGA SATUAN'!$C$7:$C$1509,0),0)),"",OFFSET('HARGA SATUAN'!$D$6,MATCH('RAB Standart'!C172,'HARGA SATUAN'!$C$7:$C$1509,0),0))</f>
        <v>HDW</v>
      </c>
      <c r="E172" s="281" t="str">
        <f ca="1">IF(B172="+","Unit",IF(ISERROR(OFFSET('HARGA SATUAN'!$E$6,MATCH('RAB Standart'!C172,'HARGA SATUAN'!$C$7:$C$1509,0),0)),"",OFFSET('HARGA SATUAN'!$E$6,MATCH('RAB Standart'!C172,'HARGA SATUAN'!$C$7:$C$1509,0),0)))</f>
        <v>Bh</v>
      </c>
      <c r="F172" s="290">
        <v>2</v>
      </c>
      <c r="G172" s="282">
        <f ca="1">IF(ISERROR(OFFSET('HARGA SATUAN'!$I$6,MATCH('RAB Standart'!C172,'HARGA SATUAN'!$C$7:$C$1509,0),0)),0,OFFSET('HARGA SATUAN'!$I$6,MATCH('RAB Standart'!C172,'HARGA SATUAN'!$C$7:$C$1509,0),0))</f>
        <v>40000</v>
      </c>
      <c r="H172" s="283">
        <f t="shared" ca="1" si="53"/>
        <v>0</v>
      </c>
      <c r="I172" s="283">
        <f t="shared" ca="1" si="54"/>
        <v>80000</v>
      </c>
      <c r="J172" s="283">
        <f t="shared" ca="1" si="55"/>
        <v>0</v>
      </c>
      <c r="K172" s="284">
        <f t="shared" ca="1" si="56"/>
        <v>80000</v>
      </c>
      <c r="L172" s="288"/>
      <c r="M172" s="288"/>
      <c r="N172" s="288"/>
      <c r="O172" s="285"/>
      <c r="P172" s="285"/>
      <c r="Q172" s="266"/>
      <c r="R172" s="258"/>
      <c r="S172" s="286"/>
      <c r="T172" s="263"/>
      <c r="U172" s="263"/>
      <c r="V172" s="263"/>
    </row>
    <row r="173" spans="1:22" s="289" customFormat="1" ht="14.25" customHeight="1">
      <c r="A173" s="258"/>
      <c r="B173" s="293">
        <v>5</v>
      </c>
      <c r="C173" s="494" t="s">
        <v>1145</v>
      </c>
      <c r="D173" s="280" t="str">
        <f ca="1">IF(ISERROR(OFFSET('HARGA SATUAN'!$D$6,MATCH('RAB Standart'!C173,'HARGA SATUAN'!$C$7:$C$1509,0),0)),"",OFFSET('HARGA SATUAN'!$D$6,MATCH('RAB Standart'!C173,'HARGA SATUAN'!$C$7:$C$1509,0),0))</f>
        <v>JASA</v>
      </c>
      <c r="E173" s="281" t="str">
        <f ca="1">IF(B173="+","Unit",IF(ISERROR(OFFSET('HARGA SATUAN'!$E$6,MATCH('RAB Standart'!C173,'HARGA SATUAN'!$C$7:$C$1509,0),0)),"",OFFSET('HARGA SATUAN'!$E$6,MATCH('RAB Standart'!C173,'HARGA SATUAN'!$C$7:$C$1509,0),0)))</f>
        <v>Unit</v>
      </c>
      <c r="F173" s="290">
        <v>1</v>
      </c>
      <c r="G173" s="282">
        <f ca="1">IF(ISERROR(OFFSET('HARGA SATUAN'!$I$6,MATCH('RAB Standart'!C173,'HARGA SATUAN'!$C$7:$C$1509,0),0)),0,OFFSET('HARGA SATUAN'!$I$6,MATCH('RAB Standart'!C173,'HARGA SATUAN'!$C$7:$C$1509,0),0))</f>
        <v>1515700</v>
      </c>
      <c r="H173" s="283">
        <f t="shared" ca="1" si="53"/>
        <v>0</v>
      </c>
      <c r="I173" s="283">
        <f t="shared" ca="1" si="54"/>
        <v>0</v>
      </c>
      <c r="J173" s="283">
        <f t="shared" ca="1" si="55"/>
        <v>1515700</v>
      </c>
      <c r="K173" s="284">
        <f t="shared" ca="1" si="56"/>
        <v>1515700</v>
      </c>
      <c r="L173" s="288"/>
      <c r="M173" s="288"/>
      <c r="N173" s="288"/>
      <c r="O173" s="285"/>
      <c r="P173" s="285"/>
      <c r="Q173" s="266"/>
      <c r="R173" s="258"/>
      <c r="S173" s="286"/>
      <c r="T173" s="263"/>
      <c r="U173" s="263"/>
      <c r="V173" s="263"/>
    </row>
    <row r="174" spans="1:22" s="289" customFormat="1" ht="14.25" customHeight="1">
      <c r="A174" s="258"/>
      <c r="B174" s="293"/>
      <c r="C174" s="494"/>
      <c r="D174" s="280" t="str">
        <f ca="1">IF(ISERROR(OFFSET('HARGA SATUAN'!$D$6,MATCH('RAB Standart'!C174,'HARGA SATUAN'!$C$7:$C$1509,0),0)),"",OFFSET('HARGA SATUAN'!$D$6,MATCH('RAB Standart'!C174,'HARGA SATUAN'!$C$7:$C$1509,0),0))</f>
        <v/>
      </c>
      <c r="E174" s="281" t="str">
        <f ca="1">IF(B174="+","Unit",IF(ISERROR(OFFSET('HARGA SATUAN'!$E$6,MATCH('RAB Standart'!C174,'HARGA SATUAN'!$C$7:$C$1509,0),0)),"",OFFSET('HARGA SATUAN'!$E$6,MATCH('RAB Standart'!C174,'HARGA SATUAN'!$C$7:$C$1509,0),0)))</f>
        <v/>
      </c>
      <c r="F174" s="290"/>
      <c r="G174" s="282">
        <f ca="1">IF(ISERROR(OFFSET('HARGA SATUAN'!$I$6,MATCH('RAB Standart'!C174,'HARGA SATUAN'!$C$7:$C$1509,0),0)),0,OFFSET('HARGA SATUAN'!$I$6,MATCH('RAB Standart'!C174,'HARGA SATUAN'!$C$7:$C$1509,0),0))</f>
        <v>0</v>
      </c>
      <c r="H174" s="283">
        <f t="shared" ca="1" si="53"/>
        <v>0</v>
      </c>
      <c r="I174" s="283">
        <f t="shared" ca="1" si="54"/>
        <v>0</v>
      </c>
      <c r="J174" s="283">
        <f t="shared" ca="1" si="55"/>
        <v>0</v>
      </c>
      <c r="K174" s="284">
        <f t="shared" ca="1" si="56"/>
        <v>0</v>
      </c>
      <c r="L174" s="288"/>
      <c r="M174" s="288"/>
      <c r="N174" s="288"/>
      <c r="O174" s="285"/>
      <c r="P174" s="285"/>
      <c r="Q174" s="266"/>
      <c r="R174" s="258"/>
      <c r="S174" s="286"/>
      <c r="T174" s="263"/>
      <c r="U174" s="263"/>
      <c r="V174" s="263"/>
    </row>
    <row r="175" spans="1:22" s="289" customFormat="1" ht="14.25" customHeight="1">
      <c r="A175" s="258"/>
      <c r="B175" s="293" t="s">
        <v>1008</v>
      </c>
      <c r="C175" s="494" t="s">
        <v>1657</v>
      </c>
      <c r="D175" s="280" t="str">
        <f ca="1">IF(ISERROR(OFFSET('HARGA SATUAN'!$D$6,MATCH('RAB Standart'!C175,'HARGA SATUAN'!$C$7:$C$1509,0),0)),"",OFFSET('HARGA SATUAN'!$D$6,MATCH('RAB Standart'!C175,'HARGA SATUAN'!$C$7:$C$1509,0),0))</f>
        <v/>
      </c>
      <c r="E175" s="281" t="str">
        <f ca="1">IF(B175="+","Unit",IF(ISERROR(OFFSET('HARGA SATUAN'!$E$6,MATCH('RAB Standart'!C175,'HARGA SATUAN'!$C$7:$C$1509,0),0)),"",OFFSET('HARGA SATUAN'!$E$6,MATCH('RAB Standart'!C175,'HARGA SATUAN'!$C$7:$C$1509,0),0)))</f>
        <v>Unit</v>
      </c>
      <c r="F175" s="290">
        <v>1</v>
      </c>
      <c r="G175" s="282">
        <f ca="1">IF(ISERROR(OFFSET('HARGA SATUAN'!$I$6,MATCH('RAB Standart'!C175,'HARGA SATUAN'!$C$7:$C$1509,0),0)),0,OFFSET('HARGA SATUAN'!$I$6,MATCH('RAB Standart'!C175,'HARGA SATUAN'!$C$7:$C$1509,0),0))</f>
        <v>0</v>
      </c>
      <c r="H175" s="283">
        <f t="shared" ca="1" si="53"/>
        <v>0</v>
      </c>
      <c r="I175" s="283">
        <f t="shared" ca="1" si="54"/>
        <v>0</v>
      </c>
      <c r="J175" s="283">
        <f t="shared" ca="1" si="55"/>
        <v>0</v>
      </c>
      <c r="K175" s="284">
        <f t="shared" ca="1" si="56"/>
        <v>0</v>
      </c>
      <c r="L175" s="288"/>
      <c r="M175" s="288"/>
      <c r="N175" s="288"/>
      <c r="O175" s="285"/>
      <c r="P175" s="285"/>
      <c r="Q175" s="266"/>
      <c r="R175" s="258"/>
      <c r="S175" s="286"/>
      <c r="T175" s="263"/>
      <c r="U175" s="263"/>
      <c r="V175" s="263"/>
    </row>
    <row r="176" spans="1:22" s="289" customFormat="1" ht="14.25" customHeight="1">
      <c r="A176" s="258"/>
      <c r="B176" s="293">
        <v>1</v>
      </c>
      <c r="C176" s="494" t="s">
        <v>552</v>
      </c>
      <c r="D176" s="280" t="str">
        <f ca="1">IF(ISERROR(OFFSET('HARGA SATUAN'!$D$6,MATCH('RAB Standart'!C176,'HARGA SATUAN'!$C$7:$C$1509,0),0)),"",OFFSET('HARGA SATUAN'!$D$6,MATCH('RAB Standart'!C176,'HARGA SATUAN'!$C$7:$C$1509,0),0))</f>
        <v>MDU-KD</v>
      </c>
      <c r="E176" s="281" t="str">
        <f ca="1">IF(B176="+","Unit",IF(ISERROR(OFFSET('HARGA SATUAN'!$E$6,MATCH('RAB Standart'!C176,'HARGA SATUAN'!$C$7:$C$1509,0),0)),"",OFFSET('HARGA SATUAN'!$E$6,MATCH('RAB Standart'!C176,'HARGA SATUAN'!$C$7:$C$1509,0),0)))</f>
        <v>Bh</v>
      </c>
      <c r="F176" s="290">
        <v>3</v>
      </c>
      <c r="G176" s="282">
        <f ca="1">IF(ISERROR(OFFSET('HARGA SATUAN'!$I$6,MATCH('RAB Standart'!C176,'HARGA SATUAN'!$C$7:$C$1509,0),0)),0,OFFSET('HARGA SATUAN'!$I$6,MATCH('RAB Standart'!C176,'HARGA SATUAN'!$C$7:$C$1509,0),0))</f>
        <v>725900</v>
      </c>
      <c r="H176" s="283">
        <f t="shared" ca="1" si="53"/>
        <v>2177700</v>
      </c>
      <c r="I176" s="283">
        <f t="shared" ca="1" si="54"/>
        <v>0</v>
      </c>
      <c r="J176" s="283">
        <f t="shared" ca="1" si="55"/>
        <v>0</v>
      </c>
      <c r="K176" s="284">
        <f t="shared" ca="1" si="56"/>
        <v>2177700</v>
      </c>
      <c r="L176" s="288"/>
      <c r="M176" s="288"/>
      <c r="N176" s="288"/>
      <c r="O176" s="285"/>
      <c r="P176" s="285"/>
      <c r="Q176" s="266"/>
      <c r="R176" s="258"/>
      <c r="S176" s="286"/>
      <c r="T176" s="263"/>
      <c r="U176" s="263"/>
      <c r="V176" s="263"/>
    </row>
    <row r="177" spans="1:22" s="289" customFormat="1" ht="14.25" customHeight="1">
      <c r="A177" s="258"/>
      <c r="B177" s="293">
        <v>2</v>
      </c>
      <c r="C177" s="494" t="s">
        <v>173</v>
      </c>
      <c r="D177" s="280" t="str">
        <f ca="1">IF(ISERROR(OFFSET('HARGA SATUAN'!$D$6,MATCH('RAB Standart'!C177,'HARGA SATUAN'!$C$7:$C$1509,0),0)),"",OFFSET('HARGA SATUAN'!$D$6,MATCH('RAB Standart'!C177,'HARGA SATUAN'!$C$7:$C$1509,0),0))</f>
        <v>HDW</v>
      </c>
      <c r="E177" s="281" t="str">
        <f ca="1">IF(B177="+","Unit",IF(ISERROR(OFFSET('HARGA SATUAN'!$E$6,MATCH('RAB Standart'!C177,'HARGA SATUAN'!$C$7:$C$1509,0),0)),"",OFFSET('HARGA SATUAN'!$E$6,MATCH('RAB Standart'!C177,'HARGA SATUAN'!$C$7:$C$1509,0),0)))</f>
        <v>Bh</v>
      </c>
      <c r="F177" s="290">
        <v>3</v>
      </c>
      <c r="G177" s="282">
        <f ca="1">IF(ISERROR(OFFSET('HARGA SATUAN'!$I$6,MATCH('RAB Standart'!C177,'HARGA SATUAN'!$C$7:$C$1509,0),0)),0,OFFSET('HARGA SATUAN'!$I$6,MATCH('RAB Standart'!C177,'HARGA SATUAN'!$C$7:$C$1509,0),0))</f>
        <v>37700</v>
      </c>
      <c r="H177" s="283">
        <f t="shared" ca="1" si="53"/>
        <v>0</v>
      </c>
      <c r="I177" s="283">
        <f t="shared" ca="1" si="54"/>
        <v>113100</v>
      </c>
      <c r="J177" s="283">
        <f t="shared" ca="1" si="55"/>
        <v>0</v>
      </c>
      <c r="K177" s="284">
        <f t="shared" ca="1" si="56"/>
        <v>113100</v>
      </c>
      <c r="L177" s="288"/>
      <c r="M177" s="288"/>
      <c r="N177" s="288"/>
      <c r="O177" s="285"/>
      <c r="P177" s="285"/>
      <c r="Q177" s="266"/>
      <c r="R177" s="258"/>
      <c r="S177" s="286"/>
      <c r="T177" s="263"/>
      <c r="U177" s="263"/>
      <c r="V177" s="263"/>
    </row>
    <row r="178" spans="1:22" s="289" customFormat="1" ht="14.25" customHeight="1">
      <c r="A178" s="258"/>
      <c r="B178" s="293">
        <v>3</v>
      </c>
      <c r="C178" s="494" t="s">
        <v>177</v>
      </c>
      <c r="D178" s="280" t="str">
        <f ca="1">IF(ISERROR(OFFSET('HARGA SATUAN'!$D$6,MATCH('RAB Standart'!C178,'HARGA SATUAN'!$C$7:$C$1509,0),0)),"",OFFSET('HARGA SATUAN'!$D$6,MATCH('RAB Standart'!C178,'HARGA SATUAN'!$C$7:$C$1509,0),0))</f>
        <v>HDW</v>
      </c>
      <c r="E178" s="281" t="str">
        <f ca="1">IF(B178="+","Unit",IF(ISERROR(OFFSET('HARGA SATUAN'!$E$6,MATCH('RAB Standart'!C178,'HARGA SATUAN'!$C$7:$C$1509,0),0)),"",OFFSET('HARGA SATUAN'!$E$6,MATCH('RAB Standart'!C178,'HARGA SATUAN'!$C$7:$C$1509,0),0)))</f>
        <v>Bh</v>
      </c>
      <c r="F178" s="290">
        <v>1</v>
      </c>
      <c r="G178" s="282">
        <f ca="1">IF(ISERROR(OFFSET('HARGA SATUAN'!$I$6,MATCH('RAB Standart'!C178,'HARGA SATUAN'!$C$7:$C$1509,0),0)),0,OFFSET('HARGA SATUAN'!$I$6,MATCH('RAB Standart'!C178,'HARGA SATUAN'!$C$7:$C$1509,0),0))</f>
        <v>15900</v>
      </c>
      <c r="H178" s="283">
        <f t="shared" ca="1" si="53"/>
        <v>0</v>
      </c>
      <c r="I178" s="283">
        <f t="shared" ca="1" si="54"/>
        <v>15900</v>
      </c>
      <c r="J178" s="283">
        <f t="shared" ca="1" si="55"/>
        <v>0</v>
      </c>
      <c r="K178" s="284">
        <f t="shared" ca="1" si="56"/>
        <v>15900</v>
      </c>
      <c r="L178" s="288"/>
      <c r="M178" s="288"/>
      <c r="N178" s="288"/>
      <c r="O178" s="285"/>
      <c r="P178" s="285"/>
      <c r="Q178" s="266"/>
      <c r="R178" s="258"/>
      <c r="S178" s="286"/>
      <c r="T178" s="263"/>
      <c r="U178" s="263"/>
      <c r="V178" s="263"/>
    </row>
    <row r="179" spans="1:22" s="289" customFormat="1" ht="14.25" customHeight="1">
      <c r="A179" s="258"/>
      <c r="B179" s="293">
        <v>4</v>
      </c>
      <c r="C179" s="494" t="s">
        <v>1577</v>
      </c>
      <c r="D179" s="280" t="str">
        <f ca="1">IF(ISERROR(OFFSET('HARGA SATUAN'!$D$6,MATCH('RAB Standart'!C179,'HARGA SATUAN'!$C$7:$C$1509,0),0)),"",OFFSET('HARGA SATUAN'!$D$6,MATCH('RAB Standart'!C179,'HARGA SATUAN'!$C$7:$C$1509,0),0))</f>
        <v>HDW</v>
      </c>
      <c r="E179" s="281" t="str">
        <f ca="1">IF(B179="+","Unit",IF(ISERROR(OFFSET('HARGA SATUAN'!$E$6,MATCH('RAB Standart'!C179,'HARGA SATUAN'!$C$7:$C$1509,0),0)),"",OFFSET('HARGA SATUAN'!$E$6,MATCH('RAB Standart'!C179,'HARGA SATUAN'!$C$7:$C$1509,0),0)))</f>
        <v>Bh</v>
      </c>
      <c r="F179" s="290">
        <v>6</v>
      </c>
      <c r="G179" s="282">
        <f ca="1">IF(ISERROR(OFFSET('HARGA SATUAN'!$I$6,MATCH('RAB Standart'!C179,'HARGA SATUAN'!$C$7:$C$1509,0),0)),0,OFFSET('HARGA SATUAN'!$I$6,MATCH('RAB Standart'!C179,'HARGA SATUAN'!$C$7:$C$1509,0),0))</f>
        <v>26200</v>
      </c>
      <c r="H179" s="283">
        <f t="shared" ca="1" si="53"/>
        <v>0</v>
      </c>
      <c r="I179" s="283">
        <f t="shared" ca="1" si="54"/>
        <v>157200</v>
      </c>
      <c r="J179" s="283">
        <f t="shared" ca="1" si="55"/>
        <v>0</v>
      </c>
      <c r="K179" s="284">
        <f t="shared" ca="1" si="56"/>
        <v>157200</v>
      </c>
      <c r="L179" s="288"/>
      <c r="M179" s="288"/>
      <c r="N179" s="288"/>
      <c r="O179" s="285"/>
      <c r="P179" s="285"/>
      <c r="Q179" s="266"/>
      <c r="R179" s="258"/>
      <c r="S179" s="286"/>
      <c r="T179" s="263"/>
      <c r="U179" s="263"/>
      <c r="V179" s="263"/>
    </row>
    <row r="180" spans="1:22" s="289" customFormat="1" ht="14.25" customHeight="1">
      <c r="A180" s="258"/>
      <c r="B180" s="293">
        <v>5</v>
      </c>
      <c r="C180" s="494" t="s">
        <v>57</v>
      </c>
      <c r="D180" s="280" t="str">
        <f ca="1">IF(ISERROR(OFFSET('HARGA SATUAN'!$D$6,MATCH('RAB Standart'!C180,'HARGA SATUAN'!$C$7:$C$1509,0),0)),"",OFFSET('HARGA SATUAN'!$D$6,MATCH('RAB Standart'!C180,'HARGA SATUAN'!$C$7:$C$1509,0),0))</f>
        <v>MDU-KD</v>
      </c>
      <c r="E180" s="281" t="str">
        <f ca="1">IF(B180="+","Unit",IF(ISERROR(OFFSET('HARGA SATUAN'!$E$6,MATCH('RAB Standart'!C180,'HARGA SATUAN'!$C$7:$C$1509,0),0)),"",OFFSET('HARGA SATUAN'!$E$6,MATCH('RAB Standart'!C180,'HARGA SATUAN'!$C$7:$C$1509,0),0)))</f>
        <v>Mtr</v>
      </c>
      <c r="F180" s="290">
        <v>4</v>
      </c>
      <c r="G180" s="282">
        <f ca="1">IF(ISERROR(OFFSET('HARGA SATUAN'!$I$6,MATCH('RAB Standart'!C180,'HARGA SATUAN'!$C$7:$C$1509,0),0)),0,OFFSET('HARGA SATUAN'!$I$6,MATCH('RAB Standart'!C180,'HARGA SATUAN'!$C$7:$C$1509,0),0))</f>
        <v>14200</v>
      </c>
      <c r="H180" s="283">
        <f t="shared" ca="1" si="53"/>
        <v>56800</v>
      </c>
      <c r="I180" s="283">
        <f t="shared" ca="1" si="54"/>
        <v>0</v>
      </c>
      <c r="J180" s="283">
        <f t="shared" ca="1" si="55"/>
        <v>0</v>
      </c>
      <c r="K180" s="284">
        <f t="shared" ca="1" si="56"/>
        <v>56800</v>
      </c>
      <c r="L180" s="288"/>
      <c r="M180" s="288"/>
      <c r="N180" s="288"/>
      <c r="O180" s="285"/>
      <c r="P180" s="285"/>
      <c r="Q180" s="266"/>
      <c r="R180" s="258"/>
      <c r="S180" s="286"/>
      <c r="T180" s="263"/>
      <c r="U180" s="263"/>
      <c r="V180" s="263"/>
    </row>
    <row r="181" spans="1:22" s="289" customFormat="1" ht="14.25" customHeight="1">
      <c r="A181" s="258"/>
      <c r="B181" s="293">
        <v>6</v>
      </c>
      <c r="C181" s="494" t="s">
        <v>739</v>
      </c>
      <c r="D181" s="280" t="str">
        <f ca="1">IF(ISERROR(OFFSET('HARGA SATUAN'!$D$6,MATCH('RAB Standart'!C181,'HARGA SATUAN'!$C$7:$C$1509,0),0)),"",OFFSET('HARGA SATUAN'!$D$6,MATCH('RAB Standart'!C181,'HARGA SATUAN'!$C$7:$C$1509,0),0))</f>
        <v>JASA</v>
      </c>
      <c r="E181" s="281" t="str">
        <f ca="1">IF(B181="+","Unit",IF(ISERROR(OFFSET('HARGA SATUAN'!$E$6,MATCH('RAB Standart'!C181,'HARGA SATUAN'!$C$7:$C$1509,0),0)),"",OFFSET('HARGA SATUAN'!$E$6,MATCH('RAB Standart'!C181,'HARGA SATUAN'!$C$7:$C$1509,0),0)))</f>
        <v>Unit</v>
      </c>
      <c r="F181" s="290">
        <v>3</v>
      </c>
      <c r="G181" s="282">
        <f ca="1">IF(ISERROR(OFFSET('HARGA SATUAN'!$I$6,MATCH('RAB Standart'!C181,'HARGA SATUAN'!$C$7:$C$1509,0),0)),0,OFFSET('HARGA SATUAN'!$I$6,MATCH('RAB Standart'!C181,'HARGA SATUAN'!$C$7:$C$1509,0),0))</f>
        <v>58400</v>
      </c>
      <c r="H181" s="283">
        <f t="shared" ca="1" si="53"/>
        <v>0</v>
      </c>
      <c r="I181" s="283">
        <f t="shared" ca="1" si="54"/>
        <v>0</v>
      </c>
      <c r="J181" s="283">
        <f t="shared" ca="1" si="55"/>
        <v>175200</v>
      </c>
      <c r="K181" s="284">
        <f t="shared" ca="1" si="56"/>
        <v>175200</v>
      </c>
      <c r="L181" s="288"/>
      <c r="M181" s="288"/>
      <c r="N181" s="288"/>
      <c r="O181" s="285"/>
      <c r="P181" s="285"/>
      <c r="Q181" s="266"/>
      <c r="R181" s="258"/>
      <c r="S181" s="286"/>
      <c r="T181" s="263"/>
      <c r="U181" s="263"/>
      <c r="V181" s="263"/>
    </row>
    <row r="182" spans="1:22" s="289" customFormat="1" ht="14.25" customHeight="1">
      <c r="A182" s="258"/>
      <c r="B182" s="293"/>
      <c r="C182" s="494"/>
      <c r="D182" s="280" t="str">
        <f ca="1">IF(ISERROR(OFFSET('HARGA SATUAN'!$D$6,MATCH('RAB Standart'!C182,'HARGA SATUAN'!$C$7:$C$1509,0),0)),"",OFFSET('HARGA SATUAN'!$D$6,MATCH('RAB Standart'!C182,'HARGA SATUAN'!$C$7:$C$1509,0),0))</f>
        <v/>
      </c>
      <c r="E182" s="281" t="str">
        <f ca="1">IF(B182="+","Unit",IF(ISERROR(OFFSET('HARGA SATUAN'!$E$6,MATCH('RAB Standart'!C182,'HARGA SATUAN'!$C$7:$C$1509,0),0)),"",OFFSET('HARGA SATUAN'!$E$6,MATCH('RAB Standart'!C182,'HARGA SATUAN'!$C$7:$C$1509,0),0)))</f>
        <v/>
      </c>
      <c r="F182" s="290"/>
      <c r="G182" s="282">
        <f ca="1">IF(ISERROR(OFFSET('HARGA SATUAN'!$I$6,MATCH('RAB Standart'!C182,'HARGA SATUAN'!$C$7:$C$1509,0),0)),0,OFFSET('HARGA SATUAN'!$I$6,MATCH('RAB Standart'!C182,'HARGA SATUAN'!$C$7:$C$1509,0),0))</f>
        <v>0</v>
      </c>
      <c r="H182" s="283">
        <f t="shared" ca="1" si="53"/>
        <v>0</v>
      </c>
      <c r="I182" s="283">
        <f t="shared" ca="1" si="54"/>
        <v>0</v>
      </c>
      <c r="J182" s="283">
        <f t="shared" ca="1" si="55"/>
        <v>0</v>
      </c>
      <c r="K182" s="284">
        <f t="shared" ca="1" si="56"/>
        <v>0</v>
      </c>
      <c r="L182" s="288"/>
      <c r="M182" s="288"/>
      <c r="N182" s="288"/>
      <c r="O182" s="285"/>
      <c r="P182" s="285"/>
      <c r="Q182" s="266"/>
      <c r="R182" s="258"/>
      <c r="S182" s="286"/>
      <c r="T182" s="263"/>
      <c r="U182" s="263"/>
      <c r="V182" s="263"/>
    </row>
    <row r="183" spans="1:22" s="289" customFormat="1" ht="14.25" customHeight="1">
      <c r="A183" s="258"/>
      <c r="B183" s="293" t="s">
        <v>1008</v>
      </c>
      <c r="C183" s="494" t="s">
        <v>1658</v>
      </c>
      <c r="D183" s="280" t="str">
        <f ca="1">IF(ISERROR(OFFSET('HARGA SATUAN'!$D$6,MATCH('RAB Standart'!C183,'HARGA SATUAN'!$C$7:$C$1509,0),0)),"",OFFSET('HARGA SATUAN'!$D$6,MATCH('RAB Standart'!C183,'HARGA SATUAN'!$C$7:$C$1509,0),0))</f>
        <v/>
      </c>
      <c r="E183" s="281" t="str">
        <f ca="1">IF(B183="+","Unit",IF(ISERROR(OFFSET('HARGA SATUAN'!$E$6,MATCH('RAB Standart'!C183,'HARGA SATUAN'!$C$7:$C$1509,0),0)),"",OFFSET('HARGA SATUAN'!$E$6,MATCH('RAB Standart'!C183,'HARGA SATUAN'!$C$7:$C$1509,0),0)))</f>
        <v>Unit</v>
      </c>
      <c r="F183" s="290">
        <v>1</v>
      </c>
      <c r="G183" s="282">
        <f ca="1">IF(ISERROR(OFFSET('HARGA SATUAN'!$I$6,MATCH('RAB Standart'!C183,'HARGA SATUAN'!$C$7:$C$1509,0),0)),0,OFFSET('HARGA SATUAN'!$I$6,MATCH('RAB Standart'!C183,'HARGA SATUAN'!$C$7:$C$1509,0),0))</f>
        <v>0</v>
      </c>
      <c r="H183" s="283">
        <f t="shared" ca="1" si="53"/>
        <v>0</v>
      </c>
      <c r="I183" s="283">
        <f t="shared" ca="1" si="54"/>
        <v>0</v>
      </c>
      <c r="J183" s="283">
        <f t="shared" ca="1" si="55"/>
        <v>0</v>
      </c>
      <c r="K183" s="284">
        <f t="shared" ca="1" si="56"/>
        <v>0</v>
      </c>
      <c r="L183" s="288"/>
      <c r="M183" s="288"/>
      <c r="N183" s="288"/>
      <c r="O183" s="285"/>
      <c r="P183" s="285"/>
      <c r="Q183" s="266"/>
      <c r="R183" s="258"/>
      <c r="S183" s="286"/>
      <c r="T183" s="263"/>
      <c r="U183" s="263"/>
      <c r="V183" s="263"/>
    </row>
    <row r="184" spans="1:22" s="289" customFormat="1" ht="14.25" customHeight="1">
      <c r="A184" s="258"/>
      <c r="B184" s="293">
        <v>1</v>
      </c>
      <c r="C184" s="494" t="s">
        <v>19</v>
      </c>
      <c r="D184" s="280" t="str">
        <f ca="1">IF(ISERROR(OFFSET('HARGA SATUAN'!$D$6,MATCH('RAB Standart'!C184,'HARGA SATUAN'!$C$7:$C$1509,0),0)),"",OFFSET('HARGA SATUAN'!$D$6,MATCH('RAB Standart'!C184,'HARGA SATUAN'!$C$7:$C$1509,0),0))</f>
        <v>HDW</v>
      </c>
      <c r="E184" s="281" t="str">
        <f ca="1">IF(B184="+","Unit",IF(ISERROR(OFFSET('HARGA SATUAN'!$E$6,MATCH('RAB Standart'!C184,'HARGA SATUAN'!$C$7:$C$1509,0),0)),"",OFFSET('HARGA SATUAN'!$E$6,MATCH('RAB Standart'!C184,'HARGA SATUAN'!$C$7:$C$1509,0),0)))</f>
        <v>Bh</v>
      </c>
      <c r="F184" s="290">
        <v>1</v>
      </c>
      <c r="G184" s="282">
        <f ca="1">IF(ISERROR(OFFSET('HARGA SATUAN'!$I$6,MATCH('RAB Standart'!C184,'HARGA SATUAN'!$C$7:$C$1509,0),0)),0,OFFSET('HARGA SATUAN'!$I$6,MATCH('RAB Standart'!C184,'HARGA SATUAN'!$C$7:$C$1509,0),0))</f>
        <v>185200</v>
      </c>
      <c r="H184" s="283">
        <f t="shared" ca="1" si="53"/>
        <v>0</v>
      </c>
      <c r="I184" s="283">
        <f t="shared" ca="1" si="54"/>
        <v>185200</v>
      </c>
      <c r="J184" s="283">
        <f t="shared" ca="1" si="55"/>
        <v>0</v>
      </c>
      <c r="K184" s="284">
        <f t="shared" ca="1" si="56"/>
        <v>185200</v>
      </c>
      <c r="L184" s="288"/>
      <c r="M184" s="288"/>
      <c r="N184" s="288"/>
      <c r="O184" s="285"/>
      <c r="P184" s="285"/>
      <c r="Q184" s="266"/>
      <c r="R184" s="258"/>
      <c r="S184" s="286"/>
      <c r="T184" s="263"/>
      <c r="U184" s="263"/>
      <c r="V184" s="263"/>
    </row>
    <row r="185" spans="1:22" s="289" customFormat="1" ht="14.25" customHeight="1">
      <c r="A185" s="258"/>
      <c r="B185" s="293">
        <v>2</v>
      </c>
      <c r="C185" s="494" t="s">
        <v>20</v>
      </c>
      <c r="D185" s="280" t="str">
        <f ca="1">IF(ISERROR(OFFSET('HARGA SATUAN'!$D$6,MATCH('RAB Standart'!C185,'HARGA SATUAN'!$C$7:$C$1509,0),0)),"",OFFSET('HARGA SATUAN'!$D$6,MATCH('RAB Standart'!C185,'HARGA SATUAN'!$C$7:$C$1509,0),0))</f>
        <v>HDW</v>
      </c>
      <c r="E185" s="281" t="str">
        <f ca="1">IF(B185="+","Unit",IF(ISERROR(OFFSET('HARGA SATUAN'!$E$6,MATCH('RAB Standart'!C185,'HARGA SATUAN'!$C$7:$C$1509,0),0)),"",OFFSET('HARGA SATUAN'!$E$6,MATCH('RAB Standart'!C185,'HARGA SATUAN'!$C$7:$C$1509,0),0)))</f>
        <v>Bh</v>
      </c>
      <c r="F185" s="290">
        <v>1</v>
      </c>
      <c r="G185" s="282">
        <f ca="1">IF(ISERROR(OFFSET('HARGA SATUAN'!$I$6,MATCH('RAB Standart'!C185,'HARGA SATUAN'!$C$7:$C$1509,0),0)),0,OFFSET('HARGA SATUAN'!$I$6,MATCH('RAB Standart'!C185,'HARGA SATUAN'!$C$7:$C$1509,0),0))</f>
        <v>47459</v>
      </c>
      <c r="H185" s="283">
        <f t="shared" ca="1" si="53"/>
        <v>0</v>
      </c>
      <c r="I185" s="283">
        <f t="shared" ca="1" si="54"/>
        <v>47459</v>
      </c>
      <c r="J185" s="283">
        <f t="shared" ca="1" si="55"/>
        <v>0</v>
      </c>
      <c r="K185" s="284">
        <f t="shared" ca="1" si="56"/>
        <v>47459</v>
      </c>
      <c r="L185" s="288"/>
      <c r="M185" s="288"/>
      <c r="N185" s="288"/>
      <c r="O185" s="285"/>
      <c r="P185" s="285"/>
      <c r="Q185" s="266"/>
      <c r="R185" s="258"/>
      <c r="S185" s="286"/>
      <c r="T185" s="263"/>
      <c r="U185" s="263"/>
      <c r="V185" s="263"/>
    </row>
    <row r="186" spans="1:22" s="289" customFormat="1" ht="14.25" customHeight="1">
      <c r="A186" s="258"/>
      <c r="B186" s="293">
        <v>3</v>
      </c>
      <c r="C186" s="494" t="s">
        <v>21</v>
      </c>
      <c r="D186" s="280" t="str">
        <f ca="1">IF(ISERROR(OFFSET('HARGA SATUAN'!$D$6,MATCH('RAB Standart'!C186,'HARGA SATUAN'!$C$7:$C$1509,0),0)),"",OFFSET('HARGA SATUAN'!$D$6,MATCH('RAB Standart'!C186,'HARGA SATUAN'!$C$7:$C$1509,0),0))</f>
        <v>HDW</v>
      </c>
      <c r="E186" s="281" t="str">
        <f ca="1">IF(B186="+","Unit",IF(ISERROR(OFFSET('HARGA SATUAN'!$E$6,MATCH('RAB Standart'!C186,'HARGA SATUAN'!$C$7:$C$1509,0),0)),"",OFFSET('HARGA SATUAN'!$E$6,MATCH('RAB Standart'!C186,'HARGA SATUAN'!$C$7:$C$1509,0),0)))</f>
        <v>Bh</v>
      </c>
      <c r="F186" s="290">
        <v>1</v>
      </c>
      <c r="G186" s="282">
        <f ca="1">IF(ISERROR(OFFSET('HARGA SATUAN'!$I$6,MATCH('RAB Standart'!C186,'HARGA SATUAN'!$C$7:$C$1509,0),0)),0,OFFSET('HARGA SATUAN'!$I$6,MATCH('RAB Standart'!C186,'HARGA SATUAN'!$C$7:$C$1509,0),0))</f>
        <v>4880</v>
      </c>
      <c r="H186" s="283">
        <f t="shared" ca="1" si="53"/>
        <v>0</v>
      </c>
      <c r="I186" s="283">
        <f t="shared" ca="1" si="54"/>
        <v>4880</v>
      </c>
      <c r="J186" s="283">
        <f t="shared" ca="1" si="55"/>
        <v>0</v>
      </c>
      <c r="K186" s="284">
        <f t="shared" ca="1" si="56"/>
        <v>4880</v>
      </c>
      <c r="L186" s="288"/>
      <c r="M186" s="288"/>
      <c r="N186" s="288"/>
      <c r="O186" s="285"/>
      <c r="P186" s="285"/>
      <c r="Q186" s="266"/>
      <c r="R186" s="258"/>
      <c r="S186" s="286"/>
      <c r="T186" s="263"/>
      <c r="U186" s="263"/>
      <c r="V186" s="263"/>
    </row>
    <row r="187" spans="1:22" s="289" customFormat="1" ht="14.25" customHeight="1">
      <c r="A187" s="258"/>
      <c r="B187" s="293">
        <v>4</v>
      </c>
      <c r="C187" s="494" t="s">
        <v>22</v>
      </c>
      <c r="D187" s="280" t="str">
        <f ca="1">IF(ISERROR(OFFSET('HARGA SATUAN'!$D$6,MATCH('RAB Standart'!C187,'HARGA SATUAN'!$C$7:$C$1509,0),0)),"",OFFSET('HARGA SATUAN'!$D$6,MATCH('RAB Standart'!C187,'HARGA SATUAN'!$C$7:$C$1509,0),0))</f>
        <v>HDW</v>
      </c>
      <c r="E187" s="281" t="str">
        <f ca="1">IF(B187="+","Unit",IF(ISERROR(OFFSET('HARGA SATUAN'!$E$6,MATCH('RAB Standart'!C187,'HARGA SATUAN'!$C$7:$C$1509,0),0)),"",OFFSET('HARGA SATUAN'!$E$6,MATCH('RAB Standart'!C187,'HARGA SATUAN'!$C$7:$C$1509,0),0)))</f>
        <v>Mtr</v>
      </c>
      <c r="F187" s="290">
        <v>10</v>
      </c>
      <c r="G187" s="282">
        <f ca="1">IF(ISERROR(OFFSET('HARGA SATUAN'!$I$6,MATCH('RAB Standart'!C187,'HARGA SATUAN'!$C$7:$C$1509,0),0)),0,OFFSET('HARGA SATUAN'!$I$6,MATCH('RAB Standart'!C187,'HARGA SATUAN'!$C$7:$C$1509,0),0))</f>
        <v>30000</v>
      </c>
      <c r="H187" s="283">
        <f t="shared" ca="1" si="53"/>
        <v>0</v>
      </c>
      <c r="I187" s="283">
        <f t="shared" ca="1" si="54"/>
        <v>300000</v>
      </c>
      <c r="J187" s="283">
        <f t="shared" ca="1" si="55"/>
        <v>0</v>
      </c>
      <c r="K187" s="284">
        <f t="shared" ca="1" si="56"/>
        <v>300000</v>
      </c>
      <c r="L187" s="288"/>
      <c r="M187" s="288"/>
      <c r="N187" s="288"/>
      <c r="O187" s="285"/>
      <c r="P187" s="285"/>
      <c r="Q187" s="266"/>
      <c r="R187" s="258"/>
      <c r="S187" s="286"/>
      <c r="T187" s="263"/>
      <c r="U187" s="263"/>
      <c r="V187" s="263"/>
    </row>
    <row r="188" spans="1:22" s="289" customFormat="1" ht="14.25" customHeight="1">
      <c r="A188" s="258"/>
      <c r="B188" s="293">
        <v>5</v>
      </c>
      <c r="C188" s="494" t="s">
        <v>23</v>
      </c>
      <c r="D188" s="280" t="str">
        <f ca="1">IF(ISERROR(OFFSET('HARGA SATUAN'!$D$6,MATCH('RAB Standart'!C188,'HARGA SATUAN'!$C$7:$C$1509,0),0)),"",OFFSET('HARGA SATUAN'!$D$6,MATCH('RAB Standart'!C188,'HARGA SATUAN'!$C$7:$C$1509,0),0))</f>
        <v>HDW</v>
      </c>
      <c r="E188" s="281" t="str">
        <f ca="1">IF(B188="+","Unit",IF(ISERROR(OFFSET('HARGA SATUAN'!$E$6,MATCH('RAB Standart'!C188,'HARGA SATUAN'!$C$7:$C$1509,0),0)),"",OFFSET('HARGA SATUAN'!$E$6,MATCH('RAB Standart'!C188,'HARGA SATUAN'!$C$7:$C$1509,0),0)))</f>
        <v>Bh</v>
      </c>
      <c r="F188" s="290">
        <v>2</v>
      </c>
      <c r="G188" s="282">
        <f ca="1">IF(ISERROR(OFFSET('HARGA SATUAN'!$I$6,MATCH('RAB Standart'!C188,'HARGA SATUAN'!$C$7:$C$1509,0),0)),0,OFFSET('HARGA SATUAN'!$I$6,MATCH('RAB Standart'!C188,'HARGA SATUAN'!$C$7:$C$1509,0),0))</f>
        <v>9500</v>
      </c>
      <c r="H188" s="283">
        <f t="shared" ca="1" si="53"/>
        <v>0</v>
      </c>
      <c r="I188" s="283">
        <f t="shared" ca="1" si="54"/>
        <v>19000</v>
      </c>
      <c r="J188" s="283">
        <f t="shared" ca="1" si="55"/>
        <v>0</v>
      </c>
      <c r="K188" s="284">
        <f t="shared" ca="1" si="56"/>
        <v>19000</v>
      </c>
      <c r="L188" s="288"/>
      <c r="M188" s="288"/>
      <c r="N188" s="288"/>
      <c r="O188" s="285"/>
      <c r="P188" s="285"/>
      <c r="Q188" s="266"/>
      <c r="R188" s="258"/>
      <c r="S188" s="286"/>
      <c r="T188" s="263"/>
      <c r="U188" s="263"/>
      <c r="V188" s="263"/>
    </row>
    <row r="189" spans="1:22" s="289" customFormat="1" ht="14.25" customHeight="1">
      <c r="A189" s="258"/>
      <c r="B189" s="293">
        <v>6</v>
      </c>
      <c r="C189" s="494" t="s">
        <v>24</v>
      </c>
      <c r="D189" s="280" t="str">
        <f ca="1">IF(ISERROR(OFFSET('HARGA SATUAN'!$D$6,MATCH('RAB Standart'!C189,'HARGA SATUAN'!$C$7:$C$1509,0),0)),"",OFFSET('HARGA SATUAN'!$D$6,MATCH('RAB Standart'!C189,'HARGA SATUAN'!$C$7:$C$1509,0),0))</f>
        <v>HDW</v>
      </c>
      <c r="E189" s="281" t="str">
        <f ca="1">IF(B189="+","Unit",IF(ISERROR(OFFSET('HARGA SATUAN'!$E$6,MATCH('RAB Standart'!C189,'HARGA SATUAN'!$C$7:$C$1509,0),0)),"",OFFSET('HARGA SATUAN'!$E$6,MATCH('RAB Standart'!C189,'HARGA SATUAN'!$C$7:$C$1509,0),0)))</f>
        <v>Bh</v>
      </c>
      <c r="F189" s="290">
        <v>5.5</v>
      </c>
      <c r="G189" s="282">
        <f ca="1">IF(ISERROR(OFFSET('HARGA SATUAN'!$I$6,MATCH('RAB Standart'!C189,'HARGA SATUAN'!$C$7:$C$1509,0),0)),0,OFFSET('HARGA SATUAN'!$I$6,MATCH('RAB Standart'!C189,'HARGA SATUAN'!$C$7:$C$1509,0),0))</f>
        <v>6100</v>
      </c>
      <c r="H189" s="283">
        <f t="shared" ca="1" si="53"/>
        <v>0</v>
      </c>
      <c r="I189" s="283">
        <f t="shared" ca="1" si="54"/>
        <v>33550</v>
      </c>
      <c r="J189" s="283">
        <f t="shared" ca="1" si="55"/>
        <v>0</v>
      </c>
      <c r="K189" s="284">
        <f t="shared" ca="1" si="56"/>
        <v>33550</v>
      </c>
      <c r="L189" s="288"/>
      <c r="M189" s="288"/>
      <c r="N189" s="288"/>
      <c r="O189" s="285"/>
      <c r="P189" s="285"/>
      <c r="Q189" s="266"/>
      <c r="R189" s="258"/>
      <c r="S189" s="286"/>
      <c r="T189" s="263"/>
      <c r="U189" s="263"/>
      <c r="V189" s="263"/>
    </row>
    <row r="190" spans="1:22" s="289" customFormat="1" ht="14.25" customHeight="1">
      <c r="A190" s="258"/>
      <c r="B190" s="293">
        <v>7</v>
      </c>
      <c r="C190" s="494" t="s">
        <v>25</v>
      </c>
      <c r="D190" s="280" t="str">
        <f ca="1">IF(ISERROR(OFFSET('HARGA SATUAN'!$D$6,MATCH('RAB Standart'!C190,'HARGA SATUAN'!$C$7:$C$1509,0),0)),"",OFFSET('HARGA SATUAN'!$D$6,MATCH('RAB Standart'!C190,'HARGA SATUAN'!$C$7:$C$1509,0),0))</f>
        <v>HDW</v>
      </c>
      <c r="E190" s="281" t="str">
        <f ca="1">IF(B190="+","Unit",IF(ISERROR(OFFSET('HARGA SATUAN'!$E$6,MATCH('RAB Standart'!C190,'HARGA SATUAN'!$C$7:$C$1509,0),0)),"",OFFSET('HARGA SATUAN'!$E$6,MATCH('RAB Standart'!C190,'HARGA SATUAN'!$C$7:$C$1509,0),0)))</f>
        <v>Bh</v>
      </c>
      <c r="F190" s="290">
        <v>6</v>
      </c>
      <c r="G190" s="282">
        <f ca="1">IF(ISERROR(OFFSET('HARGA SATUAN'!$I$6,MATCH('RAB Standart'!C190,'HARGA SATUAN'!$C$7:$C$1509,0),0)),0,OFFSET('HARGA SATUAN'!$I$6,MATCH('RAB Standart'!C190,'HARGA SATUAN'!$C$7:$C$1509,0),0))</f>
        <v>2300</v>
      </c>
      <c r="H190" s="283">
        <f t="shared" ca="1" si="53"/>
        <v>0</v>
      </c>
      <c r="I190" s="283">
        <f t="shared" ca="1" si="54"/>
        <v>13800</v>
      </c>
      <c r="J190" s="283">
        <f t="shared" ca="1" si="55"/>
        <v>0</v>
      </c>
      <c r="K190" s="284">
        <f t="shared" ca="1" si="56"/>
        <v>13800</v>
      </c>
      <c r="L190" s="288"/>
      <c r="M190" s="288"/>
      <c r="N190" s="288"/>
      <c r="O190" s="285"/>
      <c r="P190" s="285"/>
      <c r="Q190" s="266"/>
      <c r="R190" s="258"/>
      <c r="S190" s="286"/>
      <c r="T190" s="263"/>
      <c r="U190" s="263"/>
      <c r="V190" s="263"/>
    </row>
    <row r="191" spans="1:22" s="289" customFormat="1" ht="14.25" customHeight="1">
      <c r="A191" s="258"/>
      <c r="B191" s="293">
        <v>8</v>
      </c>
      <c r="C191" s="494" t="s">
        <v>1659</v>
      </c>
      <c r="D191" s="280" t="str">
        <f ca="1">IF(ISERROR(OFFSET('HARGA SATUAN'!$D$6,MATCH('RAB Standart'!C191,'HARGA SATUAN'!$C$7:$C$1509,0),0)),"",OFFSET('HARGA SATUAN'!$D$6,MATCH('RAB Standart'!C191,'HARGA SATUAN'!$C$7:$C$1509,0),0))</f>
        <v>HDW</v>
      </c>
      <c r="E191" s="281" t="str">
        <f ca="1">IF(B191="+","Unit",IF(ISERROR(OFFSET('HARGA SATUAN'!$E$6,MATCH('RAB Standart'!C191,'HARGA SATUAN'!$C$7:$C$1509,0),0)),"",OFFSET('HARGA SATUAN'!$E$6,MATCH('RAB Standart'!C191,'HARGA SATUAN'!$C$7:$C$1509,0),0)))</f>
        <v>Mtr</v>
      </c>
      <c r="F191" s="290">
        <v>4.8</v>
      </c>
      <c r="G191" s="282">
        <f ca="1">IF(ISERROR(OFFSET('HARGA SATUAN'!$I$6,MATCH('RAB Standart'!C191,'HARGA SATUAN'!$C$7:$C$1509,0),0)),0,OFFSET('HARGA SATUAN'!$I$6,MATCH('RAB Standart'!C191,'HARGA SATUAN'!$C$7:$C$1509,0),0))</f>
        <v>23310</v>
      </c>
      <c r="H191" s="283">
        <f t="shared" ca="1" si="53"/>
        <v>0</v>
      </c>
      <c r="I191" s="283">
        <f t="shared" ca="1" si="54"/>
        <v>111888</v>
      </c>
      <c r="J191" s="283">
        <f t="shared" ca="1" si="55"/>
        <v>0</v>
      </c>
      <c r="K191" s="284">
        <f t="shared" ca="1" si="56"/>
        <v>111888</v>
      </c>
      <c r="L191" s="288"/>
      <c r="M191" s="288"/>
      <c r="N191" s="288"/>
      <c r="O191" s="285"/>
      <c r="P191" s="285"/>
      <c r="Q191" s="266"/>
      <c r="R191" s="258"/>
      <c r="S191" s="286"/>
      <c r="T191" s="263"/>
      <c r="U191" s="263"/>
      <c r="V191" s="263"/>
    </row>
    <row r="192" spans="1:22" s="289" customFormat="1" ht="14.25" customHeight="1">
      <c r="A192" s="258"/>
      <c r="B192" s="293">
        <v>9</v>
      </c>
      <c r="C192" s="494" t="s">
        <v>730</v>
      </c>
      <c r="D192" s="280" t="str">
        <f ca="1">IF(ISERROR(OFFSET('HARGA SATUAN'!$D$6,MATCH('RAB Standart'!C192,'HARGA SATUAN'!$C$7:$C$1509,0),0)),"",OFFSET('HARGA SATUAN'!$D$6,MATCH('RAB Standart'!C192,'HARGA SATUAN'!$C$7:$C$1509,0),0))</f>
        <v>JASA</v>
      </c>
      <c r="E192" s="281" t="str">
        <f ca="1">IF(B192="+","Unit",IF(ISERROR(OFFSET('HARGA SATUAN'!$E$6,MATCH('RAB Standart'!C192,'HARGA SATUAN'!$C$7:$C$1509,0),0)),"",OFFSET('HARGA SATUAN'!$E$6,MATCH('RAB Standart'!C192,'HARGA SATUAN'!$C$7:$C$1509,0),0)))</f>
        <v>Unit</v>
      </c>
      <c r="F192" s="290">
        <v>1</v>
      </c>
      <c r="G192" s="282">
        <f ca="1">IF(ISERROR(OFFSET('HARGA SATUAN'!$I$6,MATCH('RAB Standart'!C192,'HARGA SATUAN'!$C$7:$C$1509,0),0)),0,OFFSET('HARGA SATUAN'!$I$6,MATCH('RAB Standart'!C192,'HARGA SATUAN'!$C$7:$C$1509,0),0))</f>
        <v>65400</v>
      </c>
      <c r="H192" s="283">
        <f t="shared" ca="1" si="53"/>
        <v>0</v>
      </c>
      <c r="I192" s="283">
        <f t="shared" ca="1" si="54"/>
        <v>0</v>
      </c>
      <c r="J192" s="283">
        <f t="shared" ca="1" si="55"/>
        <v>65400</v>
      </c>
      <c r="K192" s="284">
        <f t="shared" ca="1" si="56"/>
        <v>65400</v>
      </c>
      <c r="L192" s="288"/>
      <c r="M192" s="288"/>
      <c r="N192" s="288"/>
      <c r="O192" s="285"/>
      <c r="P192" s="285"/>
      <c r="Q192" s="266"/>
      <c r="R192" s="258"/>
      <c r="S192" s="286"/>
      <c r="T192" s="263"/>
      <c r="U192" s="263"/>
      <c r="V192" s="263"/>
    </row>
    <row r="193" spans="1:22" s="289" customFormat="1" ht="14.25" customHeight="1">
      <c r="A193" s="258"/>
      <c r="B193" s="293"/>
      <c r="C193" s="494"/>
      <c r="D193" s="280" t="str">
        <f ca="1">IF(ISERROR(OFFSET('HARGA SATUAN'!$D$6,MATCH('RAB Standart'!C193,'HARGA SATUAN'!$C$7:$C$1509,0),0)),"",OFFSET('HARGA SATUAN'!$D$6,MATCH('RAB Standart'!C193,'HARGA SATUAN'!$C$7:$C$1509,0),0))</f>
        <v/>
      </c>
      <c r="E193" s="281" t="str">
        <f ca="1">IF(B193="+","Unit",IF(ISERROR(OFFSET('HARGA SATUAN'!$E$6,MATCH('RAB Standart'!C193,'HARGA SATUAN'!$C$7:$C$1509,0),0)),"",OFFSET('HARGA SATUAN'!$E$6,MATCH('RAB Standart'!C193,'HARGA SATUAN'!$C$7:$C$1509,0),0)))</f>
        <v/>
      </c>
      <c r="F193" s="290"/>
      <c r="G193" s="282">
        <f ca="1">IF(ISERROR(OFFSET('HARGA SATUAN'!$I$6,MATCH('RAB Standart'!C193,'HARGA SATUAN'!$C$7:$C$1509,0),0)),0,OFFSET('HARGA SATUAN'!$I$6,MATCH('RAB Standart'!C193,'HARGA SATUAN'!$C$7:$C$1509,0),0))</f>
        <v>0</v>
      </c>
      <c r="H193" s="283">
        <f t="shared" ca="1" si="53"/>
        <v>0</v>
      </c>
      <c r="I193" s="283">
        <f t="shared" ca="1" si="54"/>
        <v>0</v>
      </c>
      <c r="J193" s="283">
        <f t="shared" ca="1" si="55"/>
        <v>0</v>
      </c>
      <c r="K193" s="284">
        <f t="shared" ca="1" si="56"/>
        <v>0</v>
      </c>
      <c r="L193" s="288"/>
      <c r="M193" s="288"/>
      <c r="N193" s="288"/>
      <c r="O193" s="285"/>
      <c r="P193" s="285"/>
      <c r="Q193" s="266"/>
      <c r="R193" s="258"/>
      <c r="S193" s="286"/>
      <c r="T193" s="263"/>
      <c r="U193" s="263"/>
      <c r="V193" s="263"/>
    </row>
    <row r="194" spans="1:22" s="289" customFormat="1" ht="14.25" customHeight="1">
      <c r="A194" s="258"/>
      <c r="B194" s="293" t="s">
        <v>1008</v>
      </c>
      <c r="C194" s="494" t="s">
        <v>1627</v>
      </c>
      <c r="D194" s="280" t="str">
        <f ca="1">IF(ISERROR(OFFSET('HARGA SATUAN'!$D$6,MATCH('RAB Standart'!C194,'HARGA SATUAN'!$C$7:$C$1509,0),0)),"",OFFSET('HARGA SATUAN'!$D$6,MATCH('RAB Standart'!C194,'HARGA SATUAN'!$C$7:$C$1509,0),0))</f>
        <v/>
      </c>
      <c r="E194" s="281" t="str">
        <f ca="1">IF(B194="+","Unit",IF(ISERROR(OFFSET('HARGA SATUAN'!$E$6,MATCH('RAB Standart'!C194,'HARGA SATUAN'!$C$7:$C$1509,0),0)),"",OFFSET('HARGA SATUAN'!$E$6,MATCH('RAB Standart'!C194,'HARGA SATUAN'!$C$7:$C$1509,0),0)))</f>
        <v>Unit</v>
      </c>
      <c r="F194" s="290">
        <v>25</v>
      </c>
      <c r="G194" s="282">
        <f ca="1">IF(ISERROR(OFFSET('HARGA SATUAN'!$I$6,MATCH('RAB Standart'!C194,'HARGA SATUAN'!$C$7:$C$1509,0),0)),0,OFFSET('HARGA SATUAN'!$I$6,MATCH('RAB Standart'!C194,'HARGA SATUAN'!$C$7:$C$1509,0),0))</f>
        <v>0</v>
      </c>
      <c r="H194" s="283">
        <f t="shared" ca="1" si="53"/>
        <v>0</v>
      </c>
      <c r="I194" s="283">
        <f t="shared" ca="1" si="54"/>
        <v>0</v>
      </c>
      <c r="J194" s="283">
        <f t="shared" ca="1" si="55"/>
        <v>0</v>
      </c>
      <c r="K194" s="284">
        <f t="shared" ca="1" si="56"/>
        <v>0</v>
      </c>
      <c r="L194" s="288"/>
      <c r="M194" s="288"/>
      <c r="N194" s="288"/>
      <c r="O194" s="285"/>
      <c r="P194" s="285"/>
      <c r="Q194" s="266"/>
      <c r="R194" s="258"/>
      <c r="S194" s="286"/>
      <c r="T194" s="263"/>
      <c r="U194" s="263"/>
      <c r="V194" s="263"/>
    </row>
    <row r="195" spans="1:22" s="289" customFormat="1" ht="14.25" customHeight="1">
      <c r="A195" s="258"/>
      <c r="B195" s="293">
        <v>1</v>
      </c>
      <c r="C195" s="494" t="s">
        <v>570</v>
      </c>
      <c r="D195" s="280" t="str">
        <f ca="1">IF(ISERROR(OFFSET('HARGA SATUAN'!$D$6,MATCH('RAB Standart'!C195,'HARGA SATUAN'!$C$7:$C$1509,0),0)),"",OFFSET('HARGA SATUAN'!$D$6,MATCH('RAB Standart'!C195,'HARGA SATUAN'!$C$7:$C$1509,0),0))</f>
        <v>HDW</v>
      </c>
      <c r="E195" s="281" t="str">
        <f ca="1">IF(B195="+","Unit",IF(ISERROR(OFFSET('HARGA SATUAN'!$E$6,MATCH('RAB Standart'!C195,'HARGA SATUAN'!$C$7:$C$1509,0),0)),"",OFFSET('HARGA SATUAN'!$E$6,MATCH('RAB Standart'!C195,'HARGA SATUAN'!$C$7:$C$1509,0),0)))</f>
        <v>Mtr</v>
      </c>
      <c r="F195" s="290">
        <f>(F151*3)*F194</f>
        <v>75</v>
      </c>
      <c r="G195" s="282">
        <f ca="1">IF(ISERROR(OFFSET('HARGA SATUAN'!$I$6,MATCH('RAB Standart'!C195,'HARGA SATUAN'!$C$7:$C$1509,0),0)),0,OFFSET('HARGA SATUAN'!$I$6,MATCH('RAB Standart'!C195,'HARGA SATUAN'!$C$7:$C$1509,0),0))</f>
        <v>106000</v>
      </c>
      <c r="H195" s="283">
        <f t="shared" ca="1" si="53"/>
        <v>0</v>
      </c>
      <c r="I195" s="283">
        <f t="shared" ca="1" si="54"/>
        <v>7950000</v>
      </c>
      <c r="J195" s="283">
        <f t="shared" ca="1" si="55"/>
        <v>0</v>
      </c>
      <c r="K195" s="284">
        <f t="shared" ca="1" si="56"/>
        <v>7950000</v>
      </c>
      <c r="L195" s="288"/>
      <c r="M195" s="288"/>
      <c r="N195" s="288"/>
      <c r="O195" s="285"/>
      <c r="P195" s="285"/>
      <c r="Q195" s="266"/>
      <c r="R195" s="258"/>
      <c r="S195" s="286"/>
      <c r="T195" s="263"/>
      <c r="U195" s="263"/>
      <c r="V195" s="263"/>
    </row>
    <row r="196" spans="1:22" s="289" customFormat="1" ht="14.25" customHeight="1">
      <c r="A196" s="258"/>
      <c r="B196" s="293">
        <v>2</v>
      </c>
      <c r="C196" s="494" t="s">
        <v>73</v>
      </c>
      <c r="D196" s="280" t="str">
        <f ca="1">IF(ISERROR(OFFSET('HARGA SATUAN'!$D$6,MATCH('RAB Standart'!C196,'HARGA SATUAN'!$C$7:$C$1509,0),0)),"",OFFSET('HARGA SATUAN'!$D$6,MATCH('RAB Standart'!C196,'HARGA SATUAN'!$C$7:$C$1509,0),0))</f>
        <v>MDU-KD</v>
      </c>
      <c r="E196" s="281" t="str">
        <f ca="1">IF(B196="+","Unit",IF(ISERROR(OFFSET('HARGA SATUAN'!$E$6,MATCH('RAB Standart'!C196,'HARGA SATUAN'!$C$7:$C$1509,0),0)),"",OFFSET('HARGA SATUAN'!$E$6,MATCH('RAB Standart'!C196,'HARGA SATUAN'!$C$7:$C$1509,0),0)))</f>
        <v>Mtr</v>
      </c>
      <c r="F196" s="290">
        <f>(F151*1)*F194</f>
        <v>25</v>
      </c>
      <c r="G196" s="282">
        <f ca="1">IF(ISERROR(OFFSET('HARGA SATUAN'!$I$6,MATCH('RAB Standart'!C196,'HARGA SATUAN'!$C$7:$C$1509,0),0)),0,OFFSET('HARGA SATUAN'!$I$6,MATCH('RAB Standart'!C196,'HARGA SATUAN'!$C$7:$C$1509,0),0))</f>
        <v>94700</v>
      </c>
      <c r="H196" s="283">
        <f t="shared" ca="1" si="53"/>
        <v>2367500</v>
      </c>
      <c r="I196" s="283">
        <f t="shared" ca="1" si="54"/>
        <v>0</v>
      </c>
      <c r="J196" s="283">
        <f t="shared" ca="1" si="55"/>
        <v>0</v>
      </c>
      <c r="K196" s="284">
        <f t="shared" ca="1" si="56"/>
        <v>2367500</v>
      </c>
      <c r="L196" s="288"/>
      <c r="M196" s="288"/>
      <c r="N196" s="288"/>
      <c r="O196" s="285"/>
      <c r="P196" s="285"/>
      <c r="Q196" s="266"/>
      <c r="R196" s="258"/>
      <c r="S196" s="286"/>
      <c r="T196" s="263"/>
      <c r="U196" s="263"/>
      <c r="V196" s="263"/>
    </row>
    <row r="197" spans="1:22" s="289" customFormat="1" ht="14.25" customHeight="1">
      <c r="A197" s="258"/>
      <c r="B197" s="293">
        <v>3</v>
      </c>
      <c r="C197" s="494" t="s">
        <v>57</v>
      </c>
      <c r="D197" s="280" t="str">
        <f ca="1">IF(ISERROR(OFFSET('HARGA SATUAN'!$D$6,MATCH('RAB Standart'!C197,'HARGA SATUAN'!$C$7:$C$1509,0),0)),"",OFFSET('HARGA SATUAN'!$D$6,MATCH('RAB Standart'!C197,'HARGA SATUAN'!$C$7:$C$1509,0),0))</f>
        <v>MDU-KD</v>
      </c>
      <c r="E197" s="281" t="str">
        <f ca="1">IF(B197="+","Unit",IF(ISERROR(OFFSET('HARGA SATUAN'!$E$6,MATCH('RAB Standart'!C197,'HARGA SATUAN'!$C$7:$C$1509,0),0)),"",OFFSET('HARGA SATUAN'!$E$6,MATCH('RAB Standart'!C197,'HARGA SATUAN'!$C$7:$C$1509,0),0)))</f>
        <v>Mtr</v>
      </c>
      <c r="F197" s="290">
        <f>F151*12</f>
        <v>12</v>
      </c>
      <c r="G197" s="282">
        <f ca="1">IF(ISERROR(OFFSET('HARGA SATUAN'!$I$6,MATCH('RAB Standart'!C197,'HARGA SATUAN'!$C$7:$C$1509,0),0)),0,OFFSET('HARGA SATUAN'!$I$6,MATCH('RAB Standart'!C197,'HARGA SATUAN'!$C$7:$C$1509,0),0))</f>
        <v>14200</v>
      </c>
      <c r="H197" s="283">
        <f t="shared" ca="1" si="53"/>
        <v>170400</v>
      </c>
      <c r="I197" s="283">
        <f t="shared" ca="1" si="54"/>
        <v>0</v>
      </c>
      <c r="J197" s="283">
        <f t="shared" ca="1" si="55"/>
        <v>0</v>
      </c>
      <c r="K197" s="284">
        <f t="shared" ca="1" si="56"/>
        <v>170400</v>
      </c>
      <c r="L197" s="288"/>
      <c r="M197" s="288"/>
      <c r="N197" s="288"/>
      <c r="O197" s="285"/>
      <c r="P197" s="285"/>
      <c r="Q197" s="266"/>
      <c r="R197" s="258"/>
      <c r="S197" s="286"/>
      <c r="T197" s="263"/>
      <c r="U197" s="263"/>
      <c r="V197" s="263"/>
    </row>
    <row r="198" spans="1:22" s="289" customFormat="1" ht="14.25" customHeight="1">
      <c r="A198" s="258"/>
      <c r="B198" s="293">
        <v>4</v>
      </c>
      <c r="C198" s="494" t="s">
        <v>173</v>
      </c>
      <c r="D198" s="280" t="str">
        <f ca="1">IF(ISERROR(OFFSET('HARGA SATUAN'!$D$6,MATCH('RAB Standart'!C198,'HARGA SATUAN'!$C$7:$C$1509,0),0)),"",OFFSET('HARGA SATUAN'!$D$6,MATCH('RAB Standart'!C198,'HARGA SATUAN'!$C$7:$C$1509,0),0))</f>
        <v>HDW</v>
      </c>
      <c r="E198" s="281" t="str">
        <f ca="1">IF(B198="+","Unit",IF(ISERROR(OFFSET('HARGA SATUAN'!$E$6,MATCH('RAB Standart'!C198,'HARGA SATUAN'!$C$7:$C$1509,0),0)),"",OFFSET('HARGA SATUAN'!$E$6,MATCH('RAB Standart'!C198,'HARGA SATUAN'!$C$7:$C$1509,0),0)))</f>
        <v>Bh</v>
      </c>
      <c r="F198" s="290">
        <f>F151*3</f>
        <v>3</v>
      </c>
      <c r="G198" s="282">
        <f ca="1">IF(ISERROR(OFFSET('HARGA SATUAN'!$I$6,MATCH('RAB Standart'!C198,'HARGA SATUAN'!$C$7:$C$1509,0),0)),0,OFFSET('HARGA SATUAN'!$I$6,MATCH('RAB Standart'!C198,'HARGA SATUAN'!$C$7:$C$1509,0),0))</f>
        <v>37700</v>
      </c>
      <c r="H198" s="283">
        <f t="shared" ca="1" si="53"/>
        <v>0</v>
      </c>
      <c r="I198" s="283">
        <f t="shared" ca="1" si="54"/>
        <v>113100</v>
      </c>
      <c r="J198" s="283">
        <f t="shared" ca="1" si="55"/>
        <v>0</v>
      </c>
      <c r="K198" s="284">
        <f t="shared" ca="1" si="56"/>
        <v>113100</v>
      </c>
      <c r="L198" s="288"/>
      <c r="M198" s="288"/>
      <c r="N198" s="288"/>
      <c r="O198" s="285"/>
      <c r="P198" s="285"/>
      <c r="Q198" s="266"/>
      <c r="R198" s="258"/>
      <c r="S198" s="286"/>
      <c r="T198" s="263"/>
      <c r="U198" s="263"/>
      <c r="V198" s="263"/>
    </row>
    <row r="199" spans="1:22" s="289" customFormat="1" ht="14.25" customHeight="1">
      <c r="A199" s="258"/>
      <c r="B199" s="293">
        <v>5</v>
      </c>
      <c r="C199" s="494" t="s">
        <v>1674</v>
      </c>
      <c r="D199" s="280" t="s">
        <v>37</v>
      </c>
      <c r="E199" s="281" t="s">
        <v>14</v>
      </c>
      <c r="F199" s="290">
        <f>F151*1</f>
        <v>1</v>
      </c>
      <c r="G199" s="282">
        <v>5488400</v>
      </c>
      <c r="H199" s="283">
        <f t="shared" si="53"/>
        <v>0</v>
      </c>
      <c r="I199" s="283">
        <f t="shared" si="54"/>
        <v>5488400</v>
      </c>
      <c r="J199" s="283">
        <f t="shared" si="55"/>
        <v>0</v>
      </c>
      <c r="K199" s="284">
        <f t="shared" si="56"/>
        <v>5488400</v>
      </c>
      <c r="L199" s="288"/>
      <c r="M199" s="288"/>
      <c r="N199" s="288"/>
      <c r="O199" s="285"/>
      <c r="P199" s="285"/>
      <c r="Q199" s="266"/>
      <c r="R199" s="258"/>
      <c r="S199" s="286"/>
      <c r="T199" s="263"/>
      <c r="U199" s="263"/>
      <c r="V199" s="263"/>
    </row>
    <row r="200" spans="1:22" s="289" customFormat="1" ht="14.25" customHeight="1">
      <c r="A200" s="258"/>
      <c r="B200" s="293">
        <v>6</v>
      </c>
      <c r="C200" s="494" t="s">
        <v>1675</v>
      </c>
      <c r="D200" s="280" t="s">
        <v>37</v>
      </c>
      <c r="E200" s="281" t="s">
        <v>14</v>
      </c>
      <c r="F200" s="290">
        <f>(F151*1)</f>
        <v>1</v>
      </c>
      <c r="G200" s="282">
        <v>6240400</v>
      </c>
      <c r="H200" s="283">
        <f t="shared" si="53"/>
        <v>0</v>
      </c>
      <c r="I200" s="283">
        <f t="shared" si="54"/>
        <v>6240400</v>
      </c>
      <c r="J200" s="283">
        <f t="shared" si="55"/>
        <v>0</v>
      </c>
      <c r="K200" s="284">
        <f t="shared" si="56"/>
        <v>6240400</v>
      </c>
      <c r="L200" s="288"/>
      <c r="M200" s="288"/>
      <c r="N200" s="288"/>
      <c r="O200" s="285"/>
      <c r="P200" s="285"/>
      <c r="Q200" s="266"/>
      <c r="R200" s="258"/>
      <c r="S200" s="286"/>
      <c r="T200" s="263"/>
      <c r="U200" s="263"/>
      <c r="V200" s="263"/>
    </row>
    <row r="201" spans="1:22" s="289" customFormat="1" ht="14.25" customHeight="1">
      <c r="A201" s="258"/>
      <c r="B201" s="293">
        <v>7</v>
      </c>
      <c r="C201" s="494" t="s">
        <v>574</v>
      </c>
      <c r="D201" s="280" t="str">
        <f ca="1">IF(ISERROR(OFFSET('HARGA SATUAN'!$D$6,MATCH('RAB Standart'!C201,'HARGA SATUAN'!$C$7:$C$1509,0),0)),"",OFFSET('HARGA SATUAN'!$D$6,MATCH('RAB Standart'!C201,'HARGA SATUAN'!$C$7:$C$1509,0),0))</f>
        <v>HDW</v>
      </c>
      <c r="E201" s="281" t="str">
        <f ca="1">IF(B201="+","Unit",IF(ISERROR(OFFSET('HARGA SATUAN'!$E$6,MATCH('RAB Standart'!C201,'HARGA SATUAN'!$C$7:$C$1509,0),0)),"",OFFSET('HARGA SATUAN'!$E$6,MATCH('RAB Standart'!C201,'HARGA SATUAN'!$C$7:$C$1509,0),0)))</f>
        <v>Bh</v>
      </c>
      <c r="F201" s="290">
        <f>(F151*3)</f>
        <v>3</v>
      </c>
      <c r="G201" s="282">
        <f ca="1">IF(ISERROR(OFFSET('HARGA SATUAN'!$I$6,MATCH('RAB Standart'!C201,'HARGA SATUAN'!$C$7:$C$1509,0),0)),0,OFFSET('HARGA SATUAN'!$I$6,MATCH('RAB Standart'!C201,'HARGA SATUAN'!$C$7:$C$1509,0),0))</f>
        <v>49000</v>
      </c>
      <c r="H201" s="283">
        <f t="shared" ca="1" si="53"/>
        <v>0</v>
      </c>
      <c r="I201" s="283">
        <f t="shared" ca="1" si="54"/>
        <v>147000</v>
      </c>
      <c r="J201" s="283">
        <f t="shared" ca="1" si="55"/>
        <v>0</v>
      </c>
      <c r="K201" s="284">
        <f t="shared" ca="1" si="56"/>
        <v>147000</v>
      </c>
      <c r="L201" s="288"/>
      <c r="M201" s="288"/>
      <c r="N201" s="288"/>
      <c r="O201" s="285"/>
      <c r="P201" s="285"/>
      <c r="Q201" s="266"/>
      <c r="R201" s="258"/>
      <c r="S201" s="286"/>
      <c r="T201" s="263"/>
      <c r="U201" s="263"/>
      <c r="V201" s="263"/>
    </row>
    <row r="202" spans="1:22" s="289" customFormat="1" ht="14.25" customHeight="1">
      <c r="A202" s="258"/>
      <c r="B202" s="293">
        <v>8</v>
      </c>
      <c r="C202" s="494" t="s">
        <v>1578</v>
      </c>
      <c r="D202" s="280" t="str">
        <f ca="1">IF(ISERROR(OFFSET('HARGA SATUAN'!$D$6,MATCH('RAB Standart'!C202,'HARGA SATUAN'!$C$7:$C$1509,0),0)),"",OFFSET('HARGA SATUAN'!$D$6,MATCH('RAB Standart'!C202,'HARGA SATUAN'!$C$7:$C$1509,0),0))</f>
        <v>HDW</v>
      </c>
      <c r="E202" s="281" t="str">
        <f ca="1">IF(B202="+","Unit",IF(ISERROR(OFFSET('HARGA SATUAN'!$E$6,MATCH('RAB Standart'!C202,'HARGA SATUAN'!$C$7:$C$1509,0),0)),"",OFFSET('HARGA SATUAN'!$E$6,MATCH('RAB Standart'!C202,'HARGA SATUAN'!$C$7:$C$1509,0),0)))</f>
        <v>Bh</v>
      </c>
      <c r="F202" s="290">
        <f>(F151*3)*3</f>
        <v>9</v>
      </c>
      <c r="G202" s="282">
        <f ca="1">IF(ISERROR(OFFSET('HARGA SATUAN'!$I$6,MATCH('RAB Standart'!C202,'HARGA SATUAN'!$C$7:$C$1509,0),0)),0,OFFSET('HARGA SATUAN'!$I$6,MATCH('RAB Standart'!C202,'HARGA SATUAN'!$C$7:$C$1509,0),0))</f>
        <v>77000</v>
      </c>
      <c r="H202" s="283">
        <f t="shared" ca="1" si="53"/>
        <v>0</v>
      </c>
      <c r="I202" s="283">
        <f t="shared" ca="1" si="54"/>
        <v>693000</v>
      </c>
      <c r="J202" s="283">
        <f t="shared" ca="1" si="55"/>
        <v>0</v>
      </c>
      <c r="K202" s="284">
        <f t="shared" ca="1" si="56"/>
        <v>693000</v>
      </c>
      <c r="L202" s="288"/>
      <c r="M202" s="288"/>
      <c r="N202" s="288"/>
      <c r="O202" s="285"/>
      <c r="P202" s="285"/>
      <c r="Q202" s="266"/>
      <c r="R202" s="258"/>
      <c r="S202" s="286"/>
      <c r="T202" s="263"/>
      <c r="U202" s="263"/>
      <c r="V202" s="263"/>
    </row>
    <row r="203" spans="1:22" s="289" customFormat="1" ht="14.25" customHeight="1">
      <c r="A203" s="258"/>
      <c r="B203" s="293">
        <v>9</v>
      </c>
      <c r="C203" s="494" t="s">
        <v>28</v>
      </c>
      <c r="D203" s="280" t="str">
        <f ca="1">IF(ISERROR(OFFSET('HARGA SATUAN'!$D$6,MATCH('RAB Standart'!C203,'HARGA SATUAN'!$C$7:$C$1509,0),0)),"",OFFSET('HARGA SATUAN'!$D$6,MATCH('RAB Standart'!C203,'HARGA SATUAN'!$C$7:$C$1509,0),0))</f>
        <v>HDW</v>
      </c>
      <c r="E203" s="281" t="str">
        <f ca="1">IF(B203="+","Unit",IF(ISERROR(OFFSET('HARGA SATUAN'!$E$6,MATCH('RAB Standart'!C203,'HARGA SATUAN'!$C$7:$C$1509,0),0)),"",OFFSET('HARGA SATUAN'!$E$6,MATCH('RAB Standart'!C203,'HARGA SATUAN'!$C$7:$C$1509,0),0)))</f>
        <v>Bh</v>
      </c>
      <c r="F203" s="290">
        <f>F151*2</f>
        <v>2</v>
      </c>
      <c r="G203" s="282">
        <f ca="1">IF(ISERROR(OFFSET('HARGA SATUAN'!$I$6,MATCH('RAB Standart'!C203,'HARGA SATUAN'!$C$7:$C$1509,0),0)),0,OFFSET('HARGA SATUAN'!$I$6,MATCH('RAB Standart'!C203,'HARGA SATUAN'!$C$7:$C$1509,0),0))</f>
        <v>63500</v>
      </c>
      <c r="H203" s="283">
        <f t="shared" ca="1" si="53"/>
        <v>0</v>
      </c>
      <c r="I203" s="283">
        <f t="shared" ca="1" si="54"/>
        <v>127000</v>
      </c>
      <c r="J203" s="283">
        <f t="shared" ca="1" si="55"/>
        <v>0</v>
      </c>
      <c r="K203" s="284">
        <f t="shared" ca="1" si="56"/>
        <v>127000</v>
      </c>
      <c r="L203" s="288"/>
      <c r="M203" s="288"/>
      <c r="N203" s="288"/>
      <c r="O203" s="285"/>
      <c r="P203" s="285"/>
      <c r="Q203" s="266"/>
      <c r="R203" s="258"/>
      <c r="S203" s="286"/>
      <c r="T203" s="263"/>
      <c r="U203" s="263"/>
      <c r="V203" s="263"/>
    </row>
    <row r="204" spans="1:22" s="289" customFormat="1" ht="14.25" customHeight="1">
      <c r="A204" s="258"/>
      <c r="B204" s="293">
        <v>10</v>
      </c>
      <c r="C204" s="494" t="s">
        <v>259</v>
      </c>
      <c r="D204" s="280" t="str">
        <f ca="1">IF(ISERROR(OFFSET('HARGA SATUAN'!$D$6,MATCH('RAB Standart'!C204,'HARGA SATUAN'!$C$7:$C$1509,0),0)),"",OFFSET('HARGA SATUAN'!$D$6,MATCH('RAB Standart'!C204,'HARGA SATUAN'!$C$7:$C$1509,0),0))</f>
        <v>HDW</v>
      </c>
      <c r="E204" s="281" t="str">
        <f ca="1">IF(B204="+","Unit",IF(ISERROR(OFFSET('HARGA SATUAN'!$E$6,MATCH('RAB Standart'!C204,'HARGA SATUAN'!$C$7:$C$1509,0),0)),"",OFFSET('HARGA SATUAN'!$E$6,MATCH('RAB Standart'!C204,'HARGA SATUAN'!$C$7:$C$1509,0),0)))</f>
        <v>Mtr</v>
      </c>
      <c r="F204" s="290">
        <f>F151*3</f>
        <v>3</v>
      </c>
      <c r="G204" s="282">
        <f ca="1">IF(ISERROR(OFFSET('HARGA SATUAN'!$I$6,MATCH('RAB Standart'!C204,'HARGA SATUAN'!$C$7:$C$1509,0),0)),0,OFFSET('HARGA SATUAN'!$I$6,MATCH('RAB Standart'!C204,'HARGA SATUAN'!$C$7:$C$1509,0),0))</f>
        <v>23310</v>
      </c>
      <c r="H204" s="283">
        <f t="shared" ca="1" si="53"/>
        <v>0</v>
      </c>
      <c r="I204" s="283">
        <f t="shared" ca="1" si="54"/>
        <v>69930</v>
      </c>
      <c r="J204" s="283">
        <f t="shared" ca="1" si="55"/>
        <v>0</v>
      </c>
      <c r="K204" s="284">
        <f t="shared" ca="1" si="56"/>
        <v>69930</v>
      </c>
      <c r="L204" s="288"/>
      <c r="M204" s="288"/>
      <c r="N204" s="288"/>
      <c r="O204" s="285"/>
      <c r="P204" s="285"/>
      <c r="Q204" s="266"/>
      <c r="R204" s="258"/>
      <c r="S204" s="286"/>
      <c r="T204" s="263"/>
      <c r="U204" s="263"/>
      <c r="V204" s="263"/>
    </row>
    <row r="205" spans="1:22" s="289" customFormat="1" ht="14.25" customHeight="1">
      <c r="A205" s="258"/>
      <c r="B205" s="293">
        <v>11</v>
      </c>
      <c r="C205" s="494" t="s">
        <v>25</v>
      </c>
      <c r="D205" s="280" t="str">
        <f ca="1">IF(ISERROR(OFFSET('HARGA SATUAN'!$D$6,MATCH('RAB Standart'!C205,'HARGA SATUAN'!$C$7:$C$1509,0),0)),"",OFFSET('HARGA SATUAN'!$D$6,MATCH('RAB Standart'!C205,'HARGA SATUAN'!$C$7:$C$1509,0),0))</f>
        <v>HDW</v>
      </c>
      <c r="E205" s="281" t="str">
        <f ca="1">IF(B205="+","Unit",IF(ISERROR(OFFSET('HARGA SATUAN'!$E$6,MATCH('RAB Standart'!C205,'HARGA SATUAN'!$C$7:$C$1509,0),0)),"",OFFSET('HARGA SATUAN'!$E$6,MATCH('RAB Standart'!C205,'HARGA SATUAN'!$C$7:$C$1509,0),0)))</f>
        <v>Bh</v>
      </c>
      <c r="F205" s="290">
        <f>F151*3</f>
        <v>3</v>
      </c>
      <c r="G205" s="282">
        <f ca="1">IF(ISERROR(OFFSET('HARGA SATUAN'!$I$6,MATCH('RAB Standart'!C205,'HARGA SATUAN'!$C$7:$C$1509,0),0)),0,OFFSET('HARGA SATUAN'!$I$6,MATCH('RAB Standart'!C205,'HARGA SATUAN'!$C$7:$C$1509,0),0))</f>
        <v>2300</v>
      </c>
      <c r="H205" s="283">
        <f t="shared" ca="1" si="53"/>
        <v>0</v>
      </c>
      <c r="I205" s="283">
        <f t="shared" ca="1" si="54"/>
        <v>6900</v>
      </c>
      <c r="J205" s="283">
        <f t="shared" ca="1" si="55"/>
        <v>0</v>
      </c>
      <c r="K205" s="284">
        <f t="shared" ca="1" si="56"/>
        <v>6900</v>
      </c>
      <c r="L205" s="288"/>
      <c r="M205" s="288"/>
      <c r="N205" s="288"/>
      <c r="O205" s="285"/>
      <c r="P205" s="285"/>
      <c r="Q205" s="266"/>
      <c r="R205" s="258"/>
      <c r="S205" s="286"/>
      <c r="T205" s="263"/>
      <c r="U205" s="263"/>
      <c r="V205" s="263"/>
    </row>
    <row r="206" spans="1:22" s="289" customFormat="1" ht="14.25" customHeight="1">
      <c r="A206" s="258"/>
      <c r="B206" s="293">
        <v>12</v>
      </c>
      <c r="C206" s="494" t="s">
        <v>16</v>
      </c>
      <c r="D206" s="280" t="str">
        <f ca="1">IF(ISERROR(OFFSET('HARGA SATUAN'!$D$6,MATCH('RAB Standart'!C206,'HARGA SATUAN'!$C$7:$C$1509,0),0)),"",OFFSET('HARGA SATUAN'!$D$6,MATCH('RAB Standart'!C206,'HARGA SATUAN'!$C$7:$C$1509,0),0))</f>
        <v>HDW</v>
      </c>
      <c r="E206" s="281" t="str">
        <f ca="1">IF(B206="+","Unit",IF(ISERROR(OFFSET('HARGA SATUAN'!$E$6,MATCH('RAB Standart'!C206,'HARGA SATUAN'!$C$7:$C$1509,0),0)),"",OFFSET('HARGA SATUAN'!$E$6,MATCH('RAB Standart'!C206,'HARGA SATUAN'!$C$7:$C$1509,0),0)))</f>
        <v>Bh</v>
      </c>
      <c r="F206" s="290">
        <f>F151*4</f>
        <v>4</v>
      </c>
      <c r="G206" s="282">
        <f ca="1">IF(ISERROR(OFFSET('HARGA SATUAN'!$I$6,MATCH('RAB Standart'!C206,'HARGA SATUAN'!$C$7:$C$1509,0),0)),0,OFFSET('HARGA SATUAN'!$I$6,MATCH('RAB Standart'!C206,'HARGA SATUAN'!$C$7:$C$1509,0),0))</f>
        <v>2500</v>
      </c>
      <c r="H206" s="283">
        <f t="shared" ca="1" si="53"/>
        <v>0</v>
      </c>
      <c r="I206" s="283">
        <f t="shared" ca="1" si="54"/>
        <v>10000</v>
      </c>
      <c r="J206" s="283">
        <f t="shared" ca="1" si="55"/>
        <v>0</v>
      </c>
      <c r="K206" s="284">
        <f t="shared" ca="1" si="56"/>
        <v>10000</v>
      </c>
      <c r="L206" s="288"/>
      <c r="M206" s="288"/>
      <c r="N206" s="288"/>
      <c r="O206" s="285"/>
      <c r="P206" s="285"/>
      <c r="Q206" s="266"/>
      <c r="R206" s="258"/>
      <c r="S206" s="286"/>
      <c r="T206" s="263"/>
      <c r="U206" s="263"/>
      <c r="V206" s="263"/>
    </row>
    <row r="207" spans="1:22" s="289" customFormat="1" ht="14.25" customHeight="1">
      <c r="A207" s="258"/>
      <c r="B207" s="293">
        <v>13</v>
      </c>
      <c r="C207" s="494" t="s">
        <v>465</v>
      </c>
      <c r="D207" s="280" t="str">
        <f ca="1">IF(ISERROR(OFFSET('HARGA SATUAN'!$D$6,MATCH('RAB Standart'!C207,'HARGA SATUAN'!$C$7:$C$1509,0),0)),"",OFFSET('HARGA SATUAN'!$D$6,MATCH('RAB Standart'!C207,'HARGA SATUAN'!$C$7:$C$1509,0),0))</f>
        <v>HDW</v>
      </c>
      <c r="E207" s="281" t="str">
        <f ca="1">IF(B207="+","Unit",IF(ISERROR(OFFSET('HARGA SATUAN'!$E$6,MATCH('RAB Standart'!C207,'HARGA SATUAN'!$C$7:$C$1509,0),0)),"",OFFSET('HARGA SATUAN'!$E$6,MATCH('RAB Standart'!C207,'HARGA SATUAN'!$C$7:$C$1509,0),0)))</f>
        <v>Bh</v>
      </c>
      <c r="F207" s="290">
        <f>F151*2</f>
        <v>2</v>
      </c>
      <c r="G207" s="282">
        <f ca="1">IF(ISERROR(OFFSET('HARGA SATUAN'!$I$6,MATCH('RAB Standart'!C207,'HARGA SATUAN'!$C$7:$C$1509,0),0)),0,OFFSET('HARGA SATUAN'!$I$6,MATCH('RAB Standart'!C207,'HARGA SATUAN'!$C$7:$C$1509,0),0))</f>
        <v>680475</v>
      </c>
      <c r="H207" s="283">
        <f t="shared" ca="1" si="53"/>
        <v>0</v>
      </c>
      <c r="I207" s="283">
        <f t="shared" ca="1" si="54"/>
        <v>1360950</v>
      </c>
      <c r="J207" s="283">
        <f t="shared" ca="1" si="55"/>
        <v>0</v>
      </c>
      <c r="K207" s="284">
        <f t="shared" ca="1" si="56"/>
        <v>1360950</v>
      </c>
      <c r="L207" s="288"/>
      <c r="M207" s="288"/>
      <c r="N207" s="288"/>
      <c r="O207" s="285"/>
      <c r="P207" s="285"/>
      <c r="Q207" s="266"/>
      <c r="R207" s="258"/>
      <c r="S207" s="286"/>
      <c r="T207" s="263"/>
      <c r="U207" s="263"/>
      <c r="V207" s="263"/>
    </row>
    <row r="208" spans="1:22" s="289" customFormat="1" ht="14.25" customHeight="1">
      <c r="A208" s="258"/>
      <c r="B208" s="293">
        <v>14</v>
      </c>
      <c r="C208" s="494" t="s">
        <v>1628</v>
      </c>
      <c r="D208" s="280" t="str">
        <f ca="1">IF(ISERROR(OFFSET('HARGA SATUAN'!$D$6,MATCH('RAB Standart'!C208,'HARGA SATUAN'!$C$7:$C$1509,0),0)),"",OFFSET('HARGA SATUAN'!$D$6,MATCH('RAB Standart'!C208,'HARGA SATUAN'!$C$7:$C$1509,0),0))</f>
        <v>HDW</v>
      </c>
      <c r="E208" s="281" t="str">
        <f ca="1">IF(B208="+","Unit",IF(ISERROR(OFFSET('HARGA SATUAN'!$E$6,MATCH('RAB Standart'!C208,'HARGA SATUAN'!$C$7:$C$1509,0),0)),"",OFFSET('HARGA SATUAN'!$E$6,MATCH('RAB Standart'!C208,'HARGA SATUAN'!$C$7:$C$1509,0),0)))</f>
        <v>Bh</v>
      </c>
      <c r="F208" s="290">
        <f>F151*1</f>
        <v>1</v>
      </c>
      <c r="G208" s="282">
        <f ca="1">IF(ISERROR(OFFSET('HARGA SATUAN'!$I$6,MATCH('RAB Standart'!C208,'HARGA SATUAN'!$C$7:$C$1509,0),0)),0,OFFSET('HARGA SATUAN'!$I$6,MATCH('RAB Standart'!C208,'HARGA SATUAN'!$C$7:$C$1509,0),0))</f>
        <v>25100</v>
      </c>
      <c r="H208" s="283">
        <f t="shared" ca="1" si="53"/>
        <v>0</v>
      </c>
      <c r="I208" s="283">
        <f t="shared" ca="1" si="54"/>
        <v>25100</v>
      </c>
      <c r="J208" s="283">
        <f t="shared" ca="1" si="55"/>
        <v>0</v>
      </c>
      <c r="K208" s="284">
        <f t="shared" ca="1" si="56"/>
        <v>25100</v>
      </c>
      <c r="L208" s="288"/>
      <c r="M208" s="288"/>
      <c r="N208" s="288"/>
      <c r="O208" s="285"/>
      <c r="P208" s="285"/>
      <c r="Q208" s="266"/>
      <c r="R208" s="258"/>
      <c r="S208" s="286"/>
      <c r="T208" s="263"/>
      <c r="U208" s="263"/>
      <c r="V208" s="263"/>
    </row>
    <row r="209" spans="1:22" s="289" customFormat="1" ht="14.25" customHeight="1">
      <c r="A209" s="258"/>
      <c r="B209" s="293">
        <v>15</v>
      </c>
      <c r="C209" s="494" t="s">
        <v>287</v>
      </c>
      <c r="D209" s="280" t="str">
        <f ca="1">IF(ISERROR(OFFSET('HARGA SATUAN'!$D$6,MATCH('RAB Standart'!C209,'HARGA SATUAN'!$C$7:$C$1509,0),0)),"",OFFSET('HARGA SATUAN'!$D$6,MATCH('RAB Standart'!C209,'HARGA SATUAN'!$C$7:$C$1509,0),0))</f>
        <v>HDW</v>
      </c>
      <c r="E209" s="281" t="str">
        <f ca="1">IF(B209="+","Unit",IF(ISERROR(OFFSET('HARGA SATUAN'!$E$6,MATCH('RAB Standart'!C209,'HARGA SATUAN'!$C$7:$C$1509,0),0)),"",OFFSET('HARGA SATUAN'!$E$6,MATCH('RAB Standart'!C209,'HARGA SATUAN'!$C$7:$C$1509,0),0)))</f>
        <v>Bh</v>
      </c>
      <c r="F209" s="290">
        <f>F151*4</f>
        <v>4</v>
      </c>
      <c r="G209" s="282">
        <f ca="1">IF(ISERROR(OFFSET('HARGA SATUAN'!$I$6,MATCH('RAB Standart'!C209,'HARGA SATUAN'!$C$7:$C$1509,0),0)),0,OFFSET('HARGA SATUAN'!$I$6,MATCH('RAB Standart'!C209,'HARGA SATUAN'!$C$7:$C$1509,0),0))</f>
        <v>12500</v>
      </c>
      <c r="H209" s="283">
        <f t="shared" ca="1" si="53"/>
        <v>0</v>
      </c>
      <c r="I209" s="283">
        <f t="shared" ca="1" si="54"/>
        <v>50000</v>
      </c>
      <c r="J209" s="283">
        <f t="shared" ca="1" si="55"/>
        <v>0</v>
      </c>
      <c r="K209" s="284">
        <f t="shared" ca="1" si="56"/>
        <v>50000</v>
      </c>
      <c r="L209" s="288"/>
      <c r="M209" s="288"/>
      <c r="N209" s="288"/>
      <c r="O209" s="285"/>
      <c r="P209" s="285"/>
      <c r="Q209" s="266"/>
      <c r="R209" s="258"/>
      <c r="S209" s="286"/>
      <c r="T209" s="263"/>
      <c r="U209" s="263"/>
      <c r="V209" s="263"/>
    </row>
    <row r="210" spans="1:22" s="289" customFormat="1" ht="14.25" customHeight="1">
      <c r="A210" s="258"/>
      <c r="B210" s="293">
        <v>16</v>
      </c>
      <c r="C210" s="494" t="s">
        <v>609</v>
      </c>
      <c r="D210" s="280" t="str">
        <f ca="1">IF(ISERROR(OFFSET('HARGA SATUAN'!$D$6,MATCH('RAB Standart'!C210,'HARGA SATUAN'!$C$7:$C$1509,0),0)),"",OFFSET('HARGA SATUAN'!$D$6,MATCH('RAB Standart'!C210,'HARGA SATUAN'!$C$7:$C$1509,0),0))</f>
        <v>HDW</v>
      </c>
      <c r="E210" s="281" t="str">
        <f ca="1">IF(B210="+","Unit",IF(ISERROR(OFFSET('HARGA SATUAN'!$E$6,MATCH('RAB Standart'!C210,'HARGA SATUAN'!$C$7:$C$1509,0),0)),"",OFFSET('HARGA SATUAN'!$E$6,MATCH('RAB Standart'!C210,'HARGA SATUAN'!$C$7:$C$1509,0),0)))</f>
        <v>Bh</v>
      </c>
      <c r="F210" s="290">
        <f>F151*3</f>
        <v>3</v>
      </c>
      <c r="G210" s="282">
        <f ca="1">IF(ISERROR(OFFSET('HARGA SATUAN'!$I$6,MATCH('RAB Standart'!C210,'HARGA SATUAN'!$C$7:$C$1509,0),0)),0,OFFSET('HARGA SATUAN'!$I$6,MATCH('RAB Standart'!C210,'HARGA SATUAN'!$C$7:$C$1509,0),0))</f>
        <v>8900</v>
      </c>
      <c r="H210" s="283">
        <f t="shared" ca="1" si="53"/>
        <v>0</v>
      </c>
      <c r="I210" s="283">
        <f t="shared" ca="1" si="54"/>
        <v>26700</v>
      </c>
      <c r="J210" s="283">
        <f t="shared" ca="1" si="55"/>
        <v>0</v>
      </c>
      <c r="K210" s="284">
        <f t="shared" ca="1" si="56"/>
        <v>26700</v>
      </c>
      <c r="L210" s="288"/>
      <c r="M210" s="288"/>
      <c r="N210" s="288"/>
      <c r="O210" s="285"/>
      <c r="P210" s="285"/>
      <c r="Q210" s="266"/>
      <c r="R210" s="258"/>
      <c r="S210" s="286"/>
      <c r="T210" s="263"/>
      <c r="U210" s="263"/>
      <c r="V210" s="263"/>
    </row>
    <row r="211" spans="1:22" s="289" customFormat="1" ht="14.25" customHeight="1">
      <c r="A211" s="258"/>
      <c r="B211" s="293">
        <v>17</v>
      </c>
      <c r="C211" s="494" t="s">
        <v>787</v>
      </c>
      <c r="D211" s="280" t="str">
        <f ca="1">IF(ISERROR(OFFSET('HARGA SATUAN'!$D$6,MATCH('RAB Standart'!C211,'HARGA SATUAN'!$C$7:$C$1509,0),0)),"",OFFSET('HARGA SATUAN'!$D$6,MATCH('RAB Standart'!C211,'HARGA SATUAN'!$C$7:$C$1509,0),0))</f>
        <v>JASA</v>
      </c>
      <c r="E211" s="281" t="str">
        <f ca="1">IF(B211="+","Unit",IF(ISERROR(OFFSET('HARGA SATUAN'!$E$6,MATCH('RAB Standart'!C211,'HARGA SATUAN'!$C$7:$C$1509,0),0)),"",OFFSET('HARGA SATUAN'!$E$6,MATCH('RAB Standart'!C211,'HARGA SATUAN'!$C$7:$C$1509,0),0)))</f>
        <v>Per 1 m</v>
      </c>
      <c r="F211" s="290">
        <f>F195/3</f>
        <v>25</v>
      </c>
      <c r="G211" s="282">
        <f ca="1">IF(ISERROR(OFFSET('HARGA SATUAN'!$I$6,MATCH('RAB Standart'!C211,'HARGA SATUAN'!$C$7:$C$1509,0),0)),0,OFFSET('HARGA SATUAN'!$I$6,MATCH('RAB Standart'!C211,'HARGA SATUAN'!$C$7:$C$1509,0),0))</f>
        <v>33700</v>
      </c>
      <c r="H211" s="283">
        <f t="shared" ca="1" si="53"/>
        <v>0</v>
      </c>
      <c r="I211" s="283">
        <f t="shared" ca="1" si="54"/>
        <v>0</v>
      </c>
      <c r="J211" s="283">
        <f t="shared" ca="1" si="55"/>
        <v>842500</v>
      </c>
      <c r="K211" s="284">
        <f t="shared" ca="1" si="56"/>
        <v>842500</v>
      </c>
      <c r="L211" s="288"/>
      <c r="M211" s="288"/>
      <c r="N211" s="288"/>
      <c r="O211" s="285"/>
      <c r="P211" s="285"/>
      <c r="Q211" s="266"/>
      <c r="R211" s="258"/>
      <c r="S211" s="286"/>
      <c r="T211" s="263"/>
      <c r="U211" s="263"/>
      <c r="V211" s="263"/>
    </row>
    <row r="212" spans="1:22" s="289" customFormat="1" ht="14.25" customHeight="1">
      <c r="A212" s="258"/>
      <c r="B212" s="293">
        <v>18</v>
      </c>
      <c r="C212" s="494" t="s">
        <v>785</v>
      </c>
      <c r="D212" s="280" t="str">
        <f ca="1">IF(ISERROR(OFFSET('HARGA SATUAN'!$D$6,MATCH('RAB Standart'!C212,'HARGA SATUAN'!$C$7:$C$1509,0),0)),"",OFFSET('HARGA SATUAN'!$D$6,MATCH('RAB Standart'!C212,'HARGA SATUAN'!$C$7:$C$1509,0),0))</f>
        <v>JASA</v>
      </c>
      <c r="E212" s="281" t="str">
        <f ca="1">IF(B212="+","Unit",IF(ISERROR(OFFSET('HARGA SATUAN'!$E$6,MATCH('RAB Standart'!C212,'HARGA SATUAN'!$C$7:$C$1509,0),0)),"",OFFSET('HARGA SATUAN'!$E$6,MATCH('RAB Standart'!C212,'HARGA SATUAN'!$C$7:$C$1509,0),0)))</f>
        <v>Per 1 m</v>
      </c>
      <c r="F212" s="290">
        <f>F196</f>
        <v>25</v>
      </c>
      <c r="G212" s="282">
        <f ca="1">IF(ISERROR(OFFSET('HARGA SATUAN'!$I$6,MATCH('RAB Standart'!C212,'HARGA SATUAN'!$C$7:$C$1509,0),0)),0,OFFSET('HARGA SATUAN'!$I$6,MATCH('RAB Standart'!C212,'HARGA SATUAN'!$C$7:$C$1509,0),0))</f>
        <v>700</v>
      </c>
      <c r="H212" s="283">
        <f t="shared" ca="1" si="53"/>
        <v>0</v>
      </c>
      <c r="I212" s="283">
        <f t="shared" ca="1" si="54"/>
        <v>0</v>
      </c>
      <c r="J212" s="283">
        <f t="shared" ca="1" si="55"/>
        <v>17500</v>
      </c>
      <c r="K212" s="284">
        <f t="shared" ca="1" si="56"/>
        <v>17500</v>
      </c>
      <c r="L212" s="288"/>
      <c r="M212" s="288"/>
      <c r="N212" s="288"/>
      <c r="O212" s="285"/>
      <c r="P212" s="285"/>
      <c r="Q212" s="266"/>
      <c r="R212" s="258"/>
      <c r="S212" s="286"/>
      <c r="T212" s="263"/>
      <c r="U212" s="263"/>
      <c r="V212" s="263"/>
    </row>
    <row r="213" spans="1:22" s="289" customFormat="1" ht="14.25" customHeight="1">
      <c r="A213" s="258"/>
      <c r="B213" s="293">
        <v>19</v>
      </c>
      <c r="C213" s="494" t="s">
        <v>1582</v>
      </c>
      <c r="D213" s="280" t="s">
        <v>39</v>
      </c>
      <c r="E213" s="281" t="s">
        <v>11</v>
      </c>
      <c r="F213" s="290">
        <f>1*F151</f>
        <v>1</v>
      </c>
      <c r="G213" s="282">
        <v>569629.99903164257</v>
      </c>
      <c r="H213" s="283">
        <f t="shared" si="53"/>
        <v>0</v>
      </c>
      <c r="I213" s="283">
        <f t="shared" si="54"/>
        <v>0</v>
      </c>
      <c r="J213" s="283">
        <f t="shared" si="55"/>
        <v>569629.99903164257</v>
      </c>
      <c r="K213" s="284">
        <f t="shared" si="56"/>
        <v>569629.99903164257</v>
      </c>
      <c r="L213" s="288"/>
      <c r="M213" s="288"/>
      <c r="N213" s="288"/>
      <c r="O213" s="285"/>
      <c r="P213" s="285"/>
      <c r="Q213" s="266"/>
      <c r="R213" s="258"/>
      <c r="S213" s="286"/>
      <c r="T213" s="263"/>
      <c r="U213" s="263"/>
      <c r="V213" s="263"/>
    </row>
    <row r="214" spans="1:22" s="289" customFormat="1" ht="14.25" customHeight="1">
      <c r="A214" s="258"/>
      <c r="B214" s="293">
        <v>20</v>
      </c>
      <c r="C214" s="494" t="s">
        <v>1583</v>
      </c>
      <c r="D214" s="280" t="s">
        <v>39</v>
      </c>
      <c r="E214" s="281" t="s">
        <v>11</v>
      </c>
      <c r="F214" s="290">
        <f>F151*1</f>
        <v>1</v>
      </c>
      <c r="G214" s="282">
        <v>659799.30669751228</v>
      </c>
      <c r="H214" s="283">
        <f t="shared" si="53"/>
        <v>0</v>
      </c>
      <c r="I214" s="283">
        <f t="shared" si="54"/>
        <v>0</v>
      </c>
      <c r="J214" s="283">
        <f t="shared" si="55"/>
        <v>659799.30669751228</v>
      </c>
      <c r="K214" s="284">
        <f t="shared" si="56"/>
        <v>659799.30669751228</v>
      </c>
      <c r="L214" s="288"/>
      <c r="M214" s="288"/>
      <c r="N214" s="288"/>
      <c r="O214" s="285"/>
      <c r="P214" s="285"/>
      <c r="Q214" s="266"/>
      <c r="R214" s="258"/>
      <c r="S214" s="286"/>
      <c r="T214" s="263"/>
      <c r="U214" s="263"/>
      <c r="V214" s="263"/>
    </row>
    <row r="215" spans="1:22" s="289" customFormat="1">
      <c r="A215" s="258"/>
      <c r="B215" s="524"/>
      <c r="C215" s="525"/>
      <c r="D215" s="280" t="str">
        <f ca="1">IF(ISERROR(OFFSET('HARGA SATUAN'!$D$6,MATCH('RAB Standart'!C215,'HARGA SATUAN'!$C$7:$C$1509,0),0)),"",OFFSET('HARGA SATUAN'!$D$6,MATCH('RAB Standart'!C215,'HARGA SATUAN'!$C$7:$C$1509,0),0))</f>
        <v/>
      </c>
      <c r="E215" s="281" t="str">
        <f ca="1">IF(B215="+","Unit",IF(ISERROR(OFFSET('HARGA SATUAN'!$E$6,MATCH('RAB Standart'!C215,'HARGA SATUAN'!$C$7:$C$1509,0),0)),"",OFFSET('HARGA SATUAN'!$E$6,MATCH('RAB Standart'!C215,'HARGA SATUAN'!$C$7:$C$1509,0),0)))</f>
        <v/>
      </c>
      <c r="F215" s="294"/>
      <c r="G215" s="282">
        <f ca="1">IF(ISERROR(OFFSET('HARGA SATUAN'!$I$6,MATCH('RAB Standart'!C215,'HARGA SATUAN'!$C$7:$C$1509,0),0)),0,OFFSET('HARGA SATUAN'!$I$6,MATCH('RAB Standart'!C215,'HARGA SATUAN'!$C$7:$C$1509,0),0))</f>
        <v>0</v>
      </c>
      <c r="H215" s="283">
        <f t="shared" ref="H215" ca="1" si="57">IF(OR(D215="MDU",D215="MDU-KD"),(IF($O$3="RAB NON MDU","PLN KD",G215*F215)),0)</f>
        <v>0</v>
      </c>
      <c r="I215" s="283">
        <f t="shared" ref="I215" ca="1" si="58">IF(D215="HDW",G215*F215,0)</f>
        <v>0</v>
      </c>
      <c r="J215" s="283">
        <f t="shared" ref="J215" ca="1" si="59">IF(D215="JASA",G215*F215,0)</f>
        <v>0</v>
      </c>
      <c r="K215" s="284">
        <f t="shared" ref="K215" ca="1" si="60">SUM(H215:J215)</f>
        <v>0</v>
      </c>
      <c r="L215" s="288"/>
      <c r="M215" s="288"/>
      <c r="N215" s="288"/>
      <c r="O215" s="285"/>
      <c r="P215" s="285"/>
      <c r="Q215" s="266"/>
      <c r="R215" s="258"/>
      <c r="S215" s="286"/>
      <c r="T215" s="263"/>
      <c r="U215" s="263"/>
      <c r="V215" s="263"/>
    </row>
    <row r="216" spans="1:22">
      <c r="B216" s="297"/>
      <c r="C216" s="298" t="s">
        <v>468</v>
      </c>
      <c r="D216" s="280" t="str">
        <f ca="1">IF(ISERROR(OFFSET('HARGA SATUAN'!$D$6,MATCH('RAB Standart'!C216,'HARGA SATUAN'!$C$7:$C$1509,0),0)),"",OFFSET('HARGA SATUAN'!$D$6,MATCH('RAB Standart'!C216,'HARGA SATUAN'!$C$7:$C$1509,0),0))</f>
        <v/>
      </c>
      <c r="E216" s="281" t="str">
        <f ca="1">IF(B216="+","Unit",IF(ISERROR(OFFSET('HARGA SATUAN'!$E$6,MATCH('RAB Standart'!C216,'HARGA SATUAN'!$C$7:$C$1509,0),0)),"",OFFSET('HARGA SATUAN'!$E$6,MATCH('RAB Standart'!C216,'HARGA SATUAN'!$C$7:$C$1509,0),0)))</f>
        <v/>
      </c>
      <c r="F216" s="299"/>
      <c r="G216" s="282">
        <f ca="1">IF(ISERROR(OFFSET('HARGA SATUAN'!$I$6,MATCH('RAB Standart'!C216,'HARGA SATUAN'!$C$7:$C$1509,0),0)),0,OFFSET('HARGA SATUAN'!$I$6,MATCH('RAB Standart'!C216,'HARGA SATUAN'!$C$7:$C$1509,0),0))</f>
        <v>0</v>
      </c>
      <c r="H216" s="283">
        <f ca="1">IF(OR(D216="MDU",D216="MDU-KD"),(IF($O$3="RAB NON MDU","PLN KD",G216*F216)),0)</f>
        <v>0</v>
      </c>
      <c r="I216" s="283">
        <f ca="1">IF(D216="HDW",G216*F216,0)</f>
        <v>0</v>
      </c>
      <c r="J216" s="283">
        <f ca="1">IF(D216="JASA",G216*F216,0)</f>
        <v>0</v>
      </c>
      <c r="K216" s="284">
        <f ca="1">SUM(H216:J216)</f>
        <v>0</v>
      </c>
    </row>
    <row r="217" spans="1:22">
      <c r="B217" s="300">
        <v>1</v>
      </c>
      <c r="C217" s="301" t="s">
        <v>1064</v>
      </c>
      <c r="D217" s="302" t="str">
        <f ca="1">IF(ISERROR(OFFSET('HARGA SATUAN'!$D$6,MATCH('RAB Standart'!C217,'HARGA SATUAN'!$C$7:$C$1509,0),0)),"",OFFSET('HARGA SATUAN'!$D$6,MATCH('RAB Standart'!C217,'HARGA SATUAN'!$C$7:$C$1509,0),0))</f>
        <v>JASA</v>
      </c>
      <c r="E217" s="303" t="str">
        <f ca="1">IF(ISERROR(OFFSET('HARGA SATUAN'!$E$6,MATCH('RAB Standart'!C217,'HARGA SATUAN'!$C$7:$C$1509,0),0)),"",OFFSET('HARGA SATUAN'!$E$6,MATCH('RAB Standart'!C217,'HARGA SATUAN'!$C$7:$C$1509,0),0))</f>
        <v>Lot</v>
      </c>
      <c r="F217" s="304">
        <v>1</v>
      </c>
      <c r="G217" s="305">
        <f ca="1">IF(ISERROR(OFFSET('HARGA SATUAN'!$I$6,MATCH('RAB Standart'!C217,'HARGA SATUAN'!$C$7:$C$1509,0),0)),0,OFFSET('HARGA SATUAN'!$I$6,MATCH('RAB Standart'!C217,'HARGA SATUAN'!$C$7:$C$1509,0),0))</f>
        <v>2.5000000000000001E-2</v>
      </c>
      <c r="H217" s="306"/>
      <c r="I217" s="306"/>
      <c r="J217" s="306">
        <f ca="1">SUM(K19:K129)*G217</f>
        <v>613704.3550000001</v>
      </c>
      <c r="K217" s="307">
        <f ca="1">SUM(H217:J217)</f>
        <v>613704.3550000001</v>
      </c>
    </row>
    <row r="218" spans="1:22">
      <c r="B218" s="308"/>
      <c r="C218" s="309"/>
      <c r="D218" s="280" t="str">
        <f ca="1">IF(ISERROR(OFFSET('HARGA SATUAN'!$D$6,MATCH('RAB Standart'!C218,'HARGA SATUAN'!$C$7:$C$1509,0),0)),"",OFFSET('HARGA SATUAN'!$D$6,MATCH('RAB Standart'!C218,'HARGA SATUAN'!$C$7:$C$1509,0),0))</f>
        <v/>
      </c>
      <c r="E218" s="281" t="str">
        <f ca="1">IF(ISERROR(OFFSET('HARGA SATUAN'!$E$6,MATCH('RAB Standart'!C218,'HARGA SATUAN'!$C$7:$C$1509,0),0)),"",OFFSET('HARGA SATUAN'!$E$6,MATCH('RAB Standart'!C218,'HARGA SATUAN'!$C$7:$C$1509,0),0))</f>
        <v/>
      </c>
      <c r="F218" s="299"/>
      <c r="G218" s="282" t="str">
        <f ca="1">IF(ISERROR(OFFSET('HARGA SATUAN'!$I$6,MATCH('RAB Standart'!C218,'HARGA SATUAN'!$C$7:$C$1509,0),0)),"",OFFSET('HARGA SATUAN'!$I$6,MATCH('RAB Standart'!C218,'HARGA SATUAN'!$C$7:$C$1509,0),0))</f>
        <v/>
      </c>
      <c r="H218" s="283">
        <f ca="1">IF(OR(D218="MDU",D218="MDU-KD"),IF(G218="PLN",0,G218*F218),0)</f>
        <v>0</v>
      </c>
      <c r="I218" s="283">
        <f ca="1">IF(D218="HDW",IF(G218="PLN",0,G218*F218),0)</f>
        <v>0</v>
      </c>
      <c r="J218" s="283">
        <f ca="1">IF(D218="JASA",IF(G218="PLN",0,G218*F218),0)</f>
        <v>0</v>
      </c>
      <c r="K218" s="284">
        <f ca="1">SUM(H218:J218)</f>
        <v>0</v>
      </c>
    </row>
    <row r="219" spans="1:22" ht="15.75" thickBot="1">
      <c r="B219" s="310"/>
      <c r="C219" s="311"/>
      <c r="D219" s="312"/>
      <c r="E219" s="313"/>
      <c r="F219" s="313"/>
      <c r="G219" s="313"/>
      <c r="H219" s="314"/>
      <c r="I219" s="314"/>
      <c r="J219" s="314"/>
      <c r="K219" s="315"/>
    </row>
    <row r="220" spans="1:22">
      <c r="B220" s="316"/>
      <c r="C220" s="648" t="s">
        <v>984</v>
      </c>
      <c r="D220" s="648"/>
      <c r="E220" s="648"/>
      <c r="F220" s="648"/>
      <c r="G220" s="317" t="s">
        <v>9</v>
      </c>
      <c r="H220" s="318">
        <f ca="1">SUM(H14:H218)</f>
        <v>247922000</v>
      </c>
      <c r="I220" s="318">
        <f ca="1">SUM(I14:I218)</f>
        <v>67216383.200000003</v>
      </c>
      <c r="J220" s="318">
        <f ca="1">SUM(J14:J218)</f>
        <v>9534493.6607291549</v>
      </c>
      <c r="K220" s="318">
        <f ca="1">SUM(K14:K218)</f>
        <v>324672876.86072916</v>
      </c>
    </row>
    <row r="221" spans="1:22">
      <c r="B221" s="319"/>
      <c r="C221" s="631" t="s">
        <v>1426</v>
      </c>
      <c r="D221" s="631"/>
      <c r="E221" s="631"/>
      <c r="F221" s="631"/>
      <c r="G221" s="320" t="s">
        <v>9</v>
      </c>
      <c r="H221" s="321">
        <f ca="1">H220*0.11</f>
        <v>27271420</v>
      </c>
      <c r="I221" s="321">
        <f ca="1">I220*0.11</f>
        <v>7393802.1520000007</v>
      </c>
      <c r="J221" s="321">
        <f ca="1">J220*0.11</f>
        <v>1048794.302680207</v>
      </c>
      <c r="K221" s="321">
        <f ca="1">K220*0.11</f>
        <v>35714016.454680204</v>
      </c>
    </row>
    <row r="222" spans="1:22" ht="15.75" thickBot="1">
      <c r="B222" s="319"/>
      <c r="C222" s="629" t="s">
        <v>456</v>
      </c>
      <c r="D222" s="629"/>
      <c r="E222" s="629"/>
      <c r="F222" s="629"/>
      <c r="G222" s="322" t="s">
        <v>9</v>
      </c>
      <c r="H222" s="323">
        <f ca="1">SUM(H220:H221)</f>
        <v>275193420</v>
      </c>
      <c r="I222" s="323">
        <f ca="1">SUM(I220:I221)</f>
        <v>74610185.351999998</v>
      </c>
      <c r="J222" s="322">
        <f ca="1">SUM(J220:J221)</f>
        <v>10583287.963409362</v>
      </c>
      <c r="K222" s="322">
        <f ca="1">SUM(K220:K221)</f>
        <v>360386893.31540936</v>
      </c>
      <c r="M222" s="389"/>
    </row>
    <row r="223" spans="1:22">
      <c r="B223" s="632" t="str">
        <f ca="1">"Terbilang : "&amp;PROPER(IF(K222=0,"nol",IF(K222&lt;0,"minus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IF(--MID(TEXT(ABS(K222),"000000000000000"),1,3)=0,"",MID(TEXT(ABS(K222),"000000000000000"),1,1)&amp;" ratus "&amp;MID(TEXT(ABS(K222),"000000000000000"),2,1)&amp;" puluh "&amp;MID(TEXT(ABS(K222),"000000000000000"),3,1)&amp;" trilyun ")&amp; IF(--MID(TEXT(ABS(K222),"000000000000000"),4,3)=0,"",MID(TEXT(ABS(K222),"000000000000000"),4,1)&amp;" ratus "&amp;MID(TEXT(ABS(K222),"000000000000000"),5,1)&amp;" puluh "&amp;MID(TEXT(ABS(K222),"000000000000000"),6,1)&amp;" milyar ")&amp; IF(--MID(TEXT(ABS(K222),"000000000000000"),7,3)=0,"",MID(TEXT(ABS(K222),"000000000000000"),7,1)&amp;" ratus "&amp;MID(TEXT(ABS(K222),"000000000000000"),8,1)&amp;" puluh "&amp;MID(TEXT(ABS(K222),"000000000000000"),9,1)&amp;" juta ")&amp; IF(--MID(TEXT(ABS(K222),"000000000000000"),10,3)=0,"",IF(--MID(TEXT(ABS(K222),"000000000000000"),10,3)=1,"*",MID(TEXT(ABS(K222),"000000000000000"),10,1)&amp;" ratus "&amp;MID(TEXT(ABS(K222),"000000000000000"),11,1)&amp;" puluh ")&amp;MID(TEXT(ABS(K222),"000000000000000"),12,1)&amp;" ribu ")&amp; IF(--MID(TEXT(ABS(K222),"000000000000000"),13,3)=0,"",MID(TEXT(ABS(K222),"000000000000000"),13,1)&amp;" ratus "&amp;MID(TEXT(ABS(K222),"000000000000000"),14,1)&amp;" puluh "&amp;MID(TEXT(ABS(K222),"000000000000000"),15,1)),1,"satu"),2,"dua"),3,"tiga"),4,"empat"),5,"lima"),6,"enam"),7,"tujuh"),8,"delapan"),9,"sembilan"),"0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Enam Puluh Juta Tiga Ratus Delapan Puluh Enam Ribu Delapan Ratus Sembilan Puluh Tiga Rupiah</v>
      </c>
      <c r="C223" s="633"/>
      <c r="D223" s="633"/>
      <c r="E223" s="633"/>
      <c r="F223" s="633"/>
      <c r="G223" s="633"/>
      <c r="H223" s="633"/>
      <c r="I223" s="633"/>
      <c r="J223" s="633"/>
      <c r="K223" s="634"/>
    </row>
    <row r="224" spans="1:22">
      <c r="B224" s="635"/>
      <c r="C224" s="636"/>
      <c r="D224" s="636"/>
      <c r="E224" s="636"/>
      <c r="F224" s="636"/>
      <c r="G224" s="636"/>
      <c r="H224" s="636"/>
      <c r="I224" s="636"/>
      <c r="J224" s="636"/>
      <c r="K224" s="637"/>
    </row>
    <row r="225" spans="2:11" ht="15.75" thickBot="1">
      <c r="B225" s="325" t="str">
        <f>"Harga yang dipakai adalah "&amp;'HARGA SATUAN'!I5&amp;""</f>
        <v>Harga yang dipakai adalah RAB HSS 2023</v>
      </c>
      <c r="C225" s="326"/>
      <c r="D225" s="327"/>
      <c r="E225" s="327"/>
      <c r="F225" s="327"/>
      <c r="G225" s="328"/>
      <c r="H225" s="328"/>
      <c r="I225" s="328"/>
      <c r="J225" s="328"/>
      <c r="K225" s="329"/>
    </row>
    <row r="226" spans="2:11">
      <c r="C226" s="330"/>
      <c r="E226" s="332"/>
      <c r="F226" s="332"/>
      <c r="G226" s="332"/>
    </row>
    <row r="227" spans="2:11">
      <c r="C227" s="259"/>
      <c r="E227" s="332"/>
      <c r="F227" s="332"/>
      <c r="G227" s="332"/>
      <c r="H227" s="638"/>
      <c r="I227" s="638"/>
      <c r="J227" s="639"/>
      <c r="K227" s="639"/>
    </row>
    <row r="228" spans="2:11">
      <c r="C228" s="259"/>
      <c r="E228" s="332"/>
      <c r="F228" s="332"/>
      <c r="G228" s="332"/>
      <c r="H228" s="333"/>
      <c r="I228" s="628" t="s">
        <v>1680</v>
      </c>
      <c r="J228" s="628"/>
      <c r="K228" s="628"/>
    </row>
    <row r="229" spans="2:11">
      <c r="C229" s="259"/>
      <c r="E229" s="332"/>
      <c r="F229" s="332"/>
      <c r="G229" s="332"/>
      <c r="H229" s="333"/>
      <c r="I229" s="628" t="s">
        <v>1513</v>
      </c>
      <c r="J229" s="628"/>
      <c r="K229" s="628"/>
    </row>
    <row r="230" spans="2:11">
      <c r="C230" s="259"/>
      <c r="E230" s="332"/>
      <c r="F230" s="332"/>
      <c r="G230" s="332"/>
      <c r="H230" s="334"/>
      <c r="I230" s="335"/>
      <c r="J230" s="335"/>
      <c r="K230" s="335"/>
    </row>
    <row r="231" spans="2:11">
      <c r="C231" s="259"/>
      <c r="E231" s="332"/>
      <c r="F231" s="332"/>
      <c r="G231" s="332"/>
      <c r="H231" s="334"/>
      <c r="I231" s="334"/>
      <c r="J231" s="334"/>
      <c r="K231" s="334"/>
    </row>
    <row r="232" spans="2:11">
      <c r="C232" s="259"/>
      <c r="E232" s="332"/>
      <c r="F232" s="332"/>
      <c r="G232" s="332"/>
      <c r="H232" s="334"/>
      <c r="I232" s="334"/>
      <c r="J232" s="334"/>
      <c r="K232" s="334"/>
    </row>
    <row r="233" spans="2:11">
      <c r="C233" s="259"/>
      <c r="E233" s="332"/>
      <c r="F233" s="332"/>
      <c r="G233" s="332"/>
      <c r="H233" s="334"/>
      <c r="I233" s="334"/>
      <c r="J233" s="334"/>
      <c r="K233" s="334"/>
    </row>
    <row r="234" spans="2:11">
      <c r="C234" s="259"/>
      <c r="E234" s="332"/>
      <c r="F234" s="332"/>
      <c r="G234" s="332"/>
      <c r="H234" s="336"/>
      <c r="I234" s="628" t="s">
        <v>1514</v>
      </c>
      <c r="J234" s="628"/>
      <c r="K234" s="628"/>
    </row>
    <row r="235" spans="2:11">
      <c r="C235" s="330"/>
      <c r="E235" s="332"/>
      <c r="F235" s="332"/>
      <c r="G235" s="332"/>
      <c r="H235" s="334"/>
      <c r="I235" s="334"/>
      <c r="J235" s="334"/>
      <c r="K235" s="334"/>
    </row>
    <row r="236" spans="2:11">
      <c r="C236" s="330"/>
      <c r="E236" s="332"/>
      <c r="F236" s="332"/>
      <c r="G236" s="332"/>
      <c r="H236" s="334"/>
      <c r="I236" s="334"/>
      <c r="J236" s="334"/>
      <c r="K236" s="334"/>
    </row>
    <row r="237" spans="2:11">
      <c r="C237" s="330"/>
      <c r="E237" s="332"/>
      <c r="F237" s="332"/>
      <c r="G237" s="332"/>
      <c r="H237" s="334"/>
      <c r="I237" s="334"/>
      <c r="J237" s="334"/>
      <c r="K237" s="334"/>
    </row>
  </sheetData>
  <sheetProtection sort="0" autoFilter="0"/>
  <protectedRanges>
    <protectedRange sqref="F215" name="Range1_1_3_1_2_1"/>
    <protectedRange sqref="C149" name="Range1_3_1"/>
  </protectedRanges>
  <mergeCells count="22">
    <mergeCell ref="O3:P4"/>
    <mergeCell ref="B4:K4"/>
    <mergeCell ref="C220:F220"/>
    <mergeCell ref="B11:B13"/>
    <mergeCell ref="C11:C13"/>
    <mergeCell ref="D11:D13"/>
    <mergeCell ref="E11:E13"/>
    <mergeCell ref="F11:F13"/>
    <mergeCell ref="G11:G13"/>
    <mergeCell ref="I12:I13"/>
    <mergeCell ref="I229:K229"/>
    <mergeCell ref="I234:K234"/>
    <mergeCell ref="C222:F222"/>
    <mergeCell ref="G6:K6"/>
    <mergeCell ref="I228:K228"/>
    <mergeCell ref="C221:F221"/>
    <mergeCell ref="B223:K224"/>
    <mergeCell ref="H227:K227"/>
    <mergeCell ref="H11:K11"/>
    <mergeCell ref="H12:H13"/>
    <mergeCell ref="J12:J13"/>
    <mergeCell ref="K12:K13"/>
  </mergeCells>
  <phoneticPr fontId="120" type="noConversion"/>
  <conditionalFormatting sqref="C149">
    <cfRule type="cellIs" dxfId="15" priority="291" operator="equal">
      <formula>0</formula>
    </cfRule>
  </conditionalFormatting>
  <conditionalFormatting sqref="E1:E3 E5:E37 H12:I12 O13 F14:K37 S14:V148 E38:K215 S150:V215 G216:H216 E216:G217 H216:K219 E218:H218 E219:F219">
    <cfRule type="cellIs" dxfId="14" priority="1781" stopIfTrue="1" operator="equal">
      <formula>0</formula>
    </cfRule>
  </conditionalFormatting>
  <conditionalFormatting sqref="G1:G13">
    <cfRule type="cellIs" dxfId="13" priority="2" stopIfTrue="1" operator="equal">
      <formula>0</formula>
    </cfRule>
  </conditionalFormatting>
  <conditionalFormatting sqref="G218:G65684 E223:E65684">
    <cfRule type="cellIs" dxfId="12" priority="9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0:F214 F117:F148 H14:K219 F15:F11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ignoredErrors>
    <ignoredError sqref="F11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A11" zoomScale="70" zoomScaleNormal="70" zoomScaleSheetLayoutView="115" workbookViewId="0">
      <selection activeCell="Y36" sqref="Y36"/>
    </sheetView>
  </sheetViews>
  <sheetFormatPr defaultColWidth="9.140625" defaultRowHeight="12"/>
  <cols>
    <col min="1" max="1" width="1.42578125" style="431" customWidth="1"/>
    <col min="2" max="118" width="5.7109375" style="431" customWidth="1"/>
    <col min="119" max="16384" width="9.140625" style="431"/>
  </cols>
  <sheetData>
    <row r="1" spans="2:30" ht="12.75" thickBot="1"/>
    <row r="2" spans="2:30" ht="12.75" customHeight="1">
      <c r="B2" s="429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685" t="s">
        <v>1619</v>
      </c>
      <c r="X2" s="686"/>
      <c r="Y2" s="686"/>
      <c r="Z2" s="686"/>
      <c r="AA2" s="686"/>
      <c r="AB2" s="686"/>
      <c r="AC2" s="686"/>
      <c r="AD2" s="687"/>
    </row>
    <row r="3" spans="2:30" ht="12" customHeight="1">
      <c r="B3" s="432"/>
      <c r="W3" s="688"/>
      <c r="X3" s="689"/>
      <c r="Y3" s="689"/>
      <c r="Z3" s="689"/>
      <c r="AA3" s="689"/>
      <c r="AB3" s="689"/>
      <c r="AC3" s="689"/>
      <c r="AD3" s="690"/>
    </row>
    <row r="4" spans="2:30">
      <c r="B4" s="432"/>
      <c r="W4" s="433" t="s">
        <v>1587</v>
      </c>
      <c r="AD4" s="434"/>
    </row>
    <row r="5" spans="2:30">
      <c r="B5" s="432"/>
      <c r="D5" s="691" t="s">
        <v>1636</v>
      </c>
      <c r="E5" s="691"/>
      <c r="F5" s="691"/>
      <c r="W5" s="452" t="s">
        <v>1588</v>
      </c>
      <c r="X5" s="667" t="s">
        <v>1589</v>
      </c>
      <c r="Y5" s="667"/>
      <c r="Z5" s="667"/>
      <c r="AA5" s="667" t="s">
        <v>1590</v>
      </c>
      <c r="AB5" s="667"/>
      <c r="AC5" s="667" t="s">
        <v>1591</v>
      </c>
      <c r="AD5" s="668"/>
    </row>
    <row r="6" spans="2:30">
      <c r="B6" s="432"/>
      <c r="D6" s="513" t="s">
        <v>1663</v>
      </c>
      <c r="W6" s="452">
        <v>1</v>
      </c>
      <c r="X6" s="667" t="s">
        <v>1592</v>
      </c>
      <c r="Y6" s="667"/>
      <c r="Z6" s="667"/>
      <c r="AA6" s="667"/>
      <c r="AB6" s="667"/>
      <c r="AC6" s="667"/>
      <c r="AD6" s="668"/>
    </row>
    <row r="7" spans="2:30">
      <c r="B7" s="432"/>
      <c r="W7" s="452">
        <v>2</v>
      </c>
      <c r="X7" s="667" t="s">
        <v>1593</v>
      </c>
      <c r="Y7" s="667"/>
      <c r="Z7" s="667"/>
      <c r="AA7" s="667"/>
      <c r="AB7" s="667"/>
      <c r="AC7" s="667"/>
      <c r="AD7" s="668"/>
    </row>
    <row r="8" spans="2:30">
      <c r="B8" s="432"/>
      <c r="W8" s="452">
        <v>3</v>
      </c>
      <c r="X8" s="667" t="s">
        <v>1594</v>
      </c>
      <c r="Y8" s="667"/>
      <c r="Z8" s="667"/>
      <c r="AA8" s="667"/>
      <c r="AB8" s="667"/>
      <c r="AC8" s="667"/>
      <c r="AD8" s="668"/>
    </row>
    <row r="9" spans="2:30">
      <c r="B9" s="432"/>
      <c r="W9" s="452">
        <v>4</v>
      </c>
      <c r="X9" s="667" t="s">
        <v>1595</v>
      </c>
      <c r="Y9" s="667"/>
      <c r="Z9" s="667"/>
      <c r="AA9" s="667"/>
      <c r="AB9" s="667"/>
      <c r="AC9" s="667"/>
      <c r="AD9" s="668"/>
    </row>
    <row r="10" spans="2:30">
      <c r="B10" s="432"/>
      <c r="W10" s="452">
        <v>5</v>
      </c>
      <c r="X10" s="667" t="s">
        <v>1596</v>
      </c>
      <c r="Y10" s="667"/>
      <c r="Z10" s="667"/>
      <c r="AA10" s="667"/>
      <c r="AB10" s="667"/>
      <c r="AC10" s="667"/>
      <c r="AD10" s="668"/>
    </row>
    <row r="11" spans="2:30">
      <c r="B11" s="432"/>
      <c r="W11" s="452">
        <v>6</v>
      </c>
      <c r="X11" s="667" t="s">
        <v>1597</v>
      </c>
      <c r="Y11" s="667"/>
      <c r="Z11" s="667"/>
      <c r="AA11" s="667"/>
      <c r="AB11" s="667"/>
      <c r="AC11" s="667"/>
      <c r="AD11" s="668"/>
    </row>
    <row r="12" spans="2:30">
      <c r="B12" s="432"/>
      <c r="W12" s="452">
        <v>7</v>
      </c>
      <c r="X12" s="667" t="s">
        <v>1598</v>
      </c>
      <c r="Y12" s="667"/>
      <c r="Z12" s="667"/>
      <c r="AA12" s="667"/>
      <c r="AB12" s="667"/>
      <c r="AC12" s="667"/>
      <c r="AD12" s="668"/>
    </row>
    <row r="13" spans="2:30" ht="12.75" customHeight="1">
      <c r="B13" s="432"/>
      <c r="W13" s="452">
        <v>8</v>
      </c>
      <c r="X13" s="667" t="s">
        <v>1599</v>
      </c>
      <c r="Y13" s="667"/>
      <c r="Z13" s="667"/>
      <c r="AA13" s="667"/>
      <c r="AB13" s="667"/>
      <c r="AC13" s="667"/>
      <c r="AD13" s="668"/>
    </row>
    <row r="14" spans="2:30">
      <c r="B14" s="432"/>
      <c r="W14" s="452">
        <v>9</v>
      </c>
      <c r="X14" s="667" t="s">
        <v>1600</v>
      </c>
      <c r="Y14" s="667"/>
      <c r="Z14" s="667"/>
      <c r="AA14" s="667"/>
      <c r="AB14" s="667"/>
      <c r="AC14" s="667"/>
      <c r="AD14" s="668"/>
    </row>
    <row r="15" spans="2:30">
      <c r="B15" s="432"/>
      <c r="W15" s="452">
        <v>10</v>
      </c>
      <c r="X15" s="667" t="s">
        <v>1601</v>
      </c>
      <c r="Y15" s="667"/>
      <c r="Z15" s="667"/>
      <c r="AA15" s="667"/>
      <c r="AB15" s="667"/>
      <c r="AC15" s="667"/>
      <c r="AD15" s="668"/>
    </row>
    <row r="16" spans="2:30">
      <c r="B16" s="432"/>
      <c r="W16" s="452">
        <v>11</v>
      </c>
      <c r="X16" s="667" t="s">
        <v>1602</v>
      </c>
      <c r="Y16" s="667"/>
      <c r="Z16" s="667"/>
      <c r="AA16" s="667"/>
      <c r="AB16" s="667"/>
      <c r="AC16" s="667"/>
      <c r="AD16" s="668"/>
    </row>
    <row r="17" spans="2:30">
      <c r="B17" s="432"/>
      <c r="W17" s="452">
        <v>12</v>
      </c>
      <c r="X17" s="667" t="s">
        <v>1603</v>
      </c>
      <c r="Y17" s="667"/>
      <c r="Z17" s="667"/>
      <c r="AA17" s="667"/>
      <c r="AB17" s="667"/>
      <c r="AC17" s="667"/>
      <c r="AD17" s="668"/>
    </row>
    <row r="18" spans="2:30">
      <c r="B18" s="435"/>
      <c r="C18" s="436"/>
      <c r="D18" s="436"/>
      <c r="W18" s="452">
        <v>13</v>
      </c>
      <c r="X18" s="667"/>
      <c r="Y18" s="667"/>
      <c r="Z18" s="667"/>
      <c r="AA18" s="667"/>
      <c r="AB18" s="667"/>
      <c r="AC18" s="667"/>
      <c r="AD18" s="668"/>
    </row>
    <row r="19" spans="2:30">
      <c r="B19" s="432"/>
      <c r="W19" s="453"/>
      <c r="X19" s="677"/>
      <c r="Y19" s="677"/>
      <c r="Z19" s="677"/>
      <c r="AA19" s="677"/>
      <c r="AB19" s="677"/>
      <c r="AC19" s="677"/>
      <c r="AD19" s="678"/>
    </row>
    <row r="20" spans="2:30">
      <c r="B20" s="432"/>
      <c r="W20" s="671" t="s">
        <v>1604</v>
      </c>
      <c r="X20" s="672"/>
      <c r="Y20" s="672"/>
      <c r="Z20" s="672"/>
      <c r="AA20" s="672"/>
      <c r="AB20" s="672"/>
      <c r="AC20" s="672"/>
      <c r="AD20" s="673"/>
    </row>
    <row r="21" spans="2:30">
      <c r="B21" s="432"/>
      <c r="W21" s="679" t="s">
        <v>1605</v>
      </c>
      <c r="X21" s="680"/>
      <c r="Y21" s="680"/>
      <c r="Z21" s="681"/>
      <c r="AA21" s="682" t="s">
        <v>1606</v>
      </c>
      <c r="AB21" s="683"/>
      <c r="AC21" s="683"/>
      <c r="AD21" s="684"/>
    </row>
    <row r="22" spans="2:30">
      <c r="B22" s="432"/>
      <c r="W22" s="523" t="s">
        <v>1623</v>
      </c>
      <c r="X22" s="506"/>
      <c r="Y22" s="485">
        <v>2</v>
      </c>
      <c r="Z22" s="512" t="s">
        <v>1031</v>
      </c>
      <c r="AA22" s="669"/>
      <c r="AB22" s="670"/>
      <c r="AC22" s="437"/>
      <c r="AD22" s="438"/>
    </row>
    <row r="23" spans="2:30">
      <c r="B23" s="432"/>
      <c r="W23" s="523" t="s">
        <v>1677</v>
      </c>
      <c r="X23" s="506"/>
      <c r="Y23" s="485">
        <v>1</v>
      </c>
      <c r="Z23" s="512" t="s">
        <v>1031</v>
      </c>
      <c r="AA23" s="669"/>
      <c r="AB23" s="670"/>
      <c r="AC23" s="437"/>
      <c r="AD23" s="438"/>
    </row>
    <row r="24" spans="2:30">
      <c r="B24" s="432"/>
      <c r="W24" s="523" t="s">
        <v>1678</v>
      </c>
      <c r="X24" s="506"/>
      <c r="Y24" s="485">
        <v>1</v>
      </c>
      <c r="Z24" s="512" t="s">
        <v>1031</v>
      </c>
      <c r="AA24" s="669"/>
      <c r="AB24" s="670"/>
      <c r="AC24" s="437"/>
      <c r="AD24" s="438"/>
    </row>
    <row r="25" spans="2:30">
      <c r="B25" s="432"/>
      <c r="W25" s="523" t="s">
        <v>1629</v>
      </c>
      <c r="X25" s="506"/>
      <c r="Y25" s="517">
        <v>4</v>
      </c>
      <c r="Z25" s="518" t="s">
        <v>1031</v>
      </c>
      <c r="AA25" s="669"/>
      <c r="AB25" s="670"/>
      <c r="AC25" s="437"/>
      <c r="AD25" s="438"/>
    </row>
    <row r="26" spans="2:30">
      <c r="B26" s="432"/>
      <c r="M26" s="439"/>
      <c r="W26" s="523" t="s">
        <v>1630</v>
      </c>
      <c r="X26" s="506"/>
      <c r="Y26" s="485">
        <v>4</v>
      </c>
      <c r="Z26" s="512" t="s">
        <v>1031</v>
      </c>
      <c r="AA26" s="669"/>
      <c r="AB26" s="670"/>
      <c r="AC26" s="437"/>
      <c r="AD26" s="438"/>
    </row>
    <row r="27" spans="2:30">
      <c r="B27" s="432"/>
      <c r="W27" s="519" t="s">
        <v>1631</v>
      </c>
      <c r="X27" s="520"/>
      <c r="Y27" s="517">
        <v>4</v>
      </c>
      <c r="Z27" s="518" t="s">
        <v>1031</v>
      </c>
      <c r="AA27" s="669"/>
      <c r="AB27" s="670"/>
      <c r="AC27" s="437"/>
      <c r="AD27" s="438"/>
    </row>
    <row r="28" spans="2:30">
      <c r="B28" s="432"/>
      <c r="W28" s="516" t="s">
        <v>1632</v>
      </c>
      <c r="X28" s="486"/>
      <c r="Y28" s="485">
        <v>4</v>
      </c>
      <c r="Z28" s="512" t="s">
        <v>1031</v>
      </c>
      <c r="AA28" s="669"/>
      <c r="AB28" s="670"/>
      <c r="AC28" s="437"/>
      <c r="AD28" s="438"/>
    </row>
    <row r="29" spans="2:30">
      <c r="B29" s="432"/>
      <c r="W29" s="516" t="s">
        <v>1679</v>
      </c>
      <c r="X29" s="486"/>
      <c r="Y29" s="485">
        <v>1</v>
      </c>
      <c r="Z29" s="512" t="s">
        <v>1031</v>
      </c>
      <c r="AA29" s="669"/>
      <c r="AB29" s="670"/>
      <c r="AC29" s="437"/>
      <c r="AD29" s="438"/>
    </row>
    <row r="30" spans="2:30">
      <c r="B30" s="432"/>
      <c r="U30" s="440"/>
      <c r="W30" s="521" t="s">
        <v>1660</v>
      </c>
      <c r="X30" s="522"/>
      <c r="Y30" s="514">
        <v>1</v>
      </c>
      <c r="Z30" s="515" t="s">
        <v>1031</v>
      </c>
      <c r="AA30" s="669"/>
      <c r="AB30" s="670"/>
      <c r="AC30" s="441"/>
      <c r="AD30" s="438"/>
    </row>
    <row r="31" spans="2:30">
      <c r="B31" s="432"/>
      <c r="T31" s="440"/>
      <c r="W31" s="516" t="s">
        <v>1650</v>
      </c>
      <c r="X31" s="486"/>
      <c r="Y31" s="485">
        <v>25</v>
      </c>
      <c r="Z31" s="512" t="s">
        <v>7</v>
      </c>
      <c r="AA31" s="669"/>
      <c r="AB31" s="670"/>
      <c r="AC31" s="441"/>
      <c r="AD31" s="438"/>
    </row>
    <row r="32" spans="2:30">
      <c r="B32" s="432"/>
      <c r="T32" s="440"/>
      <c r="W32" s="523" t="s">
        <v>1661</v>
      </c>
      <c r="X32" s="506"/>
      <c r="Y32" s="485">
        <v>1</v>
      </c>
      <c r="Z32" s="512" t="s">
        <v>14</v>
      </c>
      <c r="AA32" s="669"/>
      <c r="AB32" s="670"/>
      <c r="AC32" s="437"/>
      <c r="AD32" s="438"/>
    </row>
    <row r="33" spans="2:47" ht="14.25" customHeight="1">
      <c r="B33" s="432"/>
      <c r="W33" s="523" t="s">
        <v>1668</v>
      </c>
      <c r="X33" s="506"/>
      <c r="Y33" s="485">
        <f>90*3</f>
        <v>270</v>
      </c>
      <c r="Z33" s="512" t="s">
        <v>7</v>
      </c>
      <c r="AA33" s="669"/>
      <c r="AB33" s="670"/>
      <c r="AC33" s="437"/>
      <c r="AD33" s="438"/>
    </row>
    <row r="34" spans="2:47" ht="14.25" customHeight="1">
      <c r="B34" s="432"/>
      <c r="W34" s="523" t="s">
        <v>1669</v>
      </c>
      <c r="X34" s="506"/>
      <c r="Y34" s="485">
        <v>90</v>
      </c>
      <c r="Z34" s="512" t="s">
        <v>7</v>
      </c>
      <c r="AA34" s="669"/>
      <c r="AB34" s="670"/>
      <c r="AC34" s="437"/>
      <c r="AD34" s="438"/>
    </row>
    <row r="35" spans="2:47" ht="14.25" customHeight="1">
      <c r="B35" s="432"/>
      <c r="W35" s="523" t="s">
        <v>1676</v>
      </c>
      <c r="X35" s="506"/>
      <c r="Y35" s="485">
        <v>3</v>
      </c>
      <c r="Z35" s="512" t="s">
        <v>93</v>
      </c>
      <c r="AA35" s="669"/>
      <c r="AB35" s="670"/>
      <c r="AC35" s="437"/>
      <c r="AD35" s="438"/>
    </row>
    <row r="36" spans="2:47">
      <c r="B36" s="432"/>
      <c r="W36" s="523" t="s">
        <v>1624</v>
      </c>
      <c r="X36" s="506"/>
      <c r="Y36" s="485">
        <v>1</v>
      </c>
      <c r="Z36" s="512" t="s">
        <v>1031</v>
      </c>
      <c r="AA36" s="669"/>
      <c r="AB36" s="670"/>
      <c r="AC36" s="437"/>
      <c r="AD36" s="438"/>
    </row>
    <row r="37" spans="2:47">
      <c r="B37" s="432"/>
      <c r="W37" s="523"/>
      <c r="X37" s="506"/>
      <c r="Y37" s="485"/>
      <c r="Z37" s="512"/>
      <c r="AA37" s="669"/>
      <c r="AB37" s="670"/>
      <c r="AC37" s="437"/>
      <c r="AD37" s="438"/>
    </row>
    <row r="38" spans="2:47">
      <c r="B38" s="432"/>
      <c r="W38" s="699"/>
      <c r="X38" s="700"/>
      <c r="Y38" s="485"/>
      <c r="Z38" s="512"/>
      <c r="AA38" s="669"/>
      <c r="AB38" s="670"/>
      <c r="AC38" s="437"/>
      <c r="AD38" s="438"/>
    </row>
    <row r="39" spans="2:47" ht="12.75" customHeight="1">
      <c r="B39" s="432"/>
      <c r="W39" s="523"/>
      <c r="X39" s="506"/>
      <c r="Y39" s="485"/>
      <c r="Z39" s="512"/>
      <c r="AA39" s="669"/>
      <c r="AB39" s="670"/>
      <c r="AC39" s="437"/>
      <c r="AD39" s="438"/>
    </row>
    <row r="40" spans="2:47" ht="12" customHeight="1">
      <c r="B40" s="432"/>
      <c r="U40" s="436"/>
      <c r="W40" s="698"/>
      <c r="X40" s="698"/>
      <c r="Y40" s="518"/>
      <c r="Z40" s="517"/>
      <c r="AA40" s="669"/>
      <c r="AB40" s="670"/>
      <c r="AC40" s="437"/>
      <c r="AD40" s="438"/>
      <c r="AL40" s="436"/>
    </row>
    <row r="41" spans="2:47" ht="12" customHeight="1">
      <c r="B41" s="432"/>
      <c r="W41" s="671" t="s">
        <v>1607</v>
      </c>
      <c r="X41" s="672"/>
      <c r="Y41" s="672"/>
      <c r="Z41" s="672"/>
      <c r="AA41" s="672"/>
      <c r="AB41" s="672"/>
      <c r="AC41" s="672"/>
      <c r="AD41" s="673"/>
    </row>
    <row r="42" spans="2:47" ht="12" customHeight="1">
      <c r="B42" s="432"/>
      <c r="W42" s="692" t="s">
        <v>1663</v>
      </c>
      <c r="X42" s="693"/>
      <c r="Y42" s="693"/>
      <c r="Z42" s="693"/>
      <c r="AA42" s="693"/>
      <c r="AB42" s="693"/>
      <c r="AC42" s="693"/>
      <c r="AD42" s="694"/>
    </row>
    <row r="43" spans="2:47" ht="12" customHeight="1">
      <c r="B43" s="432"/>
      <c r="V43" s="442"/>
      <c r="W43" s="695"/>
      <c r="X43" s="696"/>
      <c r="Y43" s="696"/>
      <c r="Z43" s="696"/>
      <c r="AA43" s="696"/>
      <c r="AB43" s="696"/>
      <c r="AC43" s="696"/>
      <c r="AD43" s="697"/>
    </row>
    <row r="44" spans="2:47">
      <c r="B44" s="443"/>
      <c r="C44" s="444"/>
      <c r="D44" s="444"/>
      <c r="E44" s="444"/>
      <c r="F44" s="444"/>
      <c r="G44" s="444"/>
      <c r="H44" s="444"/>
      <c r="I44" s="444"/>
      <c r="J44" s="444"/>
      <c r="K44" s="444"/>
      <c r="L44" s="444"/>
      <c r="M44" s="444"/>
      <c r="N44" s="444"/>
      <c r="O44" s="444"/>
      <c r="P44" s="444"/>
      <c r="Q44" s="444"/>
      <c r="R44" s="444"/>
      <c r="S44" s="444"/>
      <c r="T44" s="444"/>
      <c r="U44" s="444"/>
      <c r="V44" s="442"/>
      <c r="W44" s="665" t="s">
        <v>1608</v>
      </c>
      <c r="X44" s="666"/>
      <c r="Y44" s="667"/>
      <c r="Z44" s="667"/>
      <c r="AA44" s="667"/>
      <c r="AB44" s="667"/>
      <c r="AC44" s="667"/>
      <c r="AD44" s="668"/>
    </row>
    <row r="45" spans="2:47">
      <c r="B45" s="443"/>
      <c r="C45" s="444"/>
      <c r="D45" s="444"/>
      <c r="E45" s="444"/>
      <c r="F45" s="444"/>
      <c r="G45" s="444"/>
      <c r="H45" s="444"/>
      <c r="I45" s="444"/>
      <c r="J45" s="444"/>
      <c r="K45" s="444"/>
      <c r="L45" s="444"/>
      <c r="M45" s="444"/>
      <c r="N45" s="444"/>
      <c r="O45" s="444"/>
      <c r="P45" s="444"/>
      <c r="Q45" s="444"/>
      <c r="R45" s="444"/>
      <c r="S45" s="444"/>
      <c r="T45" s="444"/>
      <c r="U45" s="444"/>
      <c r="V45" s="442"/>
      <c r="W45" s="665" t="s">
        <v>1609</v>
      </c>
      <c r="X45" s="666"/>
      <c r="Y45" s="667">
        <v>1</v>
      </c>
      <c r="Z45" s="667"/>
      <c r="AA45" s="667"/>
      <c r="AB45" s="667" t="s">
        <v>1610</v>
      </c>
      <c r="AC45" s="667"/>
      <c r="AD45" s="445" t="s">
        <v>1611</v>
      </c>
    </row>
    <row r="46" spans="2:47">
      <c r="B46" s="443"/>
      <c r="C46" s="444"/>
      <c r="D46" s="444"/>
      <c r="E46" s="444"/>
      <c r="F46" s="444"/>
      <c r="G46" s="444"/>
      <c r="H46" s="444"/>
      <c r="I46" s="444"/>
      <c r="J46" s="444"/>
      <c r="K46" s="444"/>
      <c r="L46" s="444"/>
      <c r="M46" s="444"/>
      <c r="N46" s="444"/>
      <c r="O46" s="444"/>
      <c r="P46" s="444"/>
      <c r="Q46" s="444"/>
      <c r="R46" s="444"/>
      <c r="S46" s="444"/>
      <c r="T46" s="444"/>
      <c r="U46" s="444"/>
      <c r="V46" s="442"/>
      <c r="W46" s="665" t="s">
        <v>1612</v>
      </c>
      <c r="X46" s="666"/>
      <c r="Y46" s="674"/>
      <c r="Z46" s="674"/>
      <c r="AA46" s="674"/>
      <c r="AB46" s="667" t="s">
        <v>1613</v>
      </c>
      <c r="AC46" s="667"/>
      <c r="AD46" s="446"/>
    </row>
    <row r="47" spans="2:47">
      <c r="B47" s="443"/>
      <c r="C47" s="444"/>
      <c r="D47" s="444"/>
      <c r="E47" s="444"/>
      <c r="F47" s="444"/>
      <c r="G47" s="444"/>
      <c r="H47" s="444"/>
      <c r="I47" s="444"/>
      <c r="J47" s="444"/>
      <c r="K47" s="444"/>
      <c r="L47" s="444"/>
      <c r="M47" s="444"/>
      <c r="N47" s="444"/>
      <c r="O47" s="444"/>
      <c r="P47" s="444"/>
      <c r="Q47" s="444"/>
      <c r="R47" s="444"/>
      <c r="S47" s="444"/>
      <c r="T47" s="444"/>
      <c r="U47" s="444"/>
      <c r="V47" s="442"/>
      <c r="W47" s="675" t="s">
        <v>1614</v>
      </c>
      <c r="X47" s="675"/>
      <c r="Y47" s="675"/>
      <c r="Z47" s="675"/>
      <c r="AA47" s="675"/>
      <c r="AB47" s="675"/>
      <c r="AC47" s="675"/>
      <c r="AD47" s="676"/>
    </row>
    <row r="48" spans="2:47" ht="12.75" customHeight="1">
      <c r="B48" s="443"/>
      <c r="C48" s="444"/>
      <c r="D48" s="444"/>
      <c r="E48" s="444"/>
      <c r="F48" s="444"/>
      <c r="G48" s="444"/>
      <c r="H48" s="444"/>
      <c r="I48" s="444"/>
      <c r="J48" s="444"/>
      <c r="K48" s="444"/>
      <c r="L48" s="444"/>
      <c r="M48" s="444"/>
      <c r="N48" s="444"/>
      <c r="O48" s="444"/>
      <c r="P48" s="444"/>
      <c r="Q48" s="444"/>
      <c r="R48" s="444"/>
      <c r="S48" s="444"/>
      <c r="T48" s="444"/>
      <c r="U48" s="444"/>
      <c r="V48" s="442"/>
      <c r="W48" s="661" t="s">
        <v>1670</v>
      </c>
      <c r="X48" s="661"/>
      <c r="Y48" s="661"/>
      <c r="Z48" s="661"/>
      <c r="AA48" s="661"/>
      <c r="AB48" s="661"/>
      <c r="AC48" s="661"/>
      <c r="AD48" s="662"/>
      <c r="AU48" s="439"/>
    </row>
    <row r="49" spans="2:55">
      <c r="B49" s="443"/>
      <c r="C49" s="444"/>
      <c r="D49" s="444"/>
      <c r="E49" s="444"/>
      <c r="F49" s="444"/>
      <c r="G49" s="444"/>
      <c r="H49" s="444"/>
      <c r="I49" s="444"/>
      <c r="J49" s="444"/>
      <c r="K49" s="444"/>
      <c r="L49" s="444"/>
      <c r="M49" s="444"/>
      <c r="N49" s="444"/>
      <c r="O49" s="444"/>
      <c r="P49" s="444"/>
      <c r="Q49" s="444"/>
      <c r="R49" s="444"/>
      <c r="S49" s="444"/>
      <c r="T49" s="444"/>
      <c r="U49" s="444"/>
      <c r="V49" s="447"/>
      <c r="W49" s="661"/>
      <c r="X49" s="661"/>
      <c r="Y49" s="661"/>
      <c r="Z49" s="661"/>
      <c r="AA49" s="661"/>
      <c r="AB49" s="661"/>
      <c r="AC49" s="661"/>
      <c r="AD49" s="662"/>
    </row>
    <row r="50" spans="2:55">
      <c r="B50" s="443"/>
      <c r="C50" s="444"/>
      <c r="D50" s="444"/>
      <c r="E50" s="444"/>
      <c r="F50" s="444"/>
      <c r="G50" s="444"/>
      <c r="H50" s="444"/>
      <c r="I50" s="444"/>
      <c r="J50" s="444"/>
      <c r="K50" s="444"/>
      <c r="L50" s="444"/>
      <c r="M50" s="444"/>
      <c r="N50" s="444"/>
      <c r="O50" s="444"/>
      <c r="P50" s="444"/>
      <c r="Q50" s="444"/>
      <c r="R50" s="444"/>
      <c r="S50" s="444"/>
      <c r="T50" s="444"/>
      <c r="V50" s="447"/>
      <c r="W50" s="663"/>
      <c r="X50" s="663"/>
      <c r="Y50" s="663"/>
      <c r="Z50" s="663"/>
      <c r="AA50" s="663"/>
      <c r="AB50" s="663"/>
      <c r="AC50" s="663"/>
      <c r="AD50" s="664"/>
    </row>
    <row r="51" spans="2:55">
      <c r="B51" s="443"/>
      <c r="C51" s="444"/>
      <c r="D51" s="444"/>
      <c r="E51" s="444"/>
      <c r="F51" s="444"/>
      <c r="G51" s="444"/>
      <c r="H51" s="444"/>
      <c r="I51" s="444"/>
      <c r="J51" s="444"/>
      <c r="K51" s="444"/>
      <c r="L51" s="444"/>
      <c r="M51" s="444"/>
      <c r="N51" s="444"/>
      <c r="O51" s="444"/>
      <c r="P51" s="444"/>
      <c r="Q51" s="444"/>
      <c r="R51" s="444"/>
      <c r="S51" s="444"/>
      <c r="T51" s="444"/>
      <c r="U51" s="444"/>
      <c r="V51" s="442"/>
      <c r="W51" s="665" t="s">
        <v>1615</v>
      </c>
      <c r="X51" s="666"/>
      <c r="Y51" s="667" t="s">
        <v>1641</v>
      </c>
      <c r="Z51" s="667"/>
      <c r="AA51" s="667"/>
      <c r="AB51" s="667"/>
      <c r="AC51" s="667"/>
      <c r="AD51" s="668"/>
    </row>
    <row r="52" spans="2:55">
      <c r="B52" s="443"/>
      <c r="C52" s="444"/>
      <c r="D52" s="444"/>
      <c r="E52" s="444"/>
      <c r="F52" s="444"/>
      <c r="G52" s="444"/>
      <c r="H52" s="444"/>
      <c r="I52" s="444"/>
      <c r="J52" s="444"/>
      <c r="K52" s="444"/>
      <c r="L52" s="444"/>
      <c r="M52" s="444"/>
      <c r="N52" s="444"/>
      <c r="O52" s="444"/>
      <c r="P52" s="444"/>
      <c r="Q52" s="444"/>
      <c r="R52" s="444"/>
      <c r="S52" s="444"/>
      <c r="V52" s="442"/>
      <c r="W52" s="665" t="s">
        <v>1616</v>
      </c>
      <c r="X52" s="666"/>
      <c r="Y52" s="667" t="s">
        <v>1633</v>
      </c>
      <c r="Z52" s="667"/>
      <c r="AA52" s="667"/>
      <c r="AB52" s="667"/>
      <c r="AC52" s="667"/>
      <c r="AD52" s="668"/>
      <c r="BC52" s="440"/>
    </row>
    <row r="53" spans="2:55">
      <c r="B53" s="443"/>
      <c r="C53" s="444"/>
      <c r="D53" s="444"/>
      <c r="E53" s="444"/>
      <c r="F53" s="444"/>
      <c r="G53" s="444"/>
      <c r="H53" s="444"/>
      <c r="I53" s="444"/>
      <c r="J53" s="444"/>
      <c r="K53" s="444"/>
      <c r="L53" s="444"/>
      <c r="M53" s="444"/>
      <c r="N53" s="444"/>
      <c r="O53" s="444"/>
      <c r="P53" s="444"/>
      <c r="Q53" s="444"/>
      <c r="R53" s="444"/>
      <c r="S53" s="444"/>
      <c r="V53" s="442"/>
      <c r="W53" s="665" t="s">
        <v>1617</v>
      </c>
      <c r="X53" s="666"/>
      <c r="Y53" s="667" t="s">
        <v>1634</v>
      </c>
      <c r="Z53" s="667"/>
      <c r="AA53" s="667"/>
      <c r="AB53" s="667"/>
      <c r="AC53" s="667"/>
      <c r="AD53" s="668"/>
      <c r="BB53" s="440"/>
    </row>
    <row r="54" spans="2:55" ht="12.75" thickBot="1">
      <c r="B54" s="448"/>
      <c r="C54" s="449"/>
      <c r="D54" s="449"/>
      <c r="E54" s="449"/>
      <c r="F54" s="449"/>
      <c r="G54" s="449"/>
      <c r="H54" s="449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50"/>
      <c r="U54" s="450"/>
      <c r="V54" s="451"/>
      <c r="W54" s="657" t="s">
        <v>1618</v>
      </c>
      <c r="X54" s="658"/>
      <c r="Y54" s="659" t="s">
        <v>1635</v>
      </c>
      <c r="Z54" s="659"/>
      <c r="AA54" s="659"/>
      <c r="AB54" s="659"/>
      <c r="AC54" s="659"/>
      <c r="AD54" s="660"/>
      <c r="BB54" s="440"/>
    </row>
    <row r="62" spans="2:55">
      <c r="BC62" s="436"/>
    </row>
    <row r="66" spans="38:55">
      <c r="AL66" s="444"/>
      <c r="AM66" s="444"/>
      <c r="AN66" s="444"/>
      <c r="AO66" s="444"/>
      <c r="AP66" s="444"/>
      <c r="AQ66" s="444"/>
      <c r="AR66" s="444"/>
      <c r="AS66" s="444"/>
      <c r="AT66" s="444"/>
      <c r="AU66" s="444"/>
      <c r="AV66" s="444"/>
      <c r="AW66" s="444"/>
      <c r="AX66" s="444"/>
      <c r="AY66" s="444"/>
      <c r="AZ66" s="444"/>
      <c r="BA66" s="444"/>
      <c r="BB66" s="444"/>
      <c r="BC66" s="444"/>
    </row>
    <row r="67" spans="38:55">
      <c r="AL67" s="444"/>
      <c r="AM67" s="444"/>
      <c r="AN67" s="444"/>
      <c r="AO67" s="444"/>
      <c r="AP67" s="444"/>
      <c r="AQ67" s="444"/>
      <c r="AR67" s="444"/>
      <c r="AS67" s="444"/>
      <c r="AT67" s="444"/>
      <c r="AU67" s="444"/>
      <c r="AV67" s="444"/>
      <c r="AW67" s="444"/>
      <c r="AX67" s="444"/>
      <c r="AY67" s="444"/>
      <c r="AZ67" s="444"/>
      <c r="BA67" s="444"/>
      <c r="BB67" s="444"/>
      <c r="BC67" s="444"/>
    </row>
  </sheetData>
  <mergeCells count="95">
    <mergeCell ref="X6:Z6"/>
    <mergeCell ref="AA6:AB6"/>
    <mergeCell ref="AC6:AD6"/>
    <mergeCell ref="W42:AD43"/>
    <mergeCell ref="W40:X40"/>
    <mergeCell ref="AA40:AB40"/>
    <mergeCell ref="AA38:AB38"/>
    <mergeCell ref="AA39:AB39"/>
    <mergeCell ref="W38:X38"/>
    <mergeCell ref="X7:Z7"/>
    <mergeCell ref="AA7:AB7"/>
    <mergeCell ref="AC7:AD7"/>
    <mergeCell ref="X8:Z8"/>
    <mergeCell ref="AA8:AB8"/>
    <mergeCell ref="AC8:AD8"/>
    <mergeCell ref="X9:Z9"/>
    <mergeCell ref="W2:AD3"/>
    <mergeCell ref="D5:F5"/>
    <mergeCell ref="X5:Z5"/>
    <mergeCell ref="AA5:AB5"/>
    <mergeCell ref="AC5:AD5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36:AB36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RowHeight="15"/>
  <cols>
    <col min="1" max="1" width="8.28515625" style="258" customWidth="1"/>
    <col min="2" max="2" width="5.140625" style="259" customWidth="1"/>
    <col min="3" max="3" width="44.7109375" style="331" customWidth="1"/>
    <col min="4" max="4" width="13.7109375" style="331" customWidth="1"/>
    <col min="5" max="5" width="12.5703125" style="262" customWidth="1"/>
    <col min="6" max="6" width="7.7109375" style="262" customWidth="1"/>
    <col min="7" max="7" width="12.7109375" style="262" customWidth="1"/>
    <col min="8" max="8" width="18.140625" style="263" customWidth="1"/>
    <col min="9" max="9" width="16.7109375" style="263" customWidth="1"/>
    <col min="10" max="11" width="16.7109375" style="264" customWidth="1"/>
    <col min="12" max="12" width="3.7109375" style="264" customWidth="1"/>
    <col min="13" max="13" width="14" style="264" customWidth="1"/>
    <col min="14" max="14" width="15" style="264" customWidth="1"/>
    <col min="15" max="15" width="9.140625" style="265" customWidth="1"/>
    <col min="16" max="16" width="12.7109375" style="266" customWidth="1"/>
    <col min="17" max="17" width="12.7109375" style="265" customWidth="1"/>
    <col min="18" max="18" width="2.42578125" style="265" customWidth="1"/>
    <col min="19" max="22" width="10.85546875" style="265" customWidth="1"/>
    <col min="23" max="24" width="9.140625" style="265" customWidth="1"/>
    <col min="25" max="16384" width="9.140625" style="265"/>
  </cols>
  <sheetData>
    <row r="1" spans="1:22">
      <c r="C1" s="260" t="s">
        <v>985</v>
      </c>
      <c r="D1" s="261"/>
      <c r="U1" s="258"/>
    </row>
    <row r="2" spans="1:22">
      <c r="C2" s="260" t="s">
        <v>1321</v>
      </c>
      <c r="D2" s="261"/>
      <c r="T2" s="266"/>
      <c r="U2" s="267" t="s">
        <v>1009</v>
      </c>
      <c r="V2" s="266"/>
    </row>
    <row r="3" spans="1:22">
      <c r="C3" s="260" t="s">
        <v>1411</v>
      </c>
      <c r="D3" s="261"/>
      <c r="O3" s="646" t="s">
        <v>1009</v>
      </c>
      <c r="P3" s="646"/>
      <c r="Q3" s="268"/>
      <c r="T3" s="266"/>
      <c r="U3" s="267" t="s">
        <v>1014</v>
      </c>
      <c r="V3" s="266"/>
    </row>
    <row r="4" spans="1:22" ht="15.75" customHeight="1">
      <c r="B4" s="647" t="s">
        <v>1644</v>
      </c>
      <c r="C4" s="647"/>
      <c r="D4" s="647"/>
      <c r="E4" s="647"/>
      <c r="F4" s="647"/>
      <c r="G4" s="647"/>
      <c r="H4" s="647"/>
      <c r="I4" s="647"/>
      <c r="J4" s="647"/>
      <c r="K4" s="647"/>
      <c r="O4" s="646"/>
      <c r="P4" s="646"/>
      <c r="T4" s="266"/>
      <c r="U4" s="266"/>
      <c r="V4" s="266"/>
    </row>
    <row r="5" spans="1:22">
      <c r="C5" s="269"/>
      <c r="D5" s="261"/>
      <c r="T5" s="266"/>
      <c r="U5" s="267"/>
      <c r="V5" s="266"/>
    </row>
    <row r="6" spans="1:22">
      <c r="C6" s="269"/>
      <c r="D6" s="261"/>
      <c r="E6" s="270" t="s">
        <v>1010</v>
      </c>
      <c r="F6" s="271" t="s">
        <v>9</v>
      </c>
      <c r="G6" s="630" t="s">
        <v>1639</v>
      </c>
      <c r="H6" s="630"/>
      <c r="I6" s="630"/>
      <c r="J6" s="630"/>
      <c r="K6" s="630"/>
      <c r="T6" s="266"/>
      <c r="U6" s="267"/>
      <c r="V6" s="266"/>
    </row>
    <row r="7" spans="1:22">
      <c r="C7" s="269"/>
      <c r="D7" s="261"/>
      <c r="E7" s="270" t="s">
        <v>1011</v>
      </c>
      <c r="F7" s="271" t="s">
        <v>9</v>
      </c>
      <c r="G7" s="270" t="s">
        <v>1640</v>
      </c>
      <c r="J7" s="272"/>
      <c r="T7" s="266"/>
      <c r="U7" s="267"/>
      <c r="V7" s="266"/>
    </row>
    <row r="8" spans="1:22">
      <c r="C8" s="269"/>
      <c r="D8" s="261"/>
      <c r="E8" s="270" t="s">
        <v>1012</v>
      </c>
      <c r="F8" s="271" t="s">
        <v>9</v>
      </c>
      <c r="G8" s="270" t="s">
        <v>1411</v>
      </c>
      <c r="J8" s="272"/>
      <c r="T8" s="266"/>
      <c r="U8" s="267"/>
      <c r="V8" s="266"/>
    </row>
    <row r="9" spans="1:22">
      <c r="C9" s="269"/>
      <c r="D9" s="261"/>
      <c r="E9" s="270" t="s">
        <v>1013</v>
      </c>
      <c r="F9" s="271" t="s">
        <v>9</v>
      </c>
      <c r="G9" s="270" t="s">
        <v>1515</v>
      </c>
      <c r="J9" s="272"/>
      <c r="T9" s="266"/>
      <c r="U9" s="267"/>
      <c r="V9" s="266"/>
    </row>
    <row r="10" spans="1:22" ht="15.75" thickBot="1">
      <c r="C10" s="261"/>
      <c r="D10" s="261"/>
      <c r="T10" s="266"/>
      <c r="U10" s="266"/>
      <c r="V10" s="266"/>
    </row>
    <row r="11" spans="1:22" ht="21" customHeight="1">
      <c r="B11" s="649" t="s">
        <v>0</v>
      </c>
      <c r="C11" s="651" t="s">
        <v>1</v>
      </c>
      <c r="D11" s="640" t="s">
        <v>34</v>
      </c>
      <c r="E11" s="640" t="s">
        <v>35</v>
      </c>
      <c r="F11" s="640" t="s">
        <v>2</v>
      </c>
      <c r="G11" s="654" t="s">
        <v>33</v>
      </c>
      <c r="H11" s="640" t="s">
        <v>3</v>
      </c>
      <c r="I11" s="640"/>
      <c r="J11" s="640"/>
      <c r="K11" s="641"/>
      <c r="O11" s="273"/>
      <c r="P11" s="274"/>
      <c r="Q11" s="273"/>
      <c r="S11" s="275"/>
      <c r="T11" s="276"/>
      <c r="U11" s="276"/>
      <c r="V11" s="276"/>
    </row>
    <row r="12" spans="1:22" ht="15" customHeight="1">
      <c r="B12" s="650"/>
      <c r="C12" s="652"/>
      <c r="D12" s="644"/>
      <c r="E12" s="644"/>
      <c r="F12" s="644"/>
      <c r="G12" s="655"/>
      <c r="H12" s="642" t="s">
        <v>38</v>
      </c>
      <c r="I12" s="642" t="s">
        <v>5</v>
      </c>
      <c r="J12" s="644" t="s">
        <v>39</v>
      </c>
      <c r="K12" s="645" t="s">
        <v>4</v>
      </c>
      <c r="O12" s="274"/>
      <c r="P12" s="274"/>
      <c r="Q12" s="274"/>
      <c r="S12" s="275"/>
      <c r="T12" s="275"/>
      <c r="U12" s="275"/>
      <c r="V12" s="275"/>
    </row>
    <row r="13" spans="1:22" ht="15" customHeight="1">
      <c r="B13" s="650"/>
      <c r="C13" s="653"/>
      <c r="D13" s="644"/>
      <c r="E13" s="644"/>
      <c r="F13" s="644"/>
      <c r="G13" s="656"/>
      <c r="H13" s="643"/>
      <c r="I13" s="643"/>
      <c r="J13" s="644"/>
      <c r="K13" s="645"/>
      <c r="O13" s="277"/>
      <c r="P13" s="277"/>
      <c r="Q13" s="277"/>
      <c r="S13" s="275"/>
      <c r="T13" s="275"/>
      <c r="U13" s="275"/>
      <c r="V13" s="275"/>
    </row>
    <row r="14" spans="1:22" s="287" customFormat="1" ht="15.75" customHeight="1">
      <c r="A14" s="258"/>
      <c r="B14" s="278"/>
      <c r="C14" s="279"/>
      <c r="D14" s="280"/>
      <c r="E14" s="281"/>
      <c r="F14" s="282"/>
      <c r="G14" s="282"/>
      <c r="H14" s="283"/>
      <c r="I14" s="283"/>
      <c r="J14" s="283"/>
      <c r="K14" s="284"/>
      <c r="L14" s="264"/>
      <c r="M14" s="264"/>
      <c r="N14" s="264"/>
      <c r="O14" s="285"/>
      <c r="P14" s="285"/>
      <c r="Q14" s="266"/>
      <c r="R14" s="258"/>
      <c r="S14" s="286"/>
      <c r="T14" s="263"/>
      <c r="U14" s="263"/>
      <c r="V14" s="263"/>
    </row>
    <row r="15" spans="1:22" s="289" customFormat="1">
      <c r="A15" s="258" t="e">
        <f>IF(AND(C15=0,#REF!=0,#REF!=0),"BLANKS",1)</f>
        <v>#REF!</v>
      </c>
      <c r="B15" s="488"/>
      <c r="C15" s="489"/>
      <c r="D15" s="280"/>
      <c r="E15" s="281"/>
      <c r="F15" s="290"/>
      <c r="G15" s="282">
        <f ca="1">IF(ISERROR(OFFSET('HARGA SATUAN'!$I$6,MATCH('RAB Estetika'!C15,'HARGA SATUAN'!$C$7:$C$1509,0),0)),0,OFFSET('HARGA SATUAN'!$I$6,MATCH('RAB Estetika'!C15,'HARGA SATUAN'!$C$7:$C$1509,0),0))</f>
        <v>0</v>
      </c>
      <c r="H15" s="283">
        <f t="shared" ref="H15:H54" si="0">IF(OR(D15="MDU",D15="MDU-KD"),(IF($O$3="RAB NON MDU","PLN KD",G15*F15)),0)</f>
        <v>0</v>
      </c>
      <c r="I15" s="283">
        <f t="shared" ref="I15:I54" si="1">IF(D15="HDW",G15*F15,0)</f>
        <v>0</v>
      </c>
      <c r="J15" s="283">
        <f t="shared" ref="J15:J54" si="2">IF(D15="JASA",G15*F15,0)</f>
        <v>0</v>
      </c>
      <c r="K15" s="284">
        <f t="shared" ref="K15:K54" si="3">SUM(H15:J15)</f>
        <v>0</v>
      </c>
      <c r="L15" s="288"/>
      <c r="M15" s="288"/>
      <c r="N15" s="288"/>
      <c r="O15" s="285"/>
      <c r="P15" s="285"/>
      <c r="Q15" s="266"/>
      <c r="R15" s="258"/>
      <c r="S15" s="286"/>
      <c r="T15" s="263"/>
      <c r="U15" s="263"/>
      <c r="V15" s="263"/>
    </row>
    <row r="16" spans="1:22" s="289" customFormat="1">
      <c r="A16" s="258" t="e">
        <f>IF(AND(C16=0,#REF!=0,#REF!=0),"BLANKS",1)</f>
        <v>#REF!</v>
      </c>
      <c r="B16" s="490"/>
      <c r="C16" s="491"/>
      <c r="D16" s="280"/>
      <c r="E16" s="281"/>
      <c r="F16" s="497"/>
      <c r="G16" s="282">
        <f ca="1">IF(ISERROR(OFFSET('HARGA SATUAN'!$I$6,MATCH('RAB Estetika'!C16,'HARGA SATUAN'!$C$7:$C$1509,0),0)),0,OFFSET('HARGA SATUAN'!$I$6,MATCH('RAB Estetika'!C16,'HARGA SATUAN'!$C$7:$C$1509,0),0))</f>
        <v>0</v>
      </c>
      <c r="H16" s="283">
        <f t="shared" ref="H16:H17" si="4">IF(OR(D16="MDU",D16="MDU-KD"),(IF($O$3="RAB NON MDU","PLN KD",G16*F16)),0)</f>
        <v>0</v>
      </c>
      <c r="I16" s="283">
        <f t="shared" ref="I16:I17" si="5">IF(D16="HDW",G16*F16,0)</f>
        <v>0</v>
      </c>
      <c r="J16" s="283">
        <f t="shared" ref="J16:J17" si="6">IF(D16="JASA",G16*F16,0)</f>
        <v>0</v>
      </c>
      <c r="K16" s="284">
        <f t="shared" ref="K16:K17" si="7">SUM(H16:J16)</f>
        <v>0</v>
      </c>
      <c r="L16" s="288"/>
      <c r="M16" s="288"/>
      <c r="N16" s="288"/>
      <c r="O16" s="285"/>
      <c r="P16" s="285"/>
      <c r="Q16" s="266"/>
      <c r="R16" s="258"/>
      <c r="S16" s="286"/>
      <c r="T16" s="263"/>
      <c r="U16" s="263"/>
      <c r="V16" s="263"/>
    </row>
    <row r="17" spans="1:22" s="289" customFormat="1">
      <c r="A17" s="258" t="e">
        <f>IF(AND(C17=0,C18=0,#REF!=0),"BLANKS",1)</f>
        <v>#REF!</v>
      </c>
      <c r="B17" s="490"/>
      <c r="C17" s="491"/>
      <c r="D17" s="280"/>
      <c r="E17" s="281"/>
      <c r="F17" s="497"/>
      <c r="G17" s="282">
        <f ca="1">IF(ISERROR(OFFSET('HARGA SATUAN'!$I$6,MATCH('RAB Estetika'!C17,'HARGA SATUAN'!$C$7:$C$1509,0),0)),0,OFFSET('HARGA SATUAN'!$I$6,MATCH('RAB Estetika'!C17,'HARGA SATUAN'!$C$7:$C$1509,0),0))</f>
        <v>0</v>
      </c>
      <c r="H17" s="283">
        <f t="shared" si="4"/>
        <v>0</v>
      </c>
      <c r="I17" s="283">
        <f t="shared" si="5"/>
        <v>0</v>
      </c>
      <c r="J17" s="283">
        <f t="shared" si="6"/>
        <v>0</v>
      </c>
      <c r="K17" s="284">
        <f t="shared" si="7"/>
        <v>0</v>
      </c>
      <c r="L17" s="288"/>
      <c r="M17" s="288"/>
      <c r="N17" s="288"/>
      <c r="O17" s="285"/>
      <c r="P17" s="285"/>
      <c r="Q17" s="266"/>
      <c r="R17" s="258"/>
      <c r="S17" s="286"/>
      <c r="T17" s="263"/>
      <c r="U17" s="263"/>
      <c r="V17" s="263"/>
    </row>
    <row r="18" spans="1:22" s="289" customFormat="1">
      <c r="A18" s="258" t="e">
        <f>IF(AND(C18=0,#REF!=0,#REF!=0),"BLANKS",1)</f>
        <v>#REF!</v>
      </c>
      <c r="B18" s="490"/>
      <c r="C18" s="491"/>
      <c r="D18" s="280"/>
      <c r="E18" s="281"/>
      <c r="F18" s="290"/>
      <c r="G18" s="282">
        <f ca="1">IF(ISERROR(OFFSET('HARGA SATUAN'!$I$6,MATCH('RAB Estetika'!C18,'HARGA SATUAN'!$C$7:$C$1509,0),0)),0,OFFSET('HARGA SATUAN'!$I$6,MATCH('RAB Estetika'!C18,'HARGA SATUAN'!$C$7:$C$1509,0),0))</f>
        <v>0</v>
      </c>
      <c r="H18" s="283">
        <f t="shared" si="0"/>
        <v>0</v>
      </c>
      <c r="I18" s="283">
        <f t="shared" si="1"/>
        <v>0</v>
      </c>
      <c r="J18" s="283">
        <f t="shared" si="2"/>
        <v>0</v>
      </c>
      <c r="K18" s="284">
        <f t="shared" si="3"/>
        <v>0</v>
      </c>
      <c r="L18" s="288"/>
      <c r="M18" s="288"/>
      <c r="N18" s="288"/>
      <c r="O18" s="285"/>
      <c r="P18" s="285"/>
      <c r="Q18" s="266"/>
      <c r="R18" s="258"/>
      <c r="S18" s="286"/>
      <c r="T18" s="263"/>
      <c r="U18" s="263"/>
      <c r="V18" s="263"/>
    </row>
    <row r="19" spans="1:22" s="289" customFormat="1" ht="14.25" customHeight="1">
      <c r="A19" s="258"/>
      <c r="B19" s="291"/>
      <c r="C19" s="292"/>
      <c r="D19" s="280"/>
      <c r="E19" s="281"/>
      <c r="F19" s="290"/>
      <c r="G19" s="282">
        <f ca="1">IF(ISERROR(OFFSET('HARGA SATUAN'!$I$6,MATCH('RAB Estetika'!C19,'HARGA SATUAN'!$C$7:$C$1509,0),0)),0,OFFSET('HARGA SATUAN'!$I$6,MATCH('RAB Estetika'!C19,'HARGA SATUAN'!$C$7:$C$1509,0),0))</f>
        <v>0</v>
      </c>
      <c r="H19" s="283">
        <f t="shared" si="0"/>
        <v>0</v>
      </c>
      <c r="I19" s="283">
        <f t="shared" si="1"/>
        <v>0</v>
      </c>
      <c r="J19" s="283">
        <f t="shared" si="2"/>
        <v>0</v>
      </c>
      <c r="K19" s="284">
        <f t="shared" si="3"/>
        <v>0</v>
      </c>
      <c r="L19" s="288"/>
      <c r="M19" s="288"/>
      <c r="N19" s="288"/>
      <c r="O19" s="285"/>
      <c r="P19" s="285"/>
      <c r="Q19" s="266"/>
      <c r="R19" s="258"/>
      <c r="S19" s="286"/>
      <c r="T19" s="263"/>
      <c r="U19" s="263"/>
      <c r="V19" s="263"/>
    </row>
    <row r="20" spans="1:22" s="289" customFormat="1">
      <c r="A20" s="258" t="e">
        <f>IF(AND(C20=0,#REF!=0,#REF!=0),"BLANKS",1)</f>
        <v>#REF!</v>
      </c>
      <c r="B20" s="492"/>
      <c r="C20" s="493"/>
      <c r="D20" s="280"/>
      <c r="E20" s="281"/>
      <c r="F20" s="497"/>
      <c r="G20" s="282">
        <f ca="1">IF(ISERROR(OFFSET('HARGA SATUAN'!$I$6,MATCH('RAB Estetika'!C20,'HARGA SATUAN'!$C$7:$C$1509,0),0)),0,OFFSET('HARGA SATUAN'!$I$6,MATCH('RAB Estetika'!C20,'HARGA SATUAN'!$C$7:$C$1509,0),0))</f>
        <v>0</v>
      </c>
      <c r="H20" s="283">
        <f t="shared" si="0"/>
        <v>0</v>
      </c>
      <c r="I20" s="283">
        <f t="shared" si="1"/>
        <v>0</v>
      </c>
      <c r="J20" s="283">
        <f t="shared" si="2"/>
        <v>0</v>
      </c>
      <c r="K20" s="284">
        <f t="shared" si="3"/>
        <v>0</v>
      </c>
      <c r="L20" s="288"/>
      <c r="M20" s="288"/>
      <c r="N20" s="288"/>
      <c r="O20" s="285"/>
      <c r="P20" s="285"/>
      <c r="Q20" s="266"/>
      <c r="R20" s="258"/>
      <c r="S20" s="286"/>
      <c r="T20" s="263"/>
      <c r="U20" s="263"/>
      <c r="V20" s="263"/>
    </row>
    <row r="21" spans="1:22" s="289" customFormat="1">
      <c r="A21" s="258"/>
      <c r="B21" s="492"/>
      <c r="C21" s="493"/>
      <c r="D21" s="280"/>
      <c r="E21" s="281"/>
      <c r="F21" s="497"/>
      <c r="G21" s="282">
        <f ca="1">IF(ISERROR(OFFSET('HARGA SATUAN'!$I$6,MATCH('RAB Estetika'!C21,'HARGA SATUAN'!$C$7:$C$1509,0),0)),0,OFFSET('HARGA SATUAN'!$I$6,MATCH('RAB Estetika'!C21,'HARGA SATUAN'!$C$7:$C$1509,0),0))</f>
        <v>0</v>
      </c>
      <c r="H21" s="283">
        <f t="shared" si="0"/>
        <v>0</v>
      </c>
      <c r="I21" s="283">
        <f t="shared" si="1"/>
        <v>0</v>
      </c>
      <c r="J21" s="283">
        <f t="shared" si="2"/>
        <v>0</v>
      </c>
      <c r="K21" s="284">
        <f t="shared" si="3"/>
        <v>0</v>
      </c>
      <c r="L21" s="288"/>
      <c r="M21" s="288"/>
      <c r="N21" s="288"/>
      <c r="O21" s="285"/>
      <c r="P21" s="285"/>
      <c r="Q21" s="266"/>
      <c r="R21" s="258"/>
      <c r="S21" s="286"/>
      <c r="T21" s="263"/>
      <c r="U21" s="263"/>
      <c r="V21" s="263"/>
    </row>
    <row r="22" spans="1:22" s="289" customFormat="1">
      <c r="A22" s="258" t="e">
        <f>IF(AND(C22=0,#REF!=0,#REF!=0),"BLANKS",1)</f>
        <v>#REF!</v>
      </c>
      <c r="B22" s="492"/>
      <c r="C22" s="493"/>
      <c r="D22" s="280"/>
      <c r="E22" s="281"/>
      <c r="F22" s="497"/>
      <c r="G22" s="282">
        <f ca="1">IF(ISERROR(OFFSET('HARGA SATUAN'!$I$6,MATCH('RAB Estetika'!C22,'HARGA SATUAN'!$C$7:$C$1509,0),0)),0,OFFSET('HARGA SATUAN'!$I$6,MATCH('RAB Estetika'!C22,'HARGA SATUAN'!$C$7:$C$1509,0),0))</f>
        <v>0</v>
      </c>
      <c r="H22" s="283">
        <f t="shared" si="0"/>
        <v>0</v>
      </c>
      <c r="I22" s="283">
        <f t="shared" si="1"/>
        <v>0</v>
      </c>
      <c r="J22" s="283">
        <f t="shared" si="2"/>
        <v>0</v>
      </c>
      <c r="K22" s="284">
        <f t="shared" si="3"/>
        <v>0</v>
      </c>
      <c r="L22" s="288"/>
      <c r="M22" s="288"/>
      <c r="N22" s="288"/>
      <c r="O22" s="285"/>
      <c r="P22" s="285"/>
      <c r="Q22" s="266"/>
      <c r="R22" s="258"/>
      <c r="S22" s="286"/>
      <c r="T22" s="263"/>
      <c r="U22" s="263"/>
      <c r="V22" s="263"/>
    </row>
    <row r="23" spans="1:22" s="289" customFormat="1">
      <c r="A23" s="258" t="e">
        <f>IF(AND(C23=0,C24=0,#REF!=0),"BLANKS",1)</f>
        <v>#REF!</v>
      </c>
      <c r="B23" s="492"/>
      <c r="C23" s="493"/>
      <c r="D23" s="280"/>
      <c r="E23" s="281"/>
      <c r="F23" s="497"/>
      <c r="G23" s="282">
        <f ca="1">IF(ISERROR(OFFSET('HARGA SATUAN'!$I$6,MATCH('RAB Estetika'!C23,'HARGA SATUAN'!$C$7:$C$1509,0),0)),0,OFFSET('HARGA SATUAN'!$I$6,MATCH('RAB Estetika'!C23,'HARGA SATUAN'!$C$7:$C$1509,0),0))</f>
        <v>0</v>
      </c>
      <c r="H23" s="283">
        <f t="shared" si="0"/>
        <v>0</v>
      </c>
      <c r="I23" s="283">
        <f t="shared" si="1"/>
        <v>0</v>
      </c>
      <c r="J23" s="283">
        <f t="shared" si="2"/>
        <v>0</v>
      </c>
      <c r="K23" s="284">
        <f t="shared" si="3"/>
        <v>0</v>
      </c>
      <c r="L23" s="288"/>
      <c r="M23" s="288"/>
      <c r="N23" s="288"/>
      <c r="O23" s="285"/>
      <c r="P23" s="285"/>
      <c r="Q23" s="266"/>
      <c r="R23" s="258"/>
      <c r="S23" s="286"/>
      <c r="T23" s="263"/>
      <c r="U23" s="263"/>
      <c r="V23" s="263"/>
    </row>
    <row r="24" spans="1:22" s="289" customFormat="1">
      <c r="A24" s="258" t="e">
        <f>IF(AND(C24=0,#REF!=0,#REF!=0),"BLANKS",1)</f>
        <v>#REF!</v>
      </c>
      <c r="B24" s="492"/>
      <c r="C24" s="493"/>
      <c r="D24" s="280"/>
      <c r="E24" s="281"/>
      <c r="F24" s="497"/>
      <c r="G24" s="282">
        <f ca="1">IF(ISERROR(OFFSET('HARGA SATUAN'!$I$6,MATCH('RAB Estetika'!C24,'HARGA SATUAN'!$C$7:$C$1509,0),0)),0,OFFSET('HARGA SATUAN'!$I$6,MATCH('RAB Estetika'!C24,'HARGA SATUAN'!$C$7:$C$1509,0),0))</f>
        <v>0</v>
      </c>
      <c r="H24" s="283">
        <f t="shared" si="0"/>
        <v>0</v>
      </c>
      <c r="I24" s="283">
        <f t="shared" si="1"/>
        <v>0</v>
      </c>
      <c r="J24" s="283">
        <f t="shared" si="2"/>
        <v>0</v>
      </c>
      <c r="K24" s="284">
        <f t="shared" si="3"/>
        <v>0</v>
      </c>
      <c r="L24" s="288"/>
      <c r="M24" s="288"/>
      <c r="N24" s="288"/>
      <c r="O24" s="285"/>
      <c r="P24" s="285"/>
      <c r="Q24" s="266"/>
      <c r="R24" s="258"/>
      <c r="S24" s="286"/>
      <c r="T24" s="263"/>
      <c r="U24" s="263"/>
      <c r="V24" s="263"/>
    </row>
    <row r="25" spans="1:22" s="289" customFormat="1">
      <c r="A25" s="258"/>
      <c r="B25" s="492"/>
      <c r="C25" s="493"/>
      <c r="D25" s="280"/>
      <c r="E25" s="281"/>
      <c r="F25" s="497"/>
      <c r="G25" s="282">
        <f ca="1">IF(ISERROR(OFFSET('HARGA SATUAN'!$I$6,MATCH('RAB Estetika'!C25,'HARGA SATUAN'!$C$7:$C$1509,0),0)),0,OFFSET('HARGA SATUAN'!$I$6,MATCH('RAB Estetika'!C25,'HARGA SATUAN'!$C$7:$C$1509,0),0))</f>
        <v>0</v>
      </c>
      <c r="H25" s="283">
        <f t="shared" si="0"/>
        <v>0</v>
      </c>
      <c r="I25" s="283">
        <f t="shared" si="1"/>
        <v>0</v>
      </c>
      <c r="J25" s="283">
        <f t="shared" si="2"/>
        <v>0</v>
      </c>
      <c r="K25" s="284">
        <f t="shared" si="3"/>
        <v>0</v>
      </c>
      <c r="L25" s="288"/>
      <c r="M25" s="288"/>
      <c r="N25" s="288"/>
      <c r="O25" s="285"/>
      <c r="P25" s="285"/>
      <c r="Q25" s="266"/>
      <c r="R25" s="258"/>
      <c r="S25" s="286"/>
      <c r="T25" s="263"/>
      <c r="U25" s="263"/>
      <c r="V25" s="263"/>
    </row>
    <row r="26" spans="1:22" s="289" customFormat="1">
      <c r="A26" s="258" t="e">
        <f>IF(AND(C26=0,C27=0,#REF!=0),"BLANKS",1)</f>
        <v>#REF!</v>
      </c>
      <c r="B26" s="492"/>
      <c r="C26" s="493"/>
      <c r="D26" s="280"/>
      <c r="E26" s="281"/>
      <c r="F26" s="497"/>
      <c r="G26" s="282">
        <f ca="1">IF(ISERROR(OFFSET('HARGA SATUAN'!$I$6,MATCH('RAB Estetika'!C26,'HARGA SATUAN'!$C$7:$C$1509,0),0)),0,OFFSET('HARGA SATUAN'!$I$6,MATCH('RAB Estetika'!C26,'HARGA SATUAN'!$C$7:$C$1509,0),0))</f>
        <v>0</v>
      </c>
      <c r="H26" s="283">
        <f t="shared" si="0"/>
        <v>0</v>
      </c>
      <c r="I26" s="283">
        <f t="shared" si="1"/>
        <v>0</v>
      </c>
      <c r="J26" s="283">
        <f t="shared" si="2"/>
        <v>0</v>
      </c>
      <c r="K26" s="284">
        <f t="shared" si="3"/>
        <v>0</v>
      </c>
      <c r="L26" s="288"/>
      <c r="M26" s="288"/>
      <c r="N26" s="288"/>
      <c r="O26" s="285"/>
      <c r="P26" s="285"/>
      <c r="Q26" s="266"/>
      <c r="R26" s="258"/>
      <c r="S26" s="286"/>
      <c r="T26" s="263"/>
      <c r="U26" s="263"/>
      <c r="V26" s="263"/>
    </row>
    <row r="27" spans="1:22" s="289" customFormat="1">
      <c r="A27" s="258" t="e">
        <f>IF(AND(C27=0,#REF!=0,#REF!=0),"BLANKS",1)</f>
        <v>#REF!</v>
      </c>
      <c r="B27" s="492"/>
      <c r="C27" s="493"/>
      <c r="D27" s="280"/>
      <c r="E27" s="281"/>
      <c r="F27" s="497"/>
      <c r="G27" s="282">
        <f ca="1">IF(ISERROR(OFFSET('HARGA SATUAN'!$I$6,MATCH('RAB Estetika'!C27,'HARGA SATUAN'!$C$7:$C$1509,0),0)),0,OFFSET('HARGA SATUAN'!$I$6,MATCH('RAB Estetika'!C27,'HARGA SATUAN'!$C$7:$C$1509,0),0))</f>
        <v>0</v>
      </c>
      <c r="H27" s="283">
        <f t="shared" si="0"/>
        <v>0</v>
      </c>
      <c r="I27" s="283">
        <f t="shared" si="1"/>
        <v>0</v>
      </c>
      <c r="J27" s="283">
        <f t="shared" si="2"/>
        <v>0</v>
      </c>
      <c r="K27" s="284">
        <f t="shared" si="3"/>
        <v>0</v>
      </c>
      <c r="L27" s="288"/>
      <c r="M27" s="288"/>
      <c r="N27" s="288"/>
      <c r="O27" s="285"/>
      <c r="P27" s="285"/>
      <c r="Q27" s="266"/>
      <c r="R27" s="258"/>
      <c r="S27" s="286"/>
      <c r="T27" s="263"/>
      <c r="U27" s="263"/>
      <c r="V27" s="263"/>
    </row>
    <row r="28" spans="1:22" s="289" customFormat="1">
      <c r="A28" s="258" t="e">
        <f>IF(AND(C28=0,#REF!=0,#REF!=0),"BLANKS",1)</f>
        <v>#REF!</v>
      </c>
      <c r="B28" s="492"/>
      <c r="C28" s="493"/>
      <c r="D28" s="280"/>
      <c r="E28" s="281"/>
      <c r="F28" s="497"/>
      <c r="G28" s="282">
        <f ca="1">IF(ISERROR(OFFSET('HARGA SATUAN'!$I$6,MATCH('RAB Estetika'!C28,'HARGA SATUAN'!$C$7:$C$1509,0),0)),0,OFFSET('HARGA SATUAN'!$I$6,MATCH('RAB Estetika'!C28,'HARGA SATUAN'!$C$7:$C$1509,0),0))</f>
        <v>0</v>
      </c>
      <c r="H28" s="283">
        <f t="shared" si="0"/>
        <v>0</v>
      </c>
      <c r="I28" s="283">
        <f t="shared" si="1"/>
        <v>0</v>
      </c>
      <c r="J28" s="283">
        <f t="shared" si="2"/>
        <v>0</v>
      </c>
      <c r="K28" s="284">
        <f t="shared" si="3"/>
        <v>0</v>
      </c>
      <c r="L28" s="288"/>
      <c r="M28" s="288"/>
      <c r="N28" s="288"/>
      <c r="O28" s="285"/>
      <c r="P28" s="285"/>
      <c r="Q28" s="266"/>
      <c r="R28" s="258"/>
      <c r="S28" s="286"/>
      <c r="T28" s="263"/>
      <c r="U28" s="263"/>
      <c r="V28" s="263"/>
    </row>
    <row r="29" spans="1:22" s="289" customFormat="1">
      <c r="A29" s="258"/>
      <c r="B29" s="492"/>
      <c r="C29" s="493"/>
      <c r="D29" s="280"/>
      <c r="E29" s="281"/>
      <c r="F29" s="497"/>
      <c r="G29" s="282">
        <f ca="1">IF(ISERROR(OFFSET('HARGA SATUAN'!$I$6,MATCH('RAB Estetika'!C29,'HARGA SATUAN'!$C$7:$C$1509,0),0)),0,OFFSET('HARGA SATUAN'!$I$6,MATCH('RAB Estetika'!C29,'HARGA SATUAN'!$C$7:$C$1509,0),0))</f>
        <v>0</v>
      </c>
      <c r="H29" s="283">
        <f t="shared" si="0"/>
        <v>0</v>
      </c>
      <c r="I29" s="283">
        <f t="shared" si="1"/>
        <v>0</v>
      </c>
      <c r="J29" s="283">
        <f t="shared" si="2"/>
        <v>0</v>
      </c>
      <c r="K29" s="284">
        <f t="shared" si="3"/>
        <v>0</v>
      </c>
      <c r="L29" s="288"/>
      <c r="M29" s="288"/>
      <c r="N29" s="288"/>
      <c r="O29" s="285"/>
      <c r="P29" s="285"/>
      <c r="Q29" s="266"/>
      <c r="R29" s="258"/>
      <c r="S29" s="286"/>
      <c r="T29" s="263"/>
      <c r="U29" s="263"/>
      <c r="V29" s="263"/>
    </row>
    <row r="30" spans="1:22" s="289" customFormat="1">
      <c r="A30" s="258" t="e">
        <f>IF(AND(C30=0,#REF!=0,#REF!=0),"BLANKS",1)</f>
        <v>#REF!</v>
      </c>
      <c r="B30" s="492"/>
      <c r="C30" s="493"/>
      <c r="D30" s="280"/>
      <c r="E30" s="281"/>
      <c r="F30" s="497"/>
      <c r="G30" s="282">
        <f ca="1">IF(ISERROR(OFFSET('HARGA SATUAN'!$I$6,MATCH('RAB Estetika'!C30,'HARGA SATUAN'!$C$7:$C$1509,0),0)),0,OFFSET('HARGA SATUAN'!$I$6,MATCH('RAB Estetika'!C30,'HARGA SATUAN'!$C$7:$C$1509,0),0))</f>
        <v>0</v>
      </c>
      <c r="H30" s="283">
        <f t="shared" si="0"/>
        <v>0</v>
      </c>
      <c r="I30" s="283">
        <f t="shared" si="1"/>
        <v>0</v>
      </c>
      <c r="J30" s="283">
        <f t="shared" si="2"/>
        <v>0</v>
      </c>
      <c r="K30" s="284">
        <f t="shared" si="3"/>
        <v>0</v>
      </c>
      <c r="L30" s="288"/>
      <c r="M30" s="288"/>
      <c r="N30" s="288"/>
      <c r="O30" s="285"/>
      <c r="P30" s="285"/>
      <c r="Q30" s="266"/>
      <c r="R30" s="258"/>
      <c r="S30" s="286"/>
      <c r="T30" s="263"/>
      <c r="U30" s="263"/>
      <c r="V30" s="263"/>
    </row>
    <row r="31" spans="1:22" s="289" customFormat="1">
      <c r="A31" s="258" t="e">
        <f>IF(AND(C31=0,C32=0,#REF!=0),"BLANKS",1)</f>
        <v>#REF!</v>
      </c>
      <c r="B31" s="492"/>
      <c r="C31" s="493"/>
      <c r="D31" s="280"/>
      <c r="E31" s="281"/>
      <c r="F31" s="497"/>
      <c r="G31" s="282">
        <f ca="1">IF(ISERROR(OFFSET('HARGA SATUAN'!$I$6,MATCH('RAB Estetika'!C31,'HARGA SATUAN'!$C$7:$C$1509,0),0)),0,OFFSET('HARGA SATUAN'!$I$6,MATCH('RAB Estetika'!C31,'HARGA SATUAN'!$C$7:$C$1509,0),0))</f>
        <v>0</v>
      </c>
      <c r="H31" s="283">
        <f t="shared" si="0"/>
        <v>0</v>
      </c>
      <c r="I31" s="283">
        <f t="shared" si="1"/>
        <v>0</v>
      </c>
      <c r="J31" s="283">
        <f t="shared" si="2"/>
        <v>0</v>
      </c>
      <c r="K31" s="284">
        <f t="shared" si="3"/>
        <v>0</v>
      </c>
      <c r="L31" s="288"/>
      <c r="M31" s="288"/>
      <c r="N31" s="288"/>
      <c r="O31" s="285"/>
      <c r="P31" s="285"/>
      <c r="Q31" s="266"/>
      <c r="R31" s="258"/>
      <c r="S31" s="286"/>
      <c r="T31" s="263"/>
      <c r="U31" s="263"/>
      <c r="V31" s="263"/>
    </row>
    <row r="32" spans="1:22" s="289" customFormat="1">
      <c r="A32" s="258" t="e">
        <f>IF(AND(C32=0,#REF!=0,#REF!=0),"BLANKS",1)</f>
        <v>#REF!</v>
      </c>
      <c r="B32" s="492"/>
      <c r="C32" s="493"/>
      <c r="D32" s="280"/>
      <c r="E32" s="281"/>
      <c r="F32" s="497"/>
      <c r="G32" s="282">
        <f ca="1">IF(ISERROR(OFFSET('HARGA SATUAN'!$I$6,MATCH('RAB Estetika'!C32,'HARGA SATUAN'!$C$7:$C$1509,0),0)),0,OFFSET('HARGA SATUAN'!$I$6,MATCH('RAB Estetika'!C32,'HARGA SATUAN'!$C$7:$C$1509,0),0))</f>
        <v>0</v>
      </c>
      <c r="H32" s="283">
        <f t="shared" si="0"/>
        <v>0</v>
      </c>
      <c r="I32" s="283">
        <f t="shared" si="1"/>
        <v>0</v>
      </c>
      <c r="J32" s="283">
        <f t="shared" si="2"/>
        <v>0</v>
      </c>
      <c r="K32" s="284">
        <f t="shared" si="3"/>
        <v>0</v>
      </c>
      <c r="L32" s="288"/>
      <c r="M32" s="288"/>
      <c r="N32" s="288"/>
      <c r="O32" s="285"/>
      <c r="P32" s="285"/>
      <c r="Q32" s="266"/>
      <c r="R32" s="258"/>
      <c r="S32" s="286"/>
      <c r="T32" s="263"/>
      <c r="U32" s="263"/>
      <c r="V32" s="263"/>
    </row>
    <row r="33" spans="1:22" s="289" customFormat="1">
      <c r="A33" s="258"/>
      <c r="B33" s="492"/>
      <c r="C33" s="493"/>
      <c r="D33" s="280"/>
      <c r="E33" s="281"/>
      <c r="F33" s="497"/>
      <c r="G33" s="282">
        <f ca="1">IF(ISERROR(OFFSET('HARGA SATUAN'!$I$6,MATCH('RAB Estetika'!C33,'HARGA SATUAN'!$C$7:$C$1509,0),0)),0,OFFSET('HARGA SATUAN'!$I$6,MATCH('RAB Estetika'!C33,'HARGA SATUAN'!$C$7:$C$1509,0),0))</f>
        <v>0</v>
      </c>
      <c r="H33" s="283">
        <f t="shared" si="0"/>
        <v>0</v>
      </c>
      <c r="I33" s="283">
        <f t="shared" si="1"/>
        <v>0</v>
      </c>
      <c r="J33" s="283">
        <f t="shared" si="2"/>
        <v>0</v>
      </c>
      <c r="K33" s="284">
        <f t="shared" si="3"/>
        <v>0</v>
      </c>
      <c r="L33" s="288"/>
      <c r="M33" s="288"/>
      <c r="N33" s="288"/>
      <c r="O33" s="285"/>
      <c r="P33" s="285"/>
      <c r="Q33" s="266"/>
      <c r="R33" s="258"/>
      <c r="S33" s="286"/>
      <c r="T33" s="263"/>
      <c r="U33" s="263"/>
      <c r="V33" s="263"/>
    </row>
    <row r="34" spans="1:22" s="289" customFormat="1">
      <c r="A34" s="258" t="e">
        <f>IF(AND(C34=0,#REF!=0,#REF!=0),"BLANKS",1)</f>
        <v>#REF!</v>
      </c>
      <c r="B34" s="492"/>
      <c r="C34" s="493"/>
      <c r="D34" s="280"/>
      <c r="E34" s="281"/>
      <c r="F34" s="497"/>
      <c r="G34" s="282">
        <f ca="1">IF(ISERROR(OFFSET('HARGA SATUAN'!$I$6,MATCH('RAB Estetika'!C34,'HARGA SATUAN'!$C$7:$C$1509,0),0)),0,OFFSET('HARGA SATUAN'!$I$6,MATCH('RAB Estetika'!C34,'HARGA SATUAN'!$C$7:$C$1509,0),0))</f>
        <v>0</v>
      </c>
      <c r="H34" s="283">
        <f t="shared" si="0"/>
        <v>0</v>
      </c>
      <c r="I34" s="283">
        <f t="shared" si="1"/>
        <v>0</v>
      </c>
      <c r="J34" s="283">
        <f t="shared" si="2"/>
        <v>0</v>
      </c>
      <c r="K34" s="284">
        <f t="shared" si="3"/>
        <v>0</v>
      </c>
      <c r="L34" s="288"/>
      <c r="M34" s="288"/>
      <c r="N34" s="288"/>
      <c r="O34" s="285"/>
      <c r="P34" s="285"/>
      <c r="Q34" s="266"/>
      <c r="R34" s="258"/>
      <c r="S34" s="286"/>
      <c r="T34" s="263"/>
      <c r="U34" s="263"/>
      <c r="V34" s="263"/>
    </row>
    <row r="35" spans="1:22" s="289" customFormat="1">
      <c r="A35" s="258"/>
      <c r="B35" s="492"/>
      <c r="C35" s="493"/>
      <c r="D35" s="280"/>
      <c r="E35" s="281"/>
      <c r="F35" s="497"/>
      <c r="G35" s="282">
        <f ca="1">IF(ISERROR(OFFSET('HARGA SATUAN'!$I$6,MATCH('RAB Estetika'!C35,'HARGA SATUAN'!$C$7:$C$1509,0),0)),0,OFFSET('HARGA SATUAN'!$I$6,MATCH('RAB Estetika'!C35,'HARGA SATUAN'!$C$7:$C$1509,0),0))</f>
        <v>0</v>
      </c>
      <c r="H35" s="283">
        <f t="shared" si="0"/>
        <v>0</v>
      </c>
      <c r="I35" s="283">
        <f t="shared" si="1"/>
        <v>0</v>
      </c>
      <c r="J35" s="283">
        <f t="shared" si="2"/>
        <v>0</v>
      </c>
      <c r="K35" s="284">
        <f t="shared" si="3"/>
        <v>0</v>
      </c>
      <c r="L35" s="288"/>
      <c r="M35" s="288"/>
      <c r="N35" s="288"/>
      <c r="O35" s="285"/>
      <c r="P35" s="285"/>
      <c r="Q35" s="266"/>
      <c r="R35" s="258"/>
      <c r="S35" s="286"/>
      <c r="T35" s="263"/>
      <c r="U35" s="263"/>
      <c r="V35" s="263"/>
    </row>
    <row r="36" spans="1:22" s="289" customFormat="1">
      <c r="A36" s="258" t="e">
        <f>IF(AND(C36=0,#REF!=0,#REF!=0),"BLANKS",1)</f>
        <v>#REF!</v>
      </c>
      <c r="B36" s="492"/>
      <c r="C36" s="493"/>
      <c r="D36" s="280"/>
      <c r="E36" s="281"/>
      <c r="F36" s="497"/>
      <c r="G36" s="282">
        <f ca="1">IF(ISERROR(OFFSET('HARGA SATUAN'!$I$6,MATCH('RAB Estetika'!C36,'HARGA SATUAN'!$C$7:$C$1509,0),0)),0,OFFSET('HARGA SATUAN'!$I$6,MATCH('RAB Estetika'!C36,'HARGA SATUAN'!$C$7:$C$1509,0),0))</f>
        <v>0</v>
      </c>
      <c r="H36" s="283">
        <f t="shared" si="0"/>
        <v>0</v>
      </c>
      <c r="I36" s="283">
        <f t="shared" si="1"/>
        <v>0</v>
      </c>
      <c r="J36" s="283">
        <f t="shared" si="2"/>
        <v>0</v>
      </c>
      <c r="K36" s="284">
        <f t="shared" si="3"/>
        <v>0</v>
      </c>
      <c r="L36" s="288"/>
      <c r="M36" s="288"/>
      <c r="N36" s="288"/>
      <c r="O36" s="285"/>
      <c r="P36" s="285"/>
      <c r="Q36" s="266"/>
      <c r="R36" s="258"/>
      <c r="S36" s="286"/>
      <c r="T36" s="263"/>
      <c r="U36" s="263"/>
      <c r="V36" s="263"/>
    </row>
    <row r="37" spans="1:22" s="289" customFormat="1">
      <c r="A37" s="258" t="e">
        <f>IF(AND(C37=0,C38=0,#REF!=0),"BLANKS",1)</f>
        <v>#REF!</v>
      </c>
      <c r="B37" s="492"/>
      <c r="C37" s="493"/>
      <c r="D37" s="280"/>
      <c r="E37" s="281"/>
      <c r="F37" s="497"/>
      <c r="G37" s="282">
        <f ca="1">IF(ISERROR(OFFSET('HARGA SATUAN'!$I$6,MATCH('RAB Estetika'!C37,'HARGA SATUAN'!$C$7:$C$1509,0),0)),0,OFFSET('HARGA SATUAN'!$I$6,MATCH('RAB Estetika'!C37,'HARGA SATUAN'!$C$7:$C$1509,0),0))</f>
        <v>0</v>
      </c>
      <c r="H37" s="283">
        <f t="shared" si="0"/>
        <v>0</v>
      </c>
      <c r="I37" s="283">
        <f t="shared" si="1"/>
        <v>0</v>
      </c>
      <c r="J37" s="283">
        <f t="shared" si="2"/>
        <v>0</v>
      </c>
      <c r="K37" s="284">
        <f t="shared" si="3"/>
        <v>0</v>
      </c>
      <c r="L37" s="288"/>
      <c r="M37" s="288"/>
      <c r="N37" s="288"/>
      <c r="O37" s="285"/>
      <c r="P37" s="285"/>
      <c r="Q37" s="266"/>
      <c r="R37" s="258"/>
      <c r="S37" s="286"/>
      <c r="T37" s="263"/>
      <c r="U37" s="263"/>
      <c r="V37" s="263"/>
    </row>
    <row r="38" spans="1:22" s="289" customFormat="1">
      <c r="A38" s="258" t="e">
        <f>IF(AND(C38=0,#REF!=0,#REF!=0),"BLANKS",1)</f>
        <v>#REF!</v>
      </c>
      <c r="B38" s="492"/>
      <c r="C38" s="493"/>
      <c r="D38" s="280"/>
      <c r="E38" s="281"/>
      <c r="F38" s="497"/>
      <c r="G38" s="282">
        <f ca="1">IF(ISERROR(OFFSET('HARGA SATUAN'!$I$6,MATCH('RAB Estetika'!C38,'HARGA SATUAN'!$C$7:$C$1509,0),0)),0,OFFSET('HARGA SATUAN'!$I$6,MATCH('RAB Estetika'!C38,'HARGA SATUAN'!$C$7:$C$1509,0),0))</f>
        <v>0</v>
      </c>
      <c r="H38" s="283">
        <f t="shared" si="0"/>
        <v>0</v>
      </c>
      <c r="I38" s="283">
        <f t="shared" si="1"/>
        <v>0</v>
      </c>
      <c r="J38" s="283">
        <f t="shared" si="2"/>
        <v>0</v>
      </c>
      <c r="K38" s="284">
        <f t="shared" si="3"/>
        <v>0</v>
      </c>
      <c r="L38" s="288"/>
      <c r="M38" s="288"/>
      <c r="N38" s="288"/>
      <c r="O38" s="285"/>
      <c r="P38" s="285"/>
      <c r="Q38" s="266"/>
      <c r="R38" s="258"/>
      <c r="S38" s="286"/>
      <c r="T38" s="263"/>
      <c r="U38" s="263"/>
      <c r="V38" s="263"/>
    </row>
    <row r="39" spans="1:22" s="289" customFormat="1">
      <c r="A39" s="258" t="e">
        <f>IF(AND(C39=0,#REF!=0,#REF!=0),"BLANKS",1)</f>
        <v>#REF!</v>
      </c>
      <c r="B39" s="454"/>
      <c r="C39" s="109"/>
      <c r="D39" s="280"/>
      <c r="E39" s="281"/>
      <c r="F39" s="455"/>
      <c r="G39" s="282">
        <f ca="1">IF(ISERROR(OFFSET('HARGA SATUAN'!$I$6,MATCH('RAB Estetika'!C39,'HARGA SATUAN'!$C$7:$C$1509,0),0)),0,OFFSET('HARGA SATUAN'!$I$6,MATCH('RAB Estetika'!C39,'HARGA SATUAN'!$C$7:$C$1509,0),0))</f>
        <v>0</v>
      </c>
      <c r="H39" s="283">
        <f t="shared" si="0"/>
        <v>0</v>
      </c>
      <c r="I39" s="283">
        <f t="shared" si="1"/>
        <v>0</v>
      </c>
      <c r="J39" s="283">
        <f t="shared" si="2"/>
        <v>0</v>
      </c>
      <c r="K39" s="284">
        <f t="shared" si="3"/>
        <v>0</v>
      </c>
      <c r="L39" s="288"/>
      <c r="M39" s="288"/>
      <c r="N39" s="288"/>
      <c r="O39" s="285"/>
      <c r="P39" s="285"/>
      <c r="Q39" s="266"/>
      <c r="R39" s="258"/>
      <c r="S39" s="286"/>
      <c r="T39" s="263"/>
      <c r="U39" s="263"/>
      <c r="V39" s="263"/>
    </row>
    <row r="40" spans="1:22" s="289" customFormat="1">
      <c r="A40" s="258" t="e">
        <f>IF(AND(C40=0,#REF!=0,#REF!=0),"BLANKS",1)</f>
        <v>#REF!</v>
      </c>
      <c r="B40" s="508"/>
      <c r="C40" s="509"/>
      <c r="D40" s="280"/>
      <c r="E40" s="281"/>
      <c r="F40" s="388"/>
      <c r="G40" s="282">
        <f ca="1">IF(ISERROR(OFFSET('HARGA SATUAN'!$I$6,MATCH('RAB Estetika'!C40,'HARGA SATUAN'!$C$7:$C$1509,0),0)),0,OFFSET('HARGA SATUAN'!$I$6,MATCH('RAB Estetika'!C40,'HARGA SATUAN'!$C$7:$C$1509,0),0))</f>
        <v>0</v>
      </c>
      <c r="H40" s="283">
        <f t="shared" ref="H40:H46" si="8">IF(OR(D40="MDU",D40="MDU-KD"),(IF($O$3="RAB NON MDU","PLN KD",G40*F40)),0)</f>
        <v>0</v>
      </c>
      <c r="I40" s="283">
        <f t="shared" ref="I40:I46" si="9">IF(D40="HDW",G40*F40,0)</f>
        <v>0</v>
      </c>
      <c r="J40" s="283">
        <f t="shared" ref="J40:J46" si="10">IF(D40="JASA",G40*F40,0)</f>
        <v>0</v>
      </c>
      <c r="K40" s="284">
        <f t="shared" ref="K40:K46" si="11">SUM(H40:J40)</f>
        <v>0</v>
      </c>
      <c r="L40" s="288"/>
      <c r="M40" s="288"/>
      <c r="N40" s="288"/>
      <c r="O40" s="285"/>
      <c r="P40" s="285"/>
      <c r="Q40" s="266"/>
      <c r="R40" s="258"/>
      <c r="S40" s="286"/>
      <c r="T40" s="263"/>
      <c r="U40" s="263"/>
      <c r="V40" s="263"/>
    </row>
    <row r="41" spans="1:22" s="289" customFormat="1">
      <c r="A41" s="258" t="e">
        <f>IF(AND(C41=0,C42=0,#REF!=0),"BLANKS",1)</f>
        <v>#REF!</v>
      </c>
      <c r="B41" s="508"/>
      <c r="C41" s="509"/>
      <c r="D41" s="280"/>
      <c r="E41" s="281"/>
      <c r="F41" s="388"/>
      <c r="G41" s="282">
        <f ca="1">IF(ISERROR(OFFSET('HARGA SATUAN'!$I$6,MATCH('RAB Estetika'!C41,'HARGA SATUAN'!$C$7:$C$1509,0),0)),0,OFFSET('HARGA SATUAN'!$I$6,MATCH('RAB Estetika'!C41,'HARGA SATUAN'!$C$7:$C$1509,0),0))</f>
        <v>0</v>
      </c>
      <c r="H41" s="283">
        <f t="shared" si="8"/>
        <v>0</v>
      </c>
      <c r="I41" s="283">
        <f t="shared" si="9"/>
        <v>0</v>
      </c>
      <c r="J41" s="283">
        <f t="shared" si="10"/>
        <v>0</v>
      </c>
      <c r="K41" s="284">
        <f t="shared" si="11"/>
        <v>0</v>
      </c>
      <c r="L41" s="288"/>
      <c r="M41" s="288"/>
      <c r="N41" s="288"/>
      <c r="O41" s="285"/>
      <c r="P41" s="285"/>
      <c r="Q41" s="266"/>
      <c r="R41" s="258"/>
      <c r="S41" s="286"/>
      <c r="T41" s="263"/>
      <c r="U41" s="263"/>
      <c r="V41" s="263"/>
    </row>
    <row r="42" spans="1:22" s="289" customFormat="1">
      <c r="A42" s="258" t="e">
        <f>IF(AND(C42=0,#REF!=0,#REF!=0),"BLANKS",1)</f>
        <v>#REF!</v>
      </c>
      <c r="B42" s="508"/>
      <c r="C42" s="509"/>
      <c r="D42" s="280"/>
      <c r="E42" s="281"/>
      <c r="F42" s="388"/>
      <c r="G42" s="282">
        <f ca="1">IF(ISERROR(OFFSET('HARGA SATUAN'!$I$6,MATCH('RAB Estetika'!C42,'HARGA SATUAN'!$C$7:$C$1509,0),0)),0,OFFSET('HARGA SATUAN'!$I$6,MATCH('RAB Estetika'!C42,'HARGA SATUAN'!$C$7:$C$1509,0),0))</f>
        <v>0</v>
      </c>
      <c r="H42" s="283">
        <f t="shared" si="8"/>
        <v>0</v>
      </c>
      <c r="I42" s="283">
        <f t="shared" si="9"/>
        <v>0</v>
      </c>
      <c r="J42" s="283">
        <f t="shared" si="10"/>
        <v>0</v>
      </c>
      <c r="K42" s="284">
        <f t="shared" si="11"/>
        <v>0</v>
      </c>
      <c r="L42" s="288"/>
      <c r="M42" s="288"/>
      <c r="N42" s="288"/>
      <c r="O42" s="285"/>
      <c r="P42" s="285"/>
      <c r="Q42" s="266"/>
      <c r="R42" s="258"/>
      <c r="S42" s="286"/>
      <c r="T42" s="263"/>
      <c r="U42" s="263"/>
      <c r="V42" s="263"/>
    </row>
    <row r="43" spans="1:22" s="289" customFormat="1">
      <c r="A43" s="258"/>
      <c r="B43" s="508"/>
      <c r="C43" s="509"/>
      <c r="D43" s="280"/>
      <c r="E43" s="281"/>
      <c r="F43" s="388"/>
      <c r="G43" s="282">
        <f ca="1">IF(ISERROR(OFFSET('HARGA SATUAN'!$I$6,MATCH('RAB Estetika'!C43,'HARGA SATUAN'!$C$7:$C$1509,0),0)),0,OFFSET('HARGA SATUAN'!$I$6,MATCH('RAB Estetika'!C43,'HARGA SATUAN'!$C$7:$C$1509,0),0))</f>
        <v>0</v>
      </c>
      <c r="H43" s="283">
        <f t="shared" si="8"/>
        <v>0</v>
      </c>
      <c r="I43" s="283">
        <f t="shared" si="9"/>
        <v>0</v>
      </c>
      <c r="J43" s="283">
        <f t="shared" si="10"/>
        <v>0</v>
      </c>
      <c r="K43" s="284">
        <f t="shared" si="11"/>
        <v>0</v>
      </c>
      <c r="L43" s="288"/>
      <c r="M43" s="288"/>
      <c r="N43" s="288"/>
      <c r="O43" s="285"/>
      <c r="P43" s="285"/>
      <c r="Q43" s="266"/>
      <c r="R43" s="258"/>
      <c r="S43" s="286"/>
      <c r="T43" s="263"/>
      <c r="U43" s="263"/>
      <c r="V43" s="263"/>
    </row>
    <row r="44" spans="1:22" s="289" customFormat="1">
      <c r="A44" s="258" t="e">
        <f>IF(AND(C44=0,C45=0,#REF!=0),"BLANKS",1)</f>
        <v>#REF!</v>
      </c>
      <c r="B44" s="508"/>
      <c r="C44" s="509"/>
      <c r="D44" s="280"/>
      <c r="E44" s="281"/>
      <c r="F44" s="388"/>
      <c r="G44" s="282">
        <f ca="1">IF(ISERROR(OFFSET('HARGA SATUAN'!$I$6,MATCH('RAB Estetika'!C44,'HARGA SATUAN'!$C$7:$C$1509,0),0)),0,OFFSET('HARGA SATUAN'!$I$6,MATCH('RAB Estetika'!C44,'HARGA SATUAN'!$C$7:$C$1509,0),0))</f>
        <v>0</v>
      </c>
      <c r="H44" s="283">
        <f t="shared" si="8"/>
        <v>0</v>
      </c>
      <c r="I44" s="283">
        <f t="shared" si="9"/>
        <v>0</v>
      </c>
      <c r="J44" s="283">
        <f t="shared" si="10"/>
        <v>0</v>
      </c>
      <c r="K44" s="284">
        <f t="shared" si="11"/>
        <v>0</v>
      </c>
      <c r="L44" s="288"/>
      <c r="M44" s="288"/>
      <c r="N44" s="288"/>
      <c r="O44" s="285"/>
      <c r="P44" s="285"/>
      <c r="Q44" s="266"/>
      <c r="R44" s="258"/>
      <c r="S44" s="286"/>
      <c r="T44" s="263"/>
      <c r="U44" s="263"/>
      <c r="V44" s="263"/>
    </row>
    <row r="45" spans="1:22" s="289" customFormat="1">
      <c r="A45" s="258" t="e">
        <f>IF(AND(C45=0,#REF!=0,#REF!=0),"BLANKS",1)</f>
        <v>#REF!</v>
      </c>
      <c r="B45" s="508"/>
      <c r="C45" s="509"/>
      <c r="D45" s="280"/>
      <c r="E45" s="281"/>
      <c r="F45" s="388"/>
      <c r="G45" s="282">
        <f ca="1">IF(ISERROR(OFFSET('HARGA SATUAN'!$I$6,MATCH('RAB Estetika'!C45,'HARGA SATUAN'!$C$7:$C$1509,0),0)),0,OFFSET('HARGA SATUAN'!$I$6,MATCH('RAB Estetika'!C45,'HARGA SATUAN'!$C$7:$C$1509,0),0))</f>
        <v>0</v>
      </c>
      <c r="H45" s="283">
        <f t="shared" si="8"/>
        <v>0</v>
      </c>
      <c r="I45" s="283">
        <f t="shared" si="9"/>
        <v>0</v>
      </c>
      <c r="J45" s="283">
        <f t="shared" si="10"/>
        <v>0</v>
      </c>
      <c r="K45" s="284">
        <f t="shared" si="11"/>
        <v>0</v>
      </c>
      <c r="L45" s="288"/>
      <c r="M45" s="288"/>
      <c r="N45" s="288"/>
      <c r="O45" s="285"/>
      <c r="P45" s="285"/>
      <c r="Q45" s="266"/>
      <c r="R45" s="258"/>
      <c r="S45" s="286"/>
      <c r="T45" s="263"/>
      <c r="U45" s="263"/>
      <c r="V45" s="263"/>
    </row>
    <row r="46" spans="1:22" s="289" customFormat="1">
      <c r="A46" s="258"/>
      <c r="B46" s="293"/>
      <c r="C46" s="494"/>
      <c r="D46" s="280"/>
      <c r="E46" s="281"/>
      <c r="F46" s="388"/>
      <c r="G46" s="282">
        <f ca="1">IF(ISERROR(OFFSET('HARGA SATUAN'!$I$6,MATCH('RAB Estetika'!C46,'HARGA SATUAN'!$C$7:$C$1509,0),0)),0,OFFSET('HARGA SATUAN'!$I$6,MATCH('RAB Estetika'!C46,'HARGA SATUAN'!$C$7:$C$1509,0),0))</f>
        <v>0</v>
      </c>
      <c r="H46" s="283">
        <f t="shared" si="8"/>
        <v>0</v>
      </c>
      <c r="I46" s="283">
        <f t="shared" si="9"/>
        <v>0</v>
      </c>
      <c r="J46" s="283">
        <f t="shared" si="10"/>
        <v>0</v>
      </c>
      <c r="K46" s="284">
        <f t="shared" si="11"/>
        <v>0</v>
      </c>
      <c r="L46" s="288"/>
      <c r="M46" s="288"/>
      <c r="N46" s="288"/>
      <c r="O46" s="285"/>
      <c r="P46" s="285"/>
      <c r="Q46" s="266"/>
      <c r="R46" s="258"/>
      <c r="S46" s="286"/>
      <c r="T46" s="263"/>
      <c r="U46" s="263"/>
      <c r="V46" s="263"/>
    </row>
    <row r="47" spans="1:22" s="289" customFormat="1">
      <c r="A47" s="258" t="e">
        <f>IF(AND(C47=0,#REF!=0,#REF!=0),"BLANKS",1)</f>
        <v>#REF!</v>
      </c>
      <c r="B47" s="293"/>
      <c r="C47" s="494"/>
      <c r="D47" s="280"/>
      <c r="E47" s="281"/>
      <c r="F47" s="388"/>
      <c r="G47" s="282">
        <f ca="1">IF(ISERROR(OFFSET('HARGA SATUAN'!$I$6,MATCH('RAB Estetika'!C47,'HARGA SATUAN'!$C$7:$C$1509,0),0)),0,OFFSET('HARGA SATUAN'!$I$6,MATCH('RAB Estetika'!C47,'HARGA SATUAN'!$C$7:$C$1509,0),0))</f>
        <v>0</v>
      </c>
      <c r="H47" s="283">
        <f t="shared" si="0"/>
        <v>0</v>
      </c>
      <c r="I47" s="283">
        <f t="shared" si="1"/>
        <v>0</v>
      </c>
      <c r="J47" s="283">
        <f t="shared" si="2"/>
        <v>0</v>
      </c>
      <c r="K47" s="284">
        <f t="shared" si="3"/>
        <v>0</v>
      </c>
      <c r="L47" s="288"/>
      <c r="M47" s="288"/>
      <c r="N47" s="288"/>
      <c r="O47" s="285"/>
      <c r="P47" s="285"/>
      <c r="Q47" s="266"/>
      <c r="R47" s="258"/>
      <c r="S47" s="286"/>
      <c r="T47" s="263"/>
      <c r="U47" s="263"/>
      <c r="V47" s="263"/>
    </row>
    <row r="48" spans="1:22" s="289" customFormat="1">
      <c r="A48" s="258" t="e">
        <f>IF(AND(C48=0,C49=0,#REF!=0),"BLANKS",1)</f>
        <v>#REF!</v>
      </c>
      <c r="B48" s="293"/>
      <c r="C48" s="494"/>
      <c r="D48" s="280"/>
      <c r="E48" s="281"/>
      <c r="F48" s="388"/>
      <c r="G48" s="282">
        <f ca="1">IF(ISERROR(OFFSET('HARGA SATUAN'!$I$6,MATCH('RAB Estetika'!C48,'HARGA SATUAN'!$C$7:$C$1509,0),0)),0,OFFSET('HARGA SATUAN'!$I$6,MATCH('RAB Estetika'!C48,'HARGA SATUAN'!$C$7:$C$1509,0),0))</f>
        <v>0</v>
      </c>
      <c r="H48" s="283">
        <f t="shared" si="0"/>
        <v>0</v>
      </c>
      <c r="I48" s="283">
        <f t="shared" si="1"/>
        <v>0</v>
      </c>
      <c r="J48" s="283">
        <f t="shared" si="2"/>
        <v>0</v>
      </c>
      <c r="K48" s="284">
        <f t="shared" si="3"/>
        <v>0</v>
      </c>
      <c r="L48" s="288"/>
      <c r="M48" s="288"/>
      <c r="N48" s="288"/>
      <c r="O48" s="285"/>
      <c r="P48" s="285"/>
      <c r="Q48" s="266"/>
      <c r="R48" s="258"/>
      <c r="S48" s="286"/>
      <c r="T48" s="263"/>
      <c r="U48" s="263"/>
      <c r="V48" s="263"/>
    </row>
    <row r="49" spans="1:22" s="289" customFormat="1">
      <c r="A49" s="258" t="e">
        <f>IF(AND(C49=0,#REF!=0,#REF!=0),"BLANKS",1)</f>
        <v>#REF!</v>
      </c>
      <c r="B49" s="293"/>
      <c r="C49" s="494"/>
      <c r="D49" s="280"/>
      <c r="E49" s="281"/>
      <c r="F49" s="388"/>
      <c r="G49" s="282">
        <f ca="1">IF(ISERROR(OFFSET('HARGA SATUAN'!$I$6,MATCH('RAB Estetika'!C49,'HARGA SATUAN'!$C$7:$C$1509,0),0)),0,OFFSET('HARGA SATUAN'!$I$6,MATCH('RAB Estetika'!C49,'HARGA SATUAN'!$C$7:$C$1509,0),0))</f>
        <v>0</v>
      </c>
      <c r="H49" s="283">
        <f t="shared" si="0"/>
        <v>0</v>
      </c>
      <c r="I49" s="283">
        <f t="shared" si="1"/>
        <v>0</v>
      </c>
      <c r="J49" s="283">
        <f t="shared" si="2"/>
        <v>0</v>
      </c>
      <c r="K49" s="284">
        <f t="shared" si="3"/>
        <v>0</v>
      </c>
      <c r="L49" s="288"/>
      <c r="M49" s="288"/>
      <c r="N49" s="288"/>
      <c r="O49" s="285"/>
      <c r="P49" s="285"/>
      <c r="Q49" s="266"/>
      <c r="R49" s="258"/>
      <c r="S49" s="286"/>
      <c r="T49" s="263"/>
      <c r="U49" s="263"/>
      <c r="V49" s="263"/>
    </row>
    <row r="50" spans="1:22" s="289" customFormat="1">
      <c r="A50" s="258"/>
      <c r="B50" s="293"/>
      <c r="C50" s="494"/>
      <c r="D50" s="280"/>
      <c r="E50" s="281"/>
      <c r="F50" s="388"/>
      <c r="G50" s="282">
        <f ca="1">IF(ISERROR(OFFSET('HARGA SATUAN'!$I$6,MATCH('RAB Estetika'!C50,'HARGA SATUAN'!$C$7:$C$1509,0),0)),0,OFFSET('HARGA SATUAN'!$I$6,MATCH('RAB Estetika'!C50,'HARGA SATUAN'!$C$7:$C$1509,0),0))</f>
        <v>0</v>
      </c>
      <c r="H50" s="283">
        <f t="shared" si="0"/>
        <v>0</v>
      </c>
      <c r="I50" s="283">
        <f t="shared" si="1"/>
        <v>0</v>
      </c>
      <c r="J50" s="283">
        <f t="shared" si="2"/>
        <v>0</v>
      </c>
      <c r="K50" s="284">
        <f t="shared" si="3"/>
        <v>0</v>
      </c>
      <c r="L50" s="288"/>
      <c r="M50" s="288"/>
      <c r="N50" s="288"/>
      <c r="O50" s="285"/>
      <c r="P50" s="285"/>
      <c r="Q50" s="266"/>
      <c r="R50" s="258"/>
      <c r="S50" s="286"/>
      <c r="T50" s="263"/>
      <c r="U50" s="263"/>
      <c r="V50" s="263"/>
    </row>
    <row r="51" spans="1:22" s="289" customFormat="1">
      <c r="A51" s="258" t="e">
        <f>IF(AND(C51=0,C52=0,#REF!=0),"BLANKS",1)</f>
        <v>#REF!</v>
      </c>
      <c r="B51" s="293"/>
      <c r="C51" s="494"/>
      <c r="D51" s="280"/>
      <c r="E51" s="281"/>
      <c r="F51" s="388"/>
      <c r="G51" s="282">
        <f ca="1">IF(ISERROR(OFFSET('HARGA SATUAN'!$I$6,MATCH('RAB Estetika'!C51,'HARGA SATUAN'!$C$7:$C$1509,0),0)),0,OFFSET('HARGA SATUAN'!$I$6,MATCH('RAB Estetika'!C51,'HARGA SATUAN'!$C$7:$C$1509,0),0))</f>
        <v>0</v>
      </c>
      <c r="H51" s="283">
        <f t="shared" si="0"/>
        <v>0</v>
      </c>
      <c r="I51" s="283">
        <f t="shared" si="1"/>
        <v>0</v>
      </c>
      <c r="J51" s="283">
        <f t="shared" si="2"/>
        <v>0</v>
      </c>
      <c r="K51" s="284">
        <f t="shared" si="3"/>
        <v>0</v>
      </c>
      <c r="L51" s="288"/>
      <c r="M51" s="288"/>
      <c r="N51" s="288"/>
      <c r="O51" s="285"/>
      <c r="P51" s="285"/>
      <c r="Q51" s="266"/>
      <c r="R51" s="258"/>
      <c r="S51" s="286"/>
      <c r="T51" s="263"/>
      <c r="U51" s="263"/>
      <c r="V51" s="263"/>
    </row>
    <row r="52" spans="1:22" s="289" customFormat="1">
      <c r="A52" s="258" t="e">
        <f>IF(AND(C52=0,#REF!=0,#REF!=0),"BLANKS",1)</f>
        <v>#REF!</v>
      </c>
      <c r="B52" s="495"/>
      <c r="C52" s="496"/>
      <c r="D52" s="280"/>
      <c r="E52" s="281"/>
      <c r="F52" s="388"/>
      <c r="G52" s="282">
        <f ca="1">IF(ISERROR(OFFSET('HARGA SATUAN'!$I$6,MATCH('RAB Estetika'!C52,'HARGA SATUAN'!$C$7:$C$1509,0),0)),0,OFFSET('HARGA SATUAN'!$I$6,MATCH('RAB Estetika'!C52,'HARGA SATUAN'!$C$7:$C$1509,0),0))</f>
        <v>0</v>
      </c>
      <c r="H52" s="283">
        <f t="shared" si="0"/>
        <v>0</v>
      </c>
      <c r="I52" s="283">
        <f t="shared" si="1"/>
        <v>0</v>
      </c>
      <c r="J52" s="283">
        <f t="shared" si="2"/>
        <v>0</v>
      </c>
      <c r="K52" s="284">
        <f t="shared" si="3"/>
        <v>0</v>
      </c>
      <c r="L52" s="288"/>
      <c r="M52" s="288"/>
      <c r="N52" s="288"/>
      <c r="O52" s="285"/>
      <c r="P52" s="285"/>
      <c r="Q52" s="266"/>
      <c r="R52" s="258"/>
      <c r="S52" s="286"/>
      <c r="T52" s="263"/>
      <c r="U52" s="263"/>
      <c r="V52" s="263"/>
    </row>
    <row r="53" spans="1:22" s="289" customFormat="1">
      <c r="A53" s="258" t="e">
        <f>IF(AND(C53=0,#REF!=0,#REF!=0),"BLANKS",1)</f>
        <v>#REF!</v>
      </c>
      <c r="B53" s="293"/>
      <c r="C53" s="494"/>
      <c r="D53" s="280"/>
      <c r="E53" s="281"/>
      <c r="F53" s="388"/>
      <c r="G53" s="282">
        <f ca="1">IF(ISERROR(OFFSET('HARGA SATUAN'!$I$6,MATCH('RAB Estetika'!C53,'HARGA SATUAN'!$C$7:$C$1509,0),0)),0,OFFSET('HARGA SATUAN'!$I$6,MATCH('RAB Estetika'!C53,'HARGA SATUAN'!$C$7:$C$1509,0),0))</f>
        <v>0</v>
      </c>
      <c r="H53" s="283">
        <f t="shared" si="0"/>
        <v>0</v>
      </c>
      <c r="I53" s="283">
        <f t="shared" si="1"/>
        <v>0</v>
      </c>
      <c r="J53" s="283">
        <f t="shared" si="2"/>
        <v>0</v>
      </c>
      <c r="K53" s="284">
        <f t="shared" si="3"/>
        <v>0</v>
      </c>
      <c r="L53" s="288"/>
      <c r="M53" s="288"/>
      <c r="N53" s="288"/>
      <c r="O53" s="285"/>
      <c r="P53" s="285"/>
      <c r="Q53" s="266"/>
      <c r="R53" s="258"/>
      <c r="S53" s="286"/>
      <c r="T53" s="263"/>
      <c r="U53" s="263"/>
      <c r="V53" s="263"/>
    </row>
    <row r="54" spans="1:22" s="289" customFormat="1">
      <c r="A54" s="258"/>
      <c r="B54" s="293"/>
      <c r="C54" s="494"/>
      <c r="D54" s="280"/>
      <c r="E54" s="281"/>
      <c r="F54" s="388"/>
      <c r="G54" s="282">
        <f ca="1">IF(ISERROR(OFFSET('HARGA SATUAN'!$I$6,MATCH('RAB Estetika'!C54,'HARGA SATUAN'!$C$7:$C$1509,0),0)),0,OFFSET('HARGA SATUAN'!$I$6,MATCH('RAB Estetika'!C54,'HARGA SATUAN'!$C$7:$C$1509,0),0))</f>
        <v>0</v>
      </c>
      <c r="H54" s="283">
        <f t="shared" si="0"/>
        <v>0</v>
      </c>
      <c r="I54" s="283">
        <f t="shared" si="1"/>
        <v>0</v>
      </c>
      <c r="J54" s="283">
        <f t="shared" si="2"/>
        <v>0</v>
      </c>
      <c r="K54" s="284">
        <f t="shared" si="3"/>
        <v>0</v>
      </c>
      <c r="L54" s="288"/>
      <c r="M54" s="288"/>
      <c r="N54" s="288"/>
      <c r="O54" s="285"/>
      <c r="P54" s="285"/>
      <c r="Q54" s="266"/>
      <c r="R54" s="258"/>
      <c r="S54" s="286"/>
      <c r="T54" s="263"/>
      <c r="U54" s="263"/>
      <c r="V54" s="263"/>
    </row>
    <row r="55" spans="1:22" s="289" customFormat="1">
      <c r="A55" s="258" t="e">
        <f>IF(AND(C55=0,#REF!=0,#REF!=0),"BLANKS",1)</f>
        <v>#REF!</v>
      </c>
      <c r="B55" s="293"/>
      <c r="C55" s="494"/>
      <c r="D55" s="280"/>
      <c r="E55" s="281"/>
      <c r="F55" s="388"/>
      <c r="G55" s="282">
        <f ca="1">IF(ISERROR(OFFSET('HARGA SATUAN'!$I$6,MATCH('RAB Estetika'!C55,'HARGA SATUAN'!$C$7:$C$1509,0),0)),0,OFFSET('HARGA SATUAN'!$I$6,MATCH('RAB Estetika'!C55,'HARGA SATUAN'!$C$7:$C$1509,0),0))</f>
        <v>0</v>
      </c>
      <c r="H55" s="283">
        <f t="shared" ref="H55:H81" si="12">IF(OR(D55="MDU",D55="MDU-KD"),(IF($O$3="RAB NON MDU","PLN KD",G55*F55)),0)</f>
        <v>0</v>
      </c>
      <c r="I55" s="283">
        <f t="shared" ref="I55:I81" si="13">IF(D55="HDW",G55*F55,0)</f>
        <v>0</v>
      </c>
      <c r="J55" s="283">
        <f t="shared" ref="J55:J81" si="14">IF(D55="JASA",G55*F55,0)</f>
        <v>0</v>
      </c>
      <c r="K55" s="284">
        <f t="shared" ref="K55:K81" si="15">SUM(H55:J55)</f>
        <v>0</v>
      </c>
      <c r="L55" s="288"/>
      <c r="M55" s="288"/>
      <c r="N55" s="288"/>
      <c r="O55" s="285"/>
      <c r="P55" s="285"/>
      <c r="Q55" s="266"/>
      <c r="R55" s="258"/>
      <c r="S55" s="286"/>
      <c r="T55" s="263"/>
      <c r="U55" s="263"/>
      <c r="V55" s="263"/>
    </row>
    <row r="56" spans="1:22" s="289" customFormat="1">
      <c r="A56" s="258" t="e">
        <f>IF(AND(C56=0,#REF!=0,#REF!=0),"BLANKS",1)</f>
        <v>#REF!</v>
      </c>
      <c r="B56" s="293"/>
      <c r="C56" s="494"/>
      <c r="D56" s="280"/>
      <c r="E56" s="281"/>
      <c r="F56" s="388"/>
      <c r="G56" s="282">
        <f ca="1">IF(ISERROR(OFFSET('HARGA SATUAN'!$I$6,MATCH('RAB Estetika'!C56,'HARGA SATUAN'!$C$7:$C$1509,0),0)),0,OFFSET('HARGA SATUAN'!$I$6,MATCH('RAB Estetika'!C56,'HARGA SATUAN'!$C$7:$C$1509,0),0))</f>
        <v>0</v>
      </c>
      <c r="H56" s="283">
        <f t="shared" si="12"/>
        <v>0</v>
      </c>
      <c r="I56" s="283">
        <f t="shared" si="13"/>
        <v>0</v>
      </c>
      <c r="J56" s="283">
        <f t="shared" si="14"/>
        <v>0</v>
      </c>
      <c r="K56" s="284">
        <f t="shared" si="15"/>
        <v>0</v>
      </c>
      <c r="L56" s="288"/>
      <c r="M56" s="288"/>
      <c r="N56" s="288"/>
      <c r="O56" s="285"/>
      <c r="P56" s="285"/>
      <c r="Q56" s="266"/>
      <c r="R56" s="258"/>
      <c r="S56" s="286"/>
      <c r="T56" s="263"/>
      <c r="U56" s="263"/>
      <c r="V56" s="263"/>
    </row>
    <row r="57" spans="1:22" s="289" customFormat="1">
      <c r="A57" s="258" t="e">
        <f>IF(AND(C57=0,#REF!=0,#REF!=0),"BLANKS",1)</f>
        <v>#REF!</v>
      </c>
      <c r="B57" s="293"/>
      <c r="C57" s="494"/>
      <c r="D57" s="280"/>
      <c r="E57" s="281"/>
      <c r="F57" s="388"/>
      <c r="G57" s="282">
        <f ca="1">IF(ISERROR(OFFSET('HARGA SATUAN'!$I$6,MATCH('RAB Estetika'!C57,'HARGA SATUAN'!$C$7:$C$1509,0),0)),0,OFFSET('HARGA SATUAN'!$I$6,MATCH('RAB Estetika'!C57,'HARGA SATUAN'!$C$7:$C$1509,0),0))</f>
        <v>0</v>
      </c>
      <c r="H57" s="283">
        <f t="shared" si="12"/>
        <v>0</v>
      </c>
      <c r="I57" s="283">
        <f t="shared" si="13"/>
        <v>0</v>
      </c>
      <c r="J57" s="283">
        <f t="shared" si="14"/>
        <v>0</v>
      </c>
      <c r="K57" s="284">
        <f t="shared" si="15"/>
        <v>0</v>
      </c>
      <c r="L57" s="288"/>
      <c r="M57" s="288"/>
      <c r="N57" s="288"/>
      <c r="O57" s="285"/>
      <c r="P57" s="285"/>
      <c r="Q57" s="266"/>
      <c r="R57" s="258"/>
      <c r="S57" s="286"/>
      <c r="T57" s="263"/>
      <c r="U57" s="263"/>
      <c r="V57" s="263"/>
    </row>
    <row r="58" spans="1:22" s="289" customFormat="1">
      <c r="A58" s="258" t="e">
        <f>IF(AND(C58=0,C59=0,#REF!=0),"BLANKS",1)</f>
        <v>#REF!</v>
      </c>
      <c r="B58" s="293"/>
      <c r="C58" s="494"/>
      <c r="D58" s="280"/>
      <c r="E58" s="281"/>
      <c r="F58" s="497"/>
      <c r="G58" s="282">
        <f ca="1">IF(ISERROR(OFFSET('HARGA SATUAN'!$I$6,MATCH('RAB Estetika'!C58,'HARGA SATUAN'!$C$7:$C$1509,0),0)),0,OFFSET('HARGA SATUAN'!$I$6,MATCH('RAB Estetika'!C58,'HARGA SATUAN'!$C$7:$C$1509,0),0))</f>
        <v>0</v>
      </c>
      <c r="H58" s="283">
        <f t="shared" si="12"/>
        <v>0</v>
      </c>
      <c r="I58" s="283">
        <f t="shared" si="13"/>
        <v>0</v>
      </c>
      <c r="J58" s="283">
        <f t="shared" si="14"/>
        <v>0</v>
      </c>
      <c r="K58" s="284">
        <f t="shared" si="15"/>
        <v>0</v>
      </c>
      <c r="L58" s="288"/>
      <c r="M58" s="288"/>
      <c r="N58" s="288"/>
      <c r="O58" s="285"/>
      <c r="P58" s="285"/>
      <c r="Q58" s="266"/>
      <c r="R58" s="258"/>
      <c r="S58" s="286"/>
      <c r="T58" s="263"/>
      <c r="U58" s="263"/>
      <c r="V58" s="263"/>
    </row>
    <row r="59" spans="1:22" s="289" customFormat="1">
      <c r="A59" s="258" t="e">
        <f>IF(AND(C59=0,#REF!=0,#REF!=0),"BLANKS",1)</f>
        <v>#REF!</v>
      </c>
      <c r="B59" s="293"/>
      <c r="C59" s="494"/>
      <c r="D59" s="280"/>
      <c r="E59" s="281"/>
      <c r="F59" s="388"/>
      <c r="G59" s="282">
        <f ca="1">IF(ISERROR(OFFSET('HARGA SATUAN'!$I$6,MATCH('RAB Estetika'!C59,'HARGA SATUAN'!$C$7:$C$1509,0),0)),0,OFFSET('HARGA SATUAN'!$I$6,MATCH('RAB Estetika'!C59,'HARGA SATUAN'!$C$7:$C$1509,0),0))</f>
        <v>0</v>
      </c>
      <c r="H59" s="283">
        <f t="shared" si="12"/>
        <v>0</v>
      </c>
      <c r="I59" s="283">
        <f t="shared" si="13"/>
        <v>0</v>
      </c>
      <c r="J59" s="283">
        <f t="shared" si="14"/>
        <v>0</v>
      </c>
      <c r="K59" s="284">
        <f t="shared" si="15"/>
        <v>0</v>
      </c>
      <c r="L59" s="288"/>
      <c r="M59" s="288"/>
      <c r="N59" s="288"/>
      <c r="O59" s="285"/>
      <c r="P59" s="285"/>
      <c r="Q59" s="266"/>
      <c r="R59" s="258"/>
      <c r="S59" s="286"/>
      <c r="T59" s="263"/>
      <c r="U59" s="263"/>
      <c r="V59" s="263"/>
    </row>
    <row r="60" spans="1:22" s="289" customFormat="1">
      <c r="A60" s="258"/>
      <c r="B60" s="293"/>
      <c r="C60" s="494"/>
      <c r="D60" s="280"/>
      <c r="E60" s="281"/>
      <c r="F60" s="388"/>
      <c r="G60" s="282">
        <f ca="1">IF(ISERROR(OFFSET('HARGA SATUAN'!$I$6,MATCH('RAB Estetika'!C60,'HARGA SATUAN'!$C$7:$C$1509,0),0)),0,OFFSET('HARGA SATUAN'!$I$6,MATCH('RAB Estetika'!C60,'HARGA SATUAN'!$C$7:$C$1509,0),0))</f>
        <v>0</v>
      </c>
      <c r="H60" s="283">
        <f t="shared" si="12"/>
        <v>0</v>
      </c>
      <c r="I60" s="283">
        <f t="shared" si="13"/>
        <v>0</v>
      </c>
      <c r="J60" s="283">
        <f t="shared" si="14"/>
        <v>0</v>
      </c>
      <c r="K60" s="284">
        <f t="shared" si="15"/>
        <v>0</v>
      </c>
      <c r="L60" s="288"/>
      <c r="M60" s="288"/>
      <c r="N60" s="288"/>
      <c r="O60" s="285"/>
      <c r="P60" s="285"/>
      <c r="Q60" s="266"/>
      <c r="R60" s="258"/>
      <c r="S60" s="286"/>
      <c r="T60" s="263"/>
      <c r="U60" s="263"/>
      <c r="V60" s="263"/>
    </row>
    <row r="61" spans="1:22" s="289" customFormat="1">
      <c r="A61" s="258" t="e">
        <f>IF(AND(C61=0,#REF!=0,#REF!=0),"BLANKS",1)</f>
        <v>#REF!</v>
      </c>
      <c r="B61" s="293"/>
      <c r="C61" s="494"/>
      <c r="D61" s="280"/>
      <c r="E61" s="281"/>
      <c r="F61" s="388"/>
      <c r="G61" s="282">
        <f ca="1">IF(ISERROR(OFFSET('HARGA SATUAN'!$I$6,MATCH('RAB Estetika'!C61,'HARGA SATUAN'!$C$7:$C$1509,0),0)),0,OFFSET('HARGA SATUAN'!$I$6,MATCH('RAB Estetika'!C61,'HARGA SATUAN'!$C$7:$C$1509,0),0))</f>
        <v>0</v>
      </c>
      <c r="H61" s="283">
        <f t="shared" ref="H61:H66" si="16">IF(OR(D61="MDU",D61="MDU-KD"),(IF($O$3="RAB NON MDU","PLN KD",G61*F61)),0)</f>
        <v>0</v>
      </c>
      <c r="I61" s="283">
        <f t="shared" ref="I61:I66" si="17">IF(D61="HDW",G61*F61,0)</f>
        <v>0</v>
      </c>
      <c r="J61" s="283">
        <f t="shared" ref="J61:J66" si="18">IF(D61="JASA",G61*F61,0)</f>
        <v>0</v>
      </c>
      <c r="K61" s="284">
        <f t="shared" ref="K61:K66" si="19">SUM(H61:J61)</f>
        <v>0</v>
      </c>
      <c r="L61" s="288"/>
      <c r="M61" s="288"/>
      <c r="N61" s="288"/>
      <c r="O61" s="285"/>
      <c r="P61" s="285"/>
      <c r="Q61" s="266"/>
      <c r="R61" s="258"/>
      <c r="S61" s="286"/>
      <c r="T61" s="263"/>
      <c r="U61" s="263"/>
      <c r="V61" s="263"/>
    </row>
    <row r="62" spans="1:22" s="289" customFormat="1">
      <c r="A62" s="258" t="e">
        <f>IF(AND(C62=0,C63=0,#REF!=0),"BLANKS",1)</f>
        <v>#REF!</v>
      </c>
      <c r="B62" s="495"/>
      <c r="C62" s="496"/>
      <c r="D62" s="280"/>
      <c r="E62" s="281"/>
      <c r="F62" s="388"/>
      <c r="G62" s="282">
        <f ca="1">IF(ISERROR(OFFSET('HARGA SATUAN'!$I$6,MATCH('RAB Estetika'!C62,'HARGA SATUAN'!$C$7:$C$1509,0),0)),0,OFFSET('HARGA SATUAN'!$I$6,MATCH('RAB Estetika'!C62,'HARGA SATUAN'!$C$7:$C$1509,0),0))</f>
        <v>0</v>
      </c>
      <c r="H62" s="283">
        <f t="shared" si="16"/>
        <v>0</v>
      </c>
      <c r="I62" s="283">
        <f t="shared" si="17"/>
        <v>0</v>
      </c>
      <c r="J62" s="283">
        <f t="shared" si="18"/>
        <v>0</v>
      </c>
      <c r="K62" s="284">
        <f t="shared" si="19"/>
        <v>0</v>
      </c>
      <c r="L62" s="288"/>
      <c r="M62" s="288"/>
      <c r="N62" s="288"/>
      <c r="O62" s="285"/>
      <c r="P62" s="285"/>
      <c r="Q62" s="266"/>
      <c r="R62" s="258"/>
      <c r="S62" s="286"/>
      <c r="T62" s="263"/>
      <c r="U62" s="263"/>
      <c r="V62" s="263"/>
    </row>
    <row r="63" spans="1:22" s="289" customFormat="1">
      <c r="A63" s="258" t="e">
        <f>IF(AND(C63=0,#REF!=0,#REF!=0),"BLANKS",1)</f>
        <v>#REF!</v>
      </c>
      <c r="B63" s="293"/>
      <c r="C63" s="494"/>
      <c r="D63" s="280"/>
      <c r="E63" s="281"/>
      <c r="F63" s="388"/>
      <c r="G63" s="282">
        <f ca="1">IF(ISERROR(OFFSET('HARGA SATUAN'!$I$6,MATCH('RAB Estetika'!C63,'HARGA SATUAN'!$C$7:$C$1509,0),0)),0,OFFSET('HARGA SATUAN'!$I$6,MATCH('RAB Estetika'!C63,'HARGA SATUAN'!$C$7:$C$1509,0),0))</f>
        <v>0</v>
      </c>
      <c r="H63" s="283">
        <f t="shared" si="16"/>
        <v>0</v>
      </c>
      <c r="I63" s="283">
        <f t="shared" si="17"/>
        <v>0</v>
      </c>
      <c r="J63" s="283">
        <f t="shared" si="18"/>
        <v>0</v>
      </c>
      <c r="K63" s="284">
        <f t="shared" si="19"/>
        <v>0</v>
      </c>
      <c r="L63" s="288"/>
      <c r="M63" s="288"/>
      <c r="N63" s="288"/>
      <c r="O63" s="285"/>
      <c r="P63" s="285"/>
      <c r="Q63" s="266"/>
      <c r="R63" s="258"/>
      <c r="S63" s="286"/>
      <c r="T63" s="263"/>
      <c r="U63" s="263"/>
      <c r="V63" s="263"/>
    </row>
    <row r="64" spans="1:22" s="289" customFormat="1">
      <c r="A64" s="258"/>
      <c r="B64" s="293"/>
      <c r="C64" s="494"/>
      <c r="D64" s="280"/>
      <c r="E64" s="281"/>
      <c r="F64" s="388"/>
      <c r="G64" s="282">
        <f ca="1">IF(ISERROR(OFFSET('HARGA SATUAN'!$I$6,MATCH('RAB Estetika'!C64,'HARGA SATUAN'!$C$7:$C$1509,0),0)),0,OFFSET('HARGA SATUAN'!$I$6,MATCH('RAB Estetika'!C64,'HARGA SATUAN'!$C$7:$C$1509,0),0))</f>
        <v>0</v>
      </c>
      <c r="H64" s="283">
        <f t="shared" si="16"/>
        <v>0</v>
      </c>
      <c r="I64" s="283">
        <f t="shared" si="17"/>
        <v>0</v>
      </c>
      <c r="J64" s="283">
        <f t="shared" si="18"/>
        <v>0</v>
      </c>
      <c r="K64" s="284">
        <f t="shared" si="19"/>
        <v>0</v>
      </c>
      <c r="L64" s="288"/>
      <c r="M64" s="288"/>
      <c r="N64" s="288"/>
      <c r="O64" s="285"/>
      <c r="P64" s="285"/>
      <c r="Q64" s="266"/>
      <c r="R64" s="258"/>
      <c r="S64" s="286"/>
      <c r="T64" s="263"/>
      <c r="U64" s="263"/>
      <c r="V64" s="263"/>
    </row>
    <row r="65" spans="1:22" s="289" customFormat="1">
      <c r="A65" s="258" t="e">
        <f>IF(AND(C65=0,C66=0,#REF!=0),"BLANKS",1)</f>
        <v>#REF!</v>
      </c>
      <c r="B65" s="293"/>
      <c r="C65" s="494"/>
      <c r="D65" s="280"/>
      <c r="E65" s="281"/>
      <c r="F65" s="388"/>
      <c r="G65" s="282">
        <f ca="1">IF(ISERROR(OFFSET('HARGA SATUAN'!$I$6,MATCH('RAB Estetika'!C65,'HARGA SATUAN'!$C$7:$C$1509,0),0)),0,OFFSET('HARGA SATUAN'!$I$6,MATCH('RAB Estetika'!C65,'HARGA SATUAN'!$C$7:$C$1509,0),0))</f>
        <v>0</v>
      </c>
      <c r="H65" s="283">
        <f t="shared" si="16"/>
        <v>0</v>
      </c>
      <c r="I65" s="283">
        <f t="shared" si="17"/>
        <v>0</v>
      </c>
      <c r="J65" s="283">
        <f t="shared" si="18"/>
        <v>0</v>
      </c>
      <c r="K65" s="284">
        <f t="shared" si="19"/>
        <v>0</v>
      </c>
      <c r="L65" s="288"/>
      <c r="M65" s="288"/>
      <c r="N65" s="288"/>
      <c r="O65" s="285"/>
      <c r="P65" s="285"/>
      <c r="Q65" s="266"/>
      <c r="R65" s="258"/>
      <c r="S65" s="286"/>
      <c r="T65" s="263"/>
      <c r="U65" s="263"/>
      <c r="V65" s="263"/>
    </row>
    <row r="66" spans="1:22" s="289" customFormat="1">
      <c r="A66" s="258" t="e">
        <f>IF(AND(C66=0,#REF!=0,#REF!=0),"BLANKS",1)</f>
        <v>#REF!</v>
      </c>
      <c r="B66" s="495"/>
      <c r="C66" s="496"/>
      <c r="D66" s="280"/>
      <c r="E66" s="281"/>
      <c r="F66" s="388"/>
      <c r="G66" s="282">
        <f ca="1">IF(ISERROR(OFFSET('HARGA SATUAN'!$I$6,MATCH('RAB Estetika'!C66,'HARGA SATUAN'!$C$7:$C$1509,0),0)),0,OFFSET('HARGA SATUAN'!$I$6,MATCH('RAB Estetika'!C66,'HARGA SATUAN'!$C$7:$C$1509,0),0))</f>
        <v>0</v>
      </c>
      <c r="H66" s="283">
        <f t="shared" si="16"/>
        <v>0</v>
      </c>
      <c r="I66" s="283">
        <f t="shared" si="17"/>
        <v>0</v>
      </c>
      <c r="J66" s="283">
        <f t="shared" si="18"/>
        <v>0</v>
      </c>
      <c r="K66" s="284">
        <f t="shared" si="19"/>
        <v>0</v>
      </c>
      <c r="L66" s="288"/>
      <c r="M66" s="288"/>
      <c r="N66" s="288"/>
      <c r="O66" s="285"/>
      <c r="P66" s="285"/>
      <c r="Q66" s="266"/>
      <c r="R66" s="258"/>
      <c r="S66" s="286"/>
      <c r="T66" s="263"/>
      <c r="U66" s="263"/>
      <c r="V66" s="263"/>
    </row>
    <row r="67" spans="1:22" s="289" customFormat="1">
      <c r="A67" s="258" t="e">
        <f>IF(AND(C67=0,#REF!=0,#REF!=0),"BLANKS",1)</f>
        <v>#REF!</v>
      </c>
      <c r="B67" s="293"/>
      <c r="C67" s="494"/>
      <c r="D67" s="280"/>
      <c r="E67" s="281"/>
      <c r="F67" s="388"/>
      <c r="G67" s="282">
        <f ca="1">IF(ISERROR(OFFSET('HARGA SATUAN'!$I$6,MATCH('RAB Estetika'!C67,'HARGA SATUAN'!$C$7:$C$1509,0),0)),0,OFFSET('HARGA SATUAN'!$I$6,MATCH('RAB Estetika'!C67,'HARGA SATUAN'!$C$7:$C$1509,0),0))</f>
        <v>0</v>
      </c>
      <c r="H67" s="283">
        <f t="shared" si="12"/>
        <v>0</v>
      </c>
      <c r="I67" s="283">
        <f t="shared" si="13"/>
        <v>0</v>
      </c>
      <c r="J67" s="283">
        <f t="shared" si="14"/>
        <v>0</v>
      </c>
      <c r="K67" s="284">
        <f t="shared" si="15"/>
        <v>0</v>
      </c>
      <c r="L67" s="288"/>
      <c r="M67" s="288"/>
      <c r="N67" s="288"/>
      <c r="O67" s="285"/>
      <c r="P67" s="285"/>
      <c r="Q67" s="266"/>
      <c r="R67" s="258"/>
      <c r="S67" s="286"/>
      <c r="T67" s="263"/>
      <c r="U67" s="263"/>
      <c r="V67" s="263"/>
    </row>
    <row r="68" spans="1:22" s="289" customFormat="1">
      <c r="A68" s="258" t="e">
        <f>IF(AND(C68=0,C69=0,#REF!=0),"BLANKS",1)</f>
        <v>#REF!</v>
      </c>
      <c r="B68" s="293"/>
      <c r="C68" s="494"/>
      <c r="D68" s="280"/>
      <c r="E68" s="281"/>
      <c r="F68" s="388"/>
      <c r="G68" s="282">
        <f ca="1">IF(ISERROR(OFFSET('HARGA SATUAN'!$I$6,MATCH('RAB Estetika'!C68,'HARGA SATUAN'!$C$7:$C$1509,0),0)),0,OFFSET('HARGA SATUAN'!$I$6,MATCH('RAB Estetika'!C68,'HARGA SATUAN'!$C$7:$C$1509,0),0))</f>
        <v>0</v>
      </c>
      <c r="H68" s="283">
        <f t="shared" si="12"/>
        <v>0</v>
      </c>
      <c r="I68" s="283">
        <f t="shared" si="13"/>
        <v>0</v>
      </c>
      <c r="J68" s="283">
        <f t="shared" si="14"/>
        <v>0</v>
      </c>
      <c r="K68" s="284">
        <f t="shared" si="15"/>
        <v>0</v>
      </c>
      <c r="L68" s="288"/>
      <c r="M68" s="288"/>
      <c r="N68" s="288"/>
      <c r="O68" s="285"/>
      <c r="P68" s="285"/>
      <c r="Q68" s="266"/>
      <c r="R68" s="258"/>
      <c r="S68" s="286"/>
      <c r="T68" s="263"/>
      <c r="U68" s="263"/>
      <c r="V68" s="263"/>
    </row>
    <row r="69" spans="1:22" s="289" customFormat="1">
      <c r="A69" s="258" t="e">
        <f>IF(AND(C69=0,#REF!=0,#REF!=0),"BLANKS",1)</f>
        <v>#REF!</v>
      </c>
      <c r="B69" s="293"/>
      <c r="C69" s="494"/>
      <c r="D69" s="280"/>
      <c r="E69" s="281"/>
      <c r="F69" s="388"/>
      <c r="G69" s="282">
        <f ca="1">IF(ISERROR(OFFSET('HARGA SATUAN'!$I$6,MATCH('RAB Estetika'!C69,'HARGA SATUAN'!$C$7:$C$1509,0),0)),0,OFFSET('HARGA SATUAN'!$I$6,MATCH('RAB Estetika'!C69,'HARGA SATUAN'!$C$7:$C$1509,0),0))</f>
        <v>0</v>
      </c>
      <c r="H69" s="283">
        <f t="shared" si="12"/>
        <v>0</v>
      </c>
      <c r="I69" s="283">
        <f t="shared" si="13"/>
        <v>0</v>
      </c>
      <c r="J69" s="283">
        <f t="shared" si="14"/>
        <v>0</v>
      </c>
      <c r="K69" s="284">
        <f t="shared" si="15"/>
        <v>0</v>
      </c>
      <c r="L69" s="288"/>
      <c r="M69" s="288"/>
      <c r="N69" s="288"/>
      <c r="O69" s="285"/>
      <c r="P69" s="285"/>
      <c r="Q69" s="266"/>
      <c r="R69" s="258"/>
      <c r="S69" s="286"/>
      <c r="T69" s="263"/>
      <c r="U69" s="263"/>
      <c r="V69" s="263"/>
    </row>
    <row r="70" spans="1:22" s="289" customFormat="1">
      <c r="A70" s="258"/>
      <c r="B70" s="293"/>
      <c r="C70" s="494"/>
      <c r="D70" s="280"/>
      <c r="E70" s="281"/>
      <c r="F70" s="388"/>
      <c r="G70" s="282">
        <f ca="1">IF(ISERROR(OFFSET('HARGA SATUAN'!$I$6,MATCH('RAB Estetika'!C70,'HARGA SATUAN'!$C$7:$C$1509,0),0)),0,OFFSET('HARGA SATUAN'!$I$6,MATCH('RAB Estetika'!C70,'HARGA SATUAN'!$C$7:$C$1509,0),0))</f>
        <v>0</v>
      </c>
      <c r="H70" s="283">
        <f t="shared" si="12"/>
        <v>0</v>
      </c>
      <c r="I70" s="283">
        <f t="shared" si="13"/>
        <v>0</v>
      </c>
      <c r="J70" s="283">
        <f t="shared" si="14"/>
        <v>0</v>
      </c>
      <c r="K70" s="284">
        <f t="shared" si="15"/>
        <v>0</v>
      </c>
      <c r="L70" s="288"/>
      <c r="M70" s="288"/>
      <c r="N70" s="288"/>
      <c r="O70" s="285"/>
      <c r="P70" s="285"/>
      <c r="Q70" s="266"/>
      <c r="R70" s="258"/>
      <c r="S70" s="286"/>
      <c r="T70" s="263"/>
      <c r="U70" s="263"/>
      <c r="V70" s="263"/>
    </row>
    <row r="71" spans="1:22" s="289" customFormat="1">
      <c r="A71" s="258" t="e">
        <f>IF(AND(C71=0,C72=0,#REF!=0),"BLANKS",1)</f>
        <v>#REF!</v>
      </c>
      <c r="B71" s="293"/>
      <c r="C71" s="494"/>
      <c r="D71" s="280"/>
      <c r="E71" s="281"/>
      <c r="F71" s="388"/>
      <c r="G71" s="282">
        <f ca="1">IF(ISERROR(OFFSET('HARGA SATUAN'!$I$6,MATCH('RAB Estetika'!C71,'HARGA SATUAN'!$C$7:$C$1509,0),0)),0,OFFSET('HARGA SATUAN'!$I$6,MATCH('RAB Estetika'!C71,'HARGA SATUAN'!$C$7:$C$1509,0),0))</f>
        <v>0</v>
      </c>
      <c r="H71" s="283">
        <f t="shared" si="12"/>
        <v>0</v>
      </c>
      <c r="I71" s="283">
        <f t="shared" si="13"/>
        <v>0</v>
      </c>
      <c r="J71" s="283">
        <f t="shared" si="14"/>
        <v>0</v>
      </c>
      <c r="K71" s="284">
        <f t="shared" si="15"/>
        <v>0</v>
      </c>
      <c r="L71" s="288"/>
      <c r="M71" s="288"/>
      <c r="N71" s="288"/>
      <c r="O71" s="285"/>
      <c r="P71" s="285"/>
      <c r="Q71" s="266"/>
      <c r="R71" s="258"/>
      <c r="S71" s="286"/>
      <c r="T71" s="263"/>
      <c r="U71" s="263"/>
      <c r="V71" s="263"/>
    </row>
    <row r="72" spans="1:22" s="289" customFormat="1">
      <c r="A72" s="258" t="e">
        <f>IF(AND(C72=0,#REF!=0,#REF!=0),"BLANKS",1)</f>
        <v>#REF!</v>
      </c>
      <c r="B72" s="495"/>
      <c r="C72" s="496"/>
      <c r="D72" s="280"/>
      <c r="E72" s="281"/>
      <c r="F72" s="388"/>
      <c r="G72" s="282">
        <f ca="1">IF(ISERROR(OFFSET('HARGA SATUAN'!$I$6,MATCH('RAB Estetika'!C72,'HARGA SATUAN'!$C$7:$C$1509,0),0)),0,OFFSET('HARGA SATUAN'!$I$6,MATCH('RAB Estetika'!C72,'HARGA SATUAN'!$C$7:$C$1509,0),0))</f>
        <v>0</v>
      </c>
      <c r="H72" s="283">
        <f t="shared" si="12"/>
        <v>0</v>
      </c>
      <c r="I72" s="283">
        <f t="shared" si="13"/>
        <v>0</v>
      </c>
      <c r="J72" s="283">
        <f t="shared" si="14"/>
        <v>0</v>
      </c>
      <c r="K72" s="284">
        <f t="shared" si="15"/>
        <v>0</v>
      </c>
      <c r="L72" s="288"/>
      <c r="M72" s="288"/>
      <c r="N72" s="288"/>
      <c r="O72" s="285"/>
      <c r="P72" s="285"/>
      <c r="Q72" s="266"/>
      <c r="R72" s="258"/>
      <c r="S72" s="286"/>
      <c r="T72" s="263"/>
      <c r="U72" s="263"/>
      <c r="V72" s="263"/>
    </row>
    <row r="73" spans="1:22" s="289" customFormat="1">
      <c r="A73" s="258" t="e">
        <f>IF(AND(C73=0,#REF!=0,#REF!=0),"BLANKS",1)</f>
        <v>#REF!</v>
      </c>
      <c r="B73" s="293"/>
      <c r="C73" s="494"/>
      <c r="D73" s="280"/>
      <c r="E73" s="281"/>
      <c r="F73" s="503"/>
      <c r="G73" s="282">
        <f ca="1">IF(ISERROR(OFFSET('HARGA SATUAN'!$I$6,MATCH('RAB Estetika'!C73,'HARGA SATUAN'!$C$7:$C$1509,0),0)),0,OFFSET('HARGA SATUAN'!$I$6,MATCH('RAB Estetika'!C73,'HARGA SATUAN'!$C$7:$C$1509,0),0))</f>
        <v>0</v>
      </c>
      <c r="H73" s="283">
        <f t="shared" si="12"/>
        <v>0</v>
      </c>
      <c r="I73" s="283">
        <f t="shared" si="13"/>
        <v>0</v>
      </c>
      <c r="J73" s="283">
        <f t="shared" si="14"/>
        <v>0</v>
      </c>
      <c r="K73" s="284">
        <f t="shared" si="15"/>
        <v>0</v>
      </c>
      <c r="L73" s="288"/>
      <c r="M73" s="288"/>
      <c r="N73" s="288"/>
      <c r="O73" s="285"/>
      <c r="P73" s="285"/>
      <c r="Q73" s="266"/>
      <c r="R73" s="258"/>
      <c r="S73" s="286"/>
      <c r="T73" s="263"/>
      <c r="U73" s="263"/>
      <c r="V73" s="263"/>
    </row>
    <row r="74" spans="1:22" s="289" customFormat="1">
      <c r="A74" s="258" t="e">
        <f>IF(AND(C74=0,C75=0,#REF!=0),"BLANKS",1)</f>
        <v>#REF!</v>
      </c>
      <c r="B74" s="293"/>
      <c r="C74" s="494"/>
      <c r="D74" s="280"/>
      <c r="E74" s="281"/>
      <c r="F74" s="503"/>
      <c r="G74" s="282">
        <f ca="1">IF(ISERROR(OFFSET('HARGA SATUAN'!$I$6,MATCH('RAB Estetika'!C74,'HARGA SATUAN'!$C$7:$C$1509,0),0)),0,OFFSET('HARGA SATUAN'!$I$6,MATCH('RAB Estetika'!C74,'HARGA SATUAN'!$C$7:$C$1509,0),0))</f>
        <v>0</v>
      </c>
      <c r="H74" s="283">
        <f t="shared" si="12"/>
        <v>0</v>
      </c>
      <c r="I74" s="283">
        <f t="shared" si="13"/>
        <v>0</v>
      </c>
      <c r="J74" s="283">
        <f t="shared" si="14"/>
        <v>0</v>
      </c>
      <c r="K74" s="284">
        <f t="shared" si="15"/>
        <v>0</v>
      </c>
      <c r="L74" s="288"/>
      <c r="M74" s="288"/>
      <c r="N74" s="288"/>
      <c r="O74" s="285"/>
      <c r="P74" s="285"/>
      <c r="Q74" s="266"/>
      <c r="R74" s="258"/>
      <c r="S74" s="286"/>
      <c r="T74" s="263"/>
      <c r="U74" s="263"/>
      <c r="V74" s="263"/>
    </row>
    <row r="75" spans="1:22" s="289" customFormat="1">
      <c r="A75" s="258" t="e">
        <f>IF(AND(C75=0,#REF!=0,#REF!=0),"BLANKS",1)</f>
        <v>#REF!</v>
      </c>
      <c r="B75" s="293"/>
      <c r="C75" s="494"/>
      <c r="D75" s="280"/>
      <c r="E75" s="281"/>
      <c r="F75" s="503"/>
      <c r="G75" s="282">
        <f ca="1">IF(ISERROR(OFFSET('HARGA SATUAN'!$I$6,MATCH('RAB Estetika'!C75,'HARGA SATUAN'!$C$7:$C$1509,0),0)),0,OFFSET('HARGA SATUAN'!$I$6,MATCH('RAB Estetika'!C75,'HARGA SATUAN'!$C$7:$C$1509,0),0))</f>
        <v>0</v>
      </c>
      <c r="H75" s="283">
        <f t="shared" si="12"/>
        <v>0</v>
      </c>
      <c r="I75" s="283">
        <f t="shared" si="13"/>
        <v>0</v>
      </c>
      <c r="J75" s="283">
        <f t="shared" si="14"/>
        <v>0</v>
      </c>
      <c r="K75" s="284">
        <f t="shared" si="15"/>
        <v>0</v>
      </c>
      <c r="L75" s="288"/>
      <c r="M75" s="288"/>
      <c r="N75" s="288"/>
      <c r="O75" s="285"/>
      <c r="P75" s="285"/>
      <c r="Q75" s="266"/>
      <c r="R75" s="258"/>
      <c r="S75" s="286"/>
      <c r="T75" s="263"/>
      <c r="U75" s="263"/>
      <c r="V75" s="263"/>
    </row>
    <row r="76" spans="1:22" s="289" customFormat="1">
      <c r="A76" s="258"/>
      <c r="B76" s="293"/>
      <c r="C76" s="494"/>
      <c r="D76" s="280"/>
      <c r="E76" s="281"/>
      <c r="F76" s="503"/>
      <c r="G76" s="282">
        <f ca="1">IF(ISERROR(OFFSET('HARGA SATUAN'!$I$6,MATCH('RAB Estetika'!C76,'HARGA SATUAN'!$C$7:$C$1509,0),0)),0,OFFSET('HARGA SATUAN'!$I$6,MATCH('RAB Estetika'!C76,'HARGA SATUAN'!$C$7:$C$1509,0),0))</f>
        <v>0</v>
      </c>
      <c r="H76" s="283">
        <f t="shared" si="12"/>
        <v>0</v>
      </c>
      <c r="I76" s="283">
        <f t="shared" si="13"/>
        <v>0</v>
      </c>
      <c r="J76" s="283">
        <f t="shared" si="14"/>
        <v>0</v>
      </c>
      <c r="K76" s="284">
        <f t="shared" si="15"/>
        <v>0</v>
      </c>
      <c r="L76" s="288"/>
      <c r="M76" s="288"/>
      <c r="N76" s="288"/>
      <c r="O76" s="285"/>
      <c r="P76" s="285"/>
      <c r="Q76" s="266"/>
      <c r="R76" s="258"/>
      <c r="S76" s="286"/>
      <c r="T76" s="263"/>
      <c r="U76" s="263"/>
      <c r="V76" s="263"/>
    </row>
    <row r="77" spans="1:22" s="289" customFormat="1">
      <c r="A77" s="258" t="e">
        <f>IF(AND(C77=0,C78=0,#REF!=0),"BLANKS",1)</f>
        <v>#REF!</v>
      </c>
      <c r="B77" s="293"/>
      <c r="C77" s="494"/>
      <c r="D77" s="280"/>
      <c r="E77" s="281"/>
      <c r="F77" s="503"/>
      <c r="G77" s="282">
        <f ca="1">IF(ISERROR(OFFSET('HARGA SATUAN'!$I$6,MATCH('RAB Estetika'!C77,'HARGA SATUAN'!$C$7:$C$1509,0),0)),0,OFFSET('HARGA SATUAN'!$I$6,MATCH('RAB Estetika'!C77,'HARGA SATUAN'!$C$7:$C$1509,0),0))</f>
        <v>0</v>
      </c>
      <c r="H77" s="283">
        <f t="shared" si="12"/>
        <v>0</v>
      </c>
      <c r="I77" s="283">
        <f t="shared" si="13"/>
        <v>0</v>
      </c>
      <c r="J77" s="283">
        <f t="shared" si="14"/>
        <v>0</v>
      </c>
      <c r="K77" s="284">
        <f t="shared" si="15"/>
        <v>0</v>
      </c>
      <c r="L77" s="288"/>
      <c r="M77" s="288"/>
      <c r="N77" s="288"/>
      <c r="O77" s="285"/>
      <c r="P77" s="285"/>
      <c r="Q77" s="266"/>
      <c r="R77" s="258"/>
      <c r="S77" s="286"/>
      <c r="T77" s="263"/>
      <c r="U77" s="263"/>
      <c r="V77" s="263"/>
    </row>
    <row r="78" spans="1:22" s="289" customFormat="1">
      <c r="A78" s="258" t="e">
        <f>IF(AND(C78=0,#REF!=0,#REF!=0),"BLANKS",1)</f>
        <v>#REF!</v>
      </c>
      <c r="B78" s="495"/>
      <c r="C78" s="496"/>
      <c r="D78" s="280"/>
      <c r="E78" s="281"/>
      <c r="F78" s="388"/>
      <c r="G78" s="282">
        <f ca="1">IF(ISERROR(OFFSET('HARGA SATUAN'!$I$6,MATCH('RAB Estetika'!C78,'HARGA SATUAN'!$C$7:$C$1509,0),0)),0,OFFSET('HARGA SATUAN'!$I$6,MATCH('RAB Estetika'!C78,'HARGA SATUAN'!$C$7:$C$1509,0),0))</f>
        <v>0</v>
      </c>
      <c r="H78" s="283">
        <f t="shared" si="12"/>
        <v>0</v>
      </c>
      <c r="I78" s="283">
        <f t="shared" si="13"/>
        <v>0</v>
      </c>
      <c r="J78" s="283">
        <f t="shared" si="14"/>
        <v>0</v>
      </c>
      <c r="K78" s="284">
        <f t="shared" si="15"/>
        <v>0</v>
      </c>
      <c r="L78" s="288"/>
      <c r="M78" s="288"/>
      <c r="N78" s="288"/>
      <c r="O78" s="285"/>
      <c r="P78" s="285"/>
      <c r="Q78" s="266"/>
      <c r="R78" s="258"/>
      <c r="S78" s="286"/>
      <c r="T78" s="263"/>
      <c r="U78" s="263"/>
      <c r="V78" s="263"/>
    </row>
    <row r="79" spans="1:22" s="289" customFormat="1">
      <c r="A79" s="258" t="e">
        <f>IF(AND(C79=0,#REF!=0,#REF!=0),"BLANKS",1)</f>
        <v>#REF!</v>
      </c>
      <c r="B79" s="291"/>
      <c r="C79" s="292"/>
      <c r="D79" s="280"/>
      <c r="E79" s="281"/>
      <c r="F79" s="290"/>
      <c r="G79" s="282">
        <f ca="1">IF(ISERROR(OFFSET('HARGA SATUAN'!$I$6,MATCH('RAB Estetika'!C79,'HARGA SATUAN'!$C$7:$C$1509,0),0)),0,OFFSET('HARGA SATUAN'!$I$6,MATCH('RAB Estetika'!C79,'HARGA SATUAN'!$C$7:$C$1509,0),0))</f>
        <v>0</v>
      </c>
      <c r="H79" s="283">
        <f t="shared" si="12"/>
        <v>0</v>
      </c>
      <c r="I79" s="283">
        <f t="shared" si="13"/>
        <v>0</v>
      </c>
      <c r="J79" s="283">
        <f t="shared" si="14"/>
        <v>0</v>
      </c>
      <c r="K79" s="284">
        <f t="shared" si="15"/>
        <v>0</v>
      </c>
      <c r="L79" s="288"/>
      <c r="M79" s="288"/>
      <c r="N79" s="288"/>
      <c r="O79" s="285"/>
      <c r="P79" s="285"/>
      <c r="Q79" s="266"/>
      <c r="R79" s="258"/>
      <c r="S79" s="286"/>
      <c r="T79" s="263"/>
      <c r="U79" s="263"/>
      <c r="V79" s="263"/>
    </row>
    <row r="80" spans="1:22" s="289" customFormat="1">
      <c r="A80" s="258" t="e">
        <f>IF(AND(C80=0,#REF!=0,#REF!=0),"BLANKS",1)</f>
        <v>#REF!</v>
      </c>
      <c r="B80" s="426"/>
      <c r="C80" s="109"/>
      <c r="D80" s="280"/>
      <c r="E80" s="281"/>
      <c r="F80" s="427"/>
      <c r="G80" s="282">
        <f ca="1">IF(ISERROR(OFFSET('HARGA SATUAN'!$I$6,MATCH('RAB Estetika'!C80,'HARGA SATUAN'!$C$7:$C$1509,0),0)),0,OFFSET('HARGA SATUAN'!$I$6,MATCH('RAB Estetika'!C80,'HARGA SATUAN'!$C$7:$C$1509,0),0))</f>
        <v>0</v>
      </c>
      <c r="H80" s="283">
        <f t="shared" si="12"/>
        <v>0</v>
      </c>
      <c r="I80" s="283">
        <f t="shared" si="13"/>
        <v>0</v>
      </c>
      <c r="J80" s="283">
        <f t="shared" si="14"/>
        <v>0</v>
      </c>
      <c r="K80" s="284">
        <f t="shared" si="15"/>
        <v>0</v>
      </c>
      <c r="L80" s="288"/>
      <c r="M80" s="288"/>
      <c r="N80" s="288"/>
      <c r="O80" s="285"/>
      <c r="P80" s="285"/>
      <c r="Q80" s="266"/>
      <c r="R80" s="258"/>
      <c r="S80" s="286"/>
      <c r="T80" s="263"/>
      <c r="U80" s="263"/>
      <c r="V80" s="263"/>
    </row>
    <row r="81" spans="1:22" s="289" customFormat="1" ht="30.75" customHeight="1">
      <c r="A81" s="258"/>
      <c r="B81" s="426"/>
      <c r="C81" s="109"/>
      <c r="D81" s="280"/>
      <c r="E81" s="281"/>
      <c r="F81" s="428"/>
      <c r="G81" s="282">
        <f ca="1">IF(ISERROR(OFFSET('HARGA SATUAN'!$I$6,MATCH('RAB Estetika'!C81,'HARGA SATUAN'!$C$7:$C$1509,0),0)),0,OFFSET('HARGA SATUAN'!$I$6,MATCH('RAB Estetika'!C81,'HARGA SATUAN'!$C$7:$C$1509,0),0))</f>
        <v>0</v>
      </c>
      <c r="H81" s="283">
        <f t="shared" si="12"/>
        <v>0</v>
      </c>
      <c r="I81" s="283">
        <f t="shared" si="13"/>
        <v>0</v>
      </c>
      <c r="J81" s="283">
        <f t="shared" si="14"/>
        <v>0</v>
      </c>
      <c r="K81" s="284">
        <f t="shared" si="15"/>
        <v>0</v>
      </c>
      <c r="L81" s="288"/>
      <c r="M81" s="288"/>
      <c r="N81" s="288"/>
      <c r="O81" s="285"/>
      <c r="P81" s="285"/>
      <c r="Q81" s="266"/>
      <c r="R81" s="258"/>
      <c r="S81" s="286"/>
      <c r="T81" s="263"/>
      <c r="U81" s="263"/>
      <c r="V81" s="263"/>
    </row>
    <row r="82" spans="1:22" s="287" customFormat="1">
      <c r="A82" s="258"/>
      <c r="B82" s="293"/>
      <c r="C82" s="296"/>
      <c r="D82" s="280"/>
      <c r="E82" s="281"/>
      <c r="F82" s="294"/>
      <c r="G82" s="282"/>
      <c r="H82" s="283"/>
      <c r="I82" s="283"/>
      <c r="J82" s="283"/>
      <c r="K82" s="284"/>
      <c r="L82" s="324"/>
      <c r="M82" s="324"/>
      <c r="N82" s="288"/>
      <c r="O82" s="266"/>
      <c r="P82" s="266"/>
      <c r="Q82" s="266"/>
    </row>
    <row r="83" spans="1:22" s="289" customFormat="1">
      <c r="A83" s="258" t="e">
        <f>IF(AND(C83=0,#REF!=0,#REF!=0),"BLANKS",1)</f>
        <v>#REF!</v>
      </c>
      <c r="B83" s="291"/>
      <c r="C83" s="292"/>
      <c r="D83" s="280"/>
      <c r="E83" s="281"/>
      <c r="F83" s="290"/>
      <c r="G83" s="282">
        <f ca="1">IF(ISERROR(OFFSET('HARGA SATUAN'!$I$6,MATCH('RAB Estetika'!C83,'HARGA SATUAN'!$C$7:$C$1509,0),0)),0,OFFSET('HARGA SATUAN'!$I$6,MATCH('RAB Estetika'!C83,'HARGA SATUAN'!$C$7:$C$1509,0),0))</f>
        <v>0</v>
      </c>
      <c r="H83" s="283">
        <f t="shared" ref="H83:H85" si="20">IF(OR(D83="MDU",D83="MDU-KD"),(IF($O$3="RAB NON MDU","PLN KD",G83*F83)),0)</f>
        <v>0</v>
      </c>
      <c r="I83" s="283">
        <f t="shared" ref="I83:I85" si="21">IF(D83="HDW",G83*F83,0)</f>
        <v>0</v>
      </c>
      <c r="J83" s="283">
        <f t="shared" ref="J83:J85" si="22">IF(D83="JASA",G83*F83,0)</f>
        <v>0</v>
      </c>
      <c r="K83" s="284">
        <f t="shared" ref="K83:K85" si="23">SUM(H83:J83)</f>
        <v>0</v>
      </c>
      <c r="L83" s="288"/>
      <c r="M83" s="288"/>
      <c r="N83" s="288"/>
      <c r="O83" s="285"/>
      <c r="P83" s="285"/>
      <c r="Q83" s="266"/>
      <c r="R83" s="258"/>
      <c r="S83" s="286"/>
      <c r="T83" s="263"/>
      <c r="U83" s="263"/>
      <c r="V83" s="263"/>
    </row>
    <row r="84" spans="1:22" s="289" customFormat="1">
      <c r="A84" s="258" t="e">
        <f>IF(AND(C84=0,#REF!=0,#REF!=0),"BLANKS",1)</f>
        <v>#REF!</v>
      </c>
      <c r="B84" s="426"/>
      <c r="C84" s="109"/>
      <c r="D84" s="280"/>
      <c r="E84" s="281"/>
      <c r="F84" s="497"/>
      <c r="G84" s="282">
        <f ca="1">IF(ISERROR(OFFSET('HARGA SATUAN'!$I$6,MATCH('RAB Estetika'!C84,'HARGA SATUAN'!$C$7:$C$1509,0),0)),0,OFFSET('HARGA SATUAN'!$I$6,MATCH('RAB Estetika'!C84,'HARGA SATUAN'!$C$7:$C$1509,0),0))</f>
        <v>0</v>
      </c>
      <c r="H84" s="283">
        <f t="shared" si="20"/>
        <v>0</v>
      </c>
      <c r="I84" s="283">
        <f t="shared" si="21"/>
        <v>0</v>
      </c>
      <c r="J84" s="283">
        <f t="shared" si="22"/>
        <v>0</v>
      </c>
      <c r="K84" s="284">
        <f t="shared" si="23"/>
        <v>0</v>
      </c>
      <c r="L84" s="288"/>
      <c r="M84" s="288"/>
      <c r="N84" s="288"/>
      <c r="O84" s="285"/>
      <c r="P84" s="285"/>
      <c r="Q84" s="266"/>
      <c r="R84" s="258"/>
      <c r="S84" s="286"/>
      <c r="T84" s="263"/>
      <c r="U84" s="263"/>
      <c r="V84" s="263"/>
    </row>
    <row r="85" spans="1:22" s="289" customFormat="1" ht="23.25" customHeight="1">
      <c r="A85" s="258"/>
      <c r="B85" s="426"/>
      <c r="C85" s="109"/>
      <c r="D85" s="280"/>
      <c r="E85" s="281"/>
      <c r="F85" s="497"/>
      <c r="G85" s="282">
        <f ca="1">IF(ISERROR(OFFSET('HARGA SATUAN'!$I$6,MATCH('RAB Estetika'!C85,'HARGA SATUAN'!$C$7:$C$1509,0),0)),0,OFFSET('HARGA SATUAN'!$I$6,MATCH('RAB Estetika'!C85,'HARGA SATUAN'!$C$7:$C$1509,0),0))</f>
        <v>0</v>
      </c>
      <c r="H85" s="283">
        <f t="shared" si="20"/>
        <v>0</v>
      </c>
      <c r="I85" s="283">
        <f t="shared" si="21"/>
        <v>0</v>
      </c>
      <c r="J85" s="283">
        <f t="shared" si="22"/>
        <v>0</v>
      </c>
      <c r="K85" s="284">
        <f t="shared" si="23"/>
        <v>0</v>
      </c>
      <c r="L85" s="288"/>
      <c r="M85" s="288"/>
      <c r="N85" s="288"/>
      <c r="O85" s="285"/>
      <c r="P85" s="285"/>
      <c r="Q85" s="266"/>
      <c r="R85" s="258"/>
      <c r="S85" s="286"/>
      <c r="T85" s="263"/>
      <c r="U85" s="263"/>
      <c r="V85" s="263"/>
    </row>
    <row r="86" spans="1:22" s="289" customFormat="1" ht="21.75" customHeight="1">
      <c r="A86" s="258"/>
      <c r="B86" s="426"/>
      <c r="C86" s="109"/>
      <c r="D86" s="280"/>
      <c r="E86" s="281"/>
      <c r="F86" s="497"/>
      <c r="G86" s="282">
        <f ca="1">IF(ISERROR(OFFSET('HARGA SATUAN'!$I$6,MATCH('RAB Estetika'!C86,'HARGA SATUAN'!$C$7:$C$1509,0),0)),0,OFFSET('HARGA SATUAN'!$I$6,MATCH('RAB Estetika'!C86,'HARGA SATUAN'!$C$7:$C$1509,0),0))</f>
        <v>0</v>
      </c>
      <c r="H86" s="283">
        <f t="shared" ref="H86" si="24">IF(OR(D86="MDU",D86="MDU-KD"),(IF($O$3="RAB NON MDU","PLN KD",G86*F86)),0)</f>
        <v>0</v>
      </c>
      <c r="I86" s="283">
        <f t="shared" ref="I86" si="25">IF(D86="HDW",G86*F86,0)</f>
        <v>0</v>
      </c>
      <c r="J86" s="283">
        <f t="shared" ref="J86" si="26">IF(D86="JASA",G86*F86,0)</f>
        <v>0</v>
      </c>
      <c r="K86" s="284">
        <f t="shared" ref="K86" si="27">SUM(H86:J86)</f>
        <v>0</v>
      </c>
      <c r="L86" s="288"/>
      <c r="M86" s="288"/>
      <c r="N86" s="288"/>
      <c r="O86" s="285"/>
      <c r="P86" s="285"/>
      <c r="Q86" s="266"/>
      <c r="R86" s="258"/>
      <c r="S86" s="286"/>
      <c r="T86" s="263"/>
      <c r="U86" s="263"/>
      <c r="V86" s="263"/>
    </row>
    <row r="87" spans="1:22" s="287" customFormat="1">
      <c r="A87" s="258"/>
      <c r="B87" s="293"/>
      <c r="C87" s="296"/>
      <c r="D87" s="280"/>
      <c r="E87" s="281"/>
      <c r="F87" s="294"/>
      <c r="G87" s="282"/>
      <c r="H87" s="283"/>
      <c r="I87" s="283"/>
      <c r="J87" s="283"/>
      <c r="K87" s="284"/>
      <c r="L87" s="324"/>
      <c r="M87" s="324"/>
      <c r="N87" s="288"/>
      <c r="O87" s="266"/>
      <c r="P87" s="266"/>
      <c r="Q87" s="266"/>
    </row>
    <row r="88" spans="1:22" s="289" customFormat="1" ht="14.25" customHeight="1">
      <c r="A88" s="258"/>
      <c r="B88" s="291"/>
      <c r="C88" s="292"/>
      <c r="D88" s="280"/>
      <c r="E88" s="281"/>
      <c r="F88" s="290"/>
      <c r="G88" s="282">
        <f ca="1">IF(ISERROR(OFFSET('HARGA SATUAN'!$I$6,MATCH('RAB Estetika'!C88,'HARGA SATUAN'!$C$7:$C$1509,0),0)),0,OFFSET('HARGA SATUAN'!$I$6,MATCH('RAB Estetika'!C88,'HARGA SATUAN'!$C$7:$C$1509,0),0))</f>
        <v>0</v>
      </c>
      <c r="H88" s="283">
        <f t="shared" ref="H88:H151" si="28">IF(OR(D88="MDU",D88="MDU-KD"),(IF($O$3="RAB NON MDU","PLN KD",G88*F88)),0)</f>
        <v>0</v>
      </c>
      <c r="I88" s="283">
        <f t="shared" ref="I88:I151" si="29">IF(D88="HDW",G88*F88,0)</f>
        <v>0</v>
      </c>
      <c r="J88" s="283">
        <f t="shared" ref="J88:J151" si="30">IF(D88="JASA",G88*F88,0)</f>
        <v>0</v>
      </c>
      <c r="K88" s="284">
        <f t="shared" ref="K88:K151" si="31">SUM(H88:J88)</f>
        <v>0</v>
      </c>
      <c r="L88" s="288"/>
      <c r="M88" s="288"/>
      <c r="N88" s="288"/>
      <c r="O88" s="285"/>
      <c r="P88" s="285"/>
      <c r="Q88" s="266"/>
      <c r="R88" s="258"/>
      <c r="S88" s="286"/>
      <c r="T88" s="263"/>
      <c r="U88" s="263"/>
      <c r="V88" s="263"/>
    </row>
    <row r="89" spans="1:22" s="289" customFormat="1">
      <c r="A89" s="258" t="e">
        <f>IF(AND(C89=0,#REF!=0,#REF!=0),"BLANKS",1)</f>
        <v>#REF!</v>
      </c>
      <c r="B89" s="492"/>
      <c r="C89" s="493"/>
      <c r="D89" s="280"/>
      <c r="E89" s="281"/>
      <c r="F89" s="497"/>
      <c r="G89" s="282">
        <f ca="1">IF(ISERROR(OFFSET('HARGA SATUAN'!$I$6,MATCH('RAB Estetika'!C89,'HARGA SATUAN'!$C$7:$C$1509,0),0)),0,OFFSET('HARGA SATUAN'!$I$6,MATCH('RAB Estetika'!C89,'HARGA SATUAN'!$C$7:$C$1509,0),0))</f>
        <v>0</v>
      </c>
      <c r="H89" s="283">
        <f t="shared" si="28"/>
        <v>0</v>
      </c>
      <c r="I89" s="283">
        <f t="shared" si="29"/>
        <v>0</v>
      </c>
      <c r="J89" s="283">
        <f t="shared" si="30"/>
        <v>0</v>
      </c>
      <c r="K89" s="284">
        <f t="shared" si="31"/>
        <v>0</v>
      </c>
      <c r="L89" s="288"/>
      <c r="M89" s="288"/>
      <c r="N89" s="288"/>
      <c r="O89" s="285"/>
      <c r="P89" s="285"/>
      <c r="Q89" s="266"/>
      <c r="R89" s="258"/>
      <c r="S89" s="286"/>
      <c r="T89" s="263"/>
      <c r="U89" s="263"/>
      <c r="V89" s="263"/>
    </row>
    <row r="90" spans="1:22" s="289" customFormat="1">
      <c r="A90" s="258" t="str">
        <f>IF(AND(C90=0,C91=0,C92=0),"BLANKS",1)</f>
        <v>BLANKS</v>
      </c>
      <c r="B90" s="492"/>
      <c r="C90" s="493"/>
      <c r="D90" s="280"/>
      <c r="E90" s="281"/>
      <c r="F90" s="497"/>
      <c r="G90" s="282">
        <f ca="1">IF(ISERROR(OFFSET('HARGA SATUAN'!$I$6,MATCH('RAB Estetika'!C90,'HARGA SATUAN'!$C$7:$C$1509,0),0)),0,OFFSET('HARGA SATUAN'!$I$6,MATCH('RAB Estetika'!C90,'HARGA SATUAN'!$C$7:$C$1509,0),0))</f>
        <v>0</v>
      </c>
      <c r="H90" s="283">
        <f t="shared" si="28"/>
        <v>0</v>
      </c>
      <c r="I90" s="283">
        <f t="shared" si="29"/>
        <v>0</v>
      </c>
      <c r="J90" s="283">
        <f t="shared" si="30"/>
        <v>0</v>
      </c>
      <c r="K90" s="284">
        <f t="shared" si="31"/>
        <v>0</v>
      </c>
      <c r="L90" s="288"/>
      <c r="M90" s="288"/>
      <c r="N90" s="288"/>
      <c r="O90" s="285"/>
      <c r="P90" s="285"/>
      <c r="Q90" s="266"/>
      <c r="R90" s="258"/>
      <c r="S90" s="286"/>
      <c r="T90" s="263"/>
      <c r="U90" s="263"/>
      <c r="V90" s="263"/>
    </row>
    <row r="91" spans="1:22" s="289" customFormat="1">
      <c r="A91" s="258" t="e">
        <f>IF(AND(C91=0,C92=0,#REF!=0),"BLANKS",1)</f>
        <v>#REF!</v>
      </c>
      <c r="B91" s="492"/>
      <c r="C91" s="493"/>
      <c r="D91" s="280"/>
      <c r="E91" s="281"/>
      <c r="F91" s="497"/>
      <c r="G91" s="282">
        <f ca="1">IF(ISERROR(OFFSET('HARGA SATUAN'!$I$6,MATCH('RAB Estetika'!C91,'HARGA SATUAN'!$C$7:$C$1509,0),0)),0,OFFSET('HARGA SATUAN'!$I$6,MATCH('RAB Estetika'!C91,'HARGA SATUAN'!$C$7:$C$1509,0),0))</f>
        <v>0</v>
      </c>
      <c r="H91" s="283">
        <f t="shared" si="28"/>
        <v>0</v>
      </c>
      <c r="I91" s="283">
        <f t="shared" si="29"/>
        <v>0</v>
      </c>
      <c r="J91" s="283">
        <f t="shared" si="30"/>
        <v>0</v>
      </c>
      <c r="K91" s="284">
        <f t="shared" si="31"/>
        <v>0</v>
      </c>
      <c r="L91" s="288"/>
      <c r="M91" s="288"/>
      <c r="N91" s="288"/>
      <c r="O91" s="285"/>
      <c r="P91" s="285"/>
      <c r="Q91" s="266"/>
      <c r="R91" s="258"/>
      <c r="S91" s="286"/>
      <c r="T91" s="263"/>
      <c r="U91" s="263"/>
      <c r="V91" s="263"/>
    </row>
    <row r="92" spans="1:22" s="289" customFormat="1">
      <c r="A92" s="258" t="e">
        <f>IF(AND(C92=0,#REF!=0,#REF!=0),"BLANKS",1)</f>
        <v>#REF!</v>
      </c>
      <c r="B92" s="492"/>
      <c r="C92" s="493"/>
      <c r="D92" s="280"/>
      <c r="E92" s="281"/>
      <c r="F92" s="497"/>
      <c r="G92" s="282">
        <f ca="1">IF(ISERROR(OFFSET('HARGA SATUAN'!$I$6,MATCH('RAB Estetika'!C92,'HARGA SATUAN'!$C$7:$C$1509,0),0)),0,OFFSET('HARGA SATUAN'!$I$6,MATCH('RAB Estetika'!C92,'HARGA SATUAN'!$C$7:$C$1509,0),0))</f>
        <v>0</v>
      </c>
      <c r="H92" s="283">
        <f t="shared" si="28"/>
        <v>0</v>
      </c>
      <c r="I92" s="283">
        <f t="shared" si="29"/>
        <v>0</v>
      </c>
      <c r="J92" s="283">
        <f t="shared" si="30"/>
        <v>0</v>
      </c>
      <c r="K92" s="284">
        <f t="shared" si="31"/>
        <v>0</v>
      </c>
      <c r="L92" s="288"/>
      <c r="M92" s="288"/>
      <c r="N92" s="288"/>
      <c r="O92" s="285"/>
      <c r="P92" s="285"/>
      <c r="Q92" s="266"/>
      <c r="R92" s="258"/>
      <c r="S92" s="286"/>
      <c r="T92" s="263"/>
      <c r="U92" s="263"/>
      <c r="V92" s="263"/>
    </row>
    <row r="93" spans="1:22" s="289" customFormat="1">
      <c r="A93" s="258"/>
      <c r="B93" s="492"/>
      <c r="C93" s="493"/>
      <c r="D93" s="280"/>
      <c r="E93" s="281"/>
      <c r="F93" s="497"/>
      <c r="G93" s="282">
        <f ca="1">IF(ISERROR(OFFSET('HARGA SATUAN'!$I$6,MATCH('RAB Estetika'!C93,'HARGA SATUAN'!$C$7:$C$1509,0),0)),0,OFFSET('HARGA SATUAN'!$I$6,MATCH('RAB Estetika'!C93,'HARGA SATUAN'!$C$7:$C$1509,0),0))</f>
        <v>0</v>
      </c>
      <c r="H93" s="283">
        <f t="shared" si="28"/>
        <v>0</v>
      </c>
      <c r="I93" s="283">
        <f t="shared" si="29"/>
        <v>0</v>
      </c>
      <c r="J93" s="283">
        <f t="shared" si="30"/>
        <v>0</v>
      </c>
      <c r="K93" s="284">
        <f t="shared" si="31"/>
        <v>0</v>
      </c>
      <c r="L93" s="288"/>
      <c r="M93" s="288"/>
      <c r="N93" s="288"/>
      <c r="O93" s="285"/>
      <c r="P93" s="285"/>
      <c r="Q93" s="266"/>
      <c r="R93" s="258"/>
      <c r="S93" s="286"/>
      <c r="T93" s="263"/>
      <c r="U93" s="263"/>
      <c r="V93" s="263"/>
    </row>
    <row r="94" spans="1:22" s="289" customFormat="1">
      <c r="A94" s="258" t="e">
        <f>IF(AND(C94=0,#REF!=0,#REF!=0),"BLANKS",1)</f>
        <v>#REF!</v>
      </c>
      <c r="B94" s="492"/>
      <c r="C94" s="493"/>
      <c r="D94" s="280"/>
      <c r="E94" s="281"/>
      <c r="F94" s="388"/>
      <c r="G94" s="282">
        <f ca="1">IF(ISERROR(OFFSET('HARGA SATUAN'!$I$6,MATCH('RAB Estetika'!C94,'HARGA SATUAN'!$C$7:$C$1509,0),0)),0,OFFSET('HARGA SATUAN'!$I$6,MATCH('RAB Estetika'!C94,'HARGA SATUAN'!$C$7:$C$1509,0),0))</f>
        <v>0</v>
      </c>
      <c r="H94" s="283">
        <f t="shared" si="28"/>
        <v>0</v>
      </c>
      <c r="I94" s="283">
        <f t="shared" si="29"/>
        <v>0</v>
      </c>
      <c r="J94" s="283">
        <f t="shared" si="30"/>
        <v>0</v>
      </c>
      <c r="K94" s="284">
        <f t="shared" si="31"/>
        <v>0</v>
      </c>
      <c r="L94" s="288"/>
      <c r="M94" s="288"/>
      <c r="N94" s="288"/>
      <c r="O94" s="285"/>
      <c r="P94" s="285"/>
      <c r="Q94" s="266"/>
      <c r="R94" s="258"/>
      <c r="S94" s="286"/>
      <c r="T94" s="263"/>
      <c r="U94" s="263"/>
      <c r="V94" s="263"/>
    </row>
    <row r="95" spans="1:22" s="289" customFormat="1">
      <c r="A95" s="258" t="e">
        <f>IF(AND(C95=0,C96=0,#REF!=0),"BLANKS",1)</f>
        <v>#REF!</v>
      </c>
      <c r="B95" s="492"/>
      <c r="C95" s="493"/>
      <c r="D95" s="280"/>
      <c r="E95" s="281"/>
      <c r="F95" s="388"/>
      <c r="G95" s="282">
        <f ca="1">IF(ISERROR(OFFSET('HARGA SATUAN'!$I$6,MATCH('RAB Estetika'!C95,'HARGA SATUAN'!$C$7:$C$1509,0),0)),0,OFFSET('HARGA SATUAN'!$I$6,MATCH('RAB Estetika'!C95,'HARGA SATUAN'!$C$7:$C$1509,0),0))</f>
        <v>0</v>
      </c>
      <c r="H95" s="283">
        <f t="shared" si="28"/>
        <v>0</v>
      </c>
      <c r="I95" s="283">
        <f t="shared" si="29"/>
        <v>0</v>
      </c>
      <c r="J95" s="283">
        <f t="shared" si="30"/>
        <v>0</v>
      </c>
      <c r="K95" s="284">
        <f t="shared" si="31"/>
        <v>0</v>
      </c>
      <c r="L95" s="288"/>
      <c r="M95" s="288"/>
      <c r="N95" s="288"/>
      <c r="O95" s="285"/>
      <c r="P95" s="285"/>
      <c r="Q95" s="266"/>
      <c r="R95" s="258"/>
      <c r="S95" s="286"/>
      <c r="T95" s="263"/>
      <c r="U95" s="263"/>
      <c r="V95" s="263"/>
    </row>
    <row r="96" spans="1:22" s="289" customFormat="1">
      <c r="A96" s="258" t="e">
        <f>IF(AND(C96=0,#REF!=0,#REF!=0),"BLANKS",1)</f>
        <v>#REF!</v>
      </c>
      <c r="B96" s="492"/>
      <c r="C96" s="493"/>
      <c r="D96" s="280"/>
      <c r="E96" s="281"/>
      <c r="F96" s="497"/>
      <c r="G96" s="282">
        <f ca="1">IF(ISERROR(OFFSET('HARGA SATUAN'!$I$6,MATCH('RAB Estetika'!C96,'HARGA SATUAN'!$C$7:$C$1509,0),0)),0,OFFSET('HARGA SATUAN'!$I$6,MATCH('RAB Estetika'!C96,'HARGA SATUAN'!$C$7:$C$1509,0),0))</f>
        <v>0</v>
      </c>
      <c r="H96" s="283">
        <f t="shared" si="28"/>
        <v>0</v>
      </c>
      <c r="I96" s="283">
        <f t="shared" si="29"/>
        <v>0</v>
      </c>
      <c r="J96" s="283">
        <f t="shared" si="30"/>
        <v>0</v>
      </c>
      <c r="K96" s="284">
        <f t="shared" si="31"/>
        <v>0</v>
      </c>
      <c r="L96" s="288"/>
      <c r="M96" s="288"/>
      <c r="N96" s="288"/>
      <c r="O96" s="285"/>
      <c r="P96" s="285"/>
      <c r="Q96" s="266"/>
      <c r="R96" s="258"/>
      <c r="S96" s="286"/>
      <c r="T96" s="263"/>
      <c r="U96" s="263"/>
      <c r="V96" s="263"/>
    </row>
    <row r="97" spans="1:22" s="289" customFormat="1">
      <c r="A97" s="258" t="str">
        <f>IF(AND(C97=0,C98=0,C99=0),"BLANKS",1)</f>
        <v>BLANKS</v>
      </c>
      <c r="B97" s="492"/>
      <c r="C97" s="493"/>
      <c r="D97" s="280"/>
      <c r="E97" s="281"/>
      <c r="F97" s="497"/>
      <c r="G97" s="282">
        <f ca="1">IF(ISERROR(OFFSET('HARGA SATUAN'!$I$6,MATCH('RAB Estetika'!C97,'HARGA SATUAN'!$C$7:$C$1509,0),0)),0,OFFSET('HARGA SATUAN'!$I$6,MATCH('RAB Estetika'!C97,'HARGA SATUAN'!$C$7:$C$1509,0),0))</f>
        <v>0</v>
      </c>
      <c r="H97" s="283">
        <f t="shared" si="28"/>
        <v>0</v>
      </c>
      <c r="I97" s="283">
        <f t="shared" si="29"/>
        <v>0</v>
      </c>
      <c r="J97" s="283">
        <f t="shared" si="30"/>
        <v>0</v>
      </c>
      <c r="K97" s="284">
        <f t="shared" si="31"/>
        <v>0</v>
      </c>
      <c r="L97" s="288"/>
      <c r="M97" s="288"/>
      <c r="N97" s="288"/>
      <c r="O97" s="285"/>
      <c r="P97" s="285"/>
      <c r="Q97" s="266"/>
      <c r="R97" s="258"/>
      <c r="S97" s="286"/>
      <c r="T97" s="263"/>
      <c r="U97" s="263"/>
      <c r="V97" s="263"/>
    </row>
    <row r="98" spans="1:22" s="289" customFormat="1">
      <c r="A98" s="258" t="e">
        <f>IF(AND(C98=0,C99=0,#REF!=0),"BLANKS",1)</f>
        <v>#REF!</v>
      </c>
      <c r="B98" s="492"/>
      <c r="C98" s="493"/>
      <c r="D98" s="280"/>
      <c r="E98" s="281"/>
      <c r="F98" s="497"/>
      <c r="G98" s="282">
        <f ca="1">IF(ISERROR(OFFSET('HARGA SATUAN'!$I$6,MATCH('RAB Estetika'!C98,'HARGA SATUAN'!$C$7:$C$1509,0),0)),0,OFFSET('HARGA SATUAN'!$I$6,MATCH('RAB Estetika'!C98,'HARGA SATUAN'!$C$7:$C$1509,0),0))</f>
        <v>0</v>
      </c>
      <c r="H98" s="283">
        <f t="shared" si="28"/>
        <v>0</v>
      </c>
      <c r="I98" s="283">
        <f t="shared" si="29"/>
        <v>0</v>
      </c>
      <c r="J98" s="283">
        <f t="shared" si="30"/>
        <v>0</v>
      </c>
      <c r="K98" s="284">
        <f t="shared" si="31"/>
        <v>0</v>
      </c>
      <c r="L98" s="288"/>
      <c r="M98" s="288"/>
      <c r="N98" s="288"/>
      <c r="O98" s="285"/>
      <c r="P98" s="285"/>
      <c r="Q98" s="266"/>
      <c r="R98" s="258"/>
      <c r="S98" s="286"/>
      <c r="T98" s="263"/>
      <c r="U98" s="263"/>
      <c r="V98" s="263"/>
    </row>
    <row r="99" spans="1:22" s="289" customFormat="1">
      <c r="A99" s="258" t="e">
        <f>IF(AND(C99=0,#REF!=0,#REF!=0),"BLANKS",1)</f>
        <v>#REF!</v>
      </c>
      <c r="B99" s="492"/>
      <c r="C99" s="493"/>
      <c r="D99" s="280"/>
      <c r="E99" s="281"/>
      <c r="F99" s="497"/>
      <c r="G99" s="282">
        <f ca="1">IF(ISERROR(OFFSET('HARGA SATUAN'!$I$6,MATCH('RAB Estetika'!C99,'HARGA SATUAN'!$C$7:$C$1509,0),0)),0,OFFSET('HARGA SATUAN'!$I$6,MATCH('RAB Estetika'!C99,'HARGA SATUAN'!$C$7:$C$1509,0),0))</f>
        <v>0</v>
      </c>
      <c r="H99" s="283">
        <f t="shared" si="28"/>
        <v>0</v>
      </c>
      <c r="I99" s="283">
        <f t="shared" si="29"/>
        <v>0</v>
      </c>
      <c r="J99" s="283">
        <f t="shared" si="30"/>
        <v>0</v>
      </c>
      <c r="K99" s="284">
        <f t="shared" si="31"/>
        <v>0</v>
      </c>
      <c r="L99" s="288"/>
      <c r="M99" s="288"/>
      <c r="N99" s="288"/>
      <c r="O99" s="285"/>
      <c r="P99" s="285"/>
      <c r="Q99" s="266"/>
      <c r="R99" s="258"/>
      <c r="S99" s="286"/>
      <c r="T99" s="263"/>
      <c r="U99" s="263"/>
      <c r="V99" s="263"/>
    </row>
    <row r="100" spans="1:22" s="289" customFormat="1">
      <c r="A100" s="258" t="str">
        <f>IF(AND(C100=0,C101=0,C102=0),"BLANKS",1)</f>
        <v>BLANKS</v>
      </c>
      <c r="B100" s="492"/>
      <c r="C100" s="493"/>
      <c r="D100" s="280"/>
      <c r="E100" s="281"/>
      <c r="F100" s="388"/>
      <c r="G100" s="282">
        <f ca="1">IF(ISERROR(OFFSET('HARGA SATUAN'!$I$6,MATCH('RAB Estetika'!C100,'HARGA SATUAN'!$C$7:$C$1509,0),0)),0,OFFSET('HARGA SATUAN'!$I$6,MATCH('RAB Estetika'!C100,'HARGA SATUAN'!$C$7:$C$1509,0),0))</f>
        <v>0</v>
      </c>
      <c r="H100" s="283">
        <f t="shared" si="28"/>
        <v>0</v>
      </c>
      <c r="I100" s="283">
        <f t="shared" si="29"/>
        <v>0</v>
      </c>
      <c r="J100" s="283">
        <f t="shared" si="30"/>
        <v>0</v>
      </c>
      <c r="K100" s="284">
        <f t="shared" si="31"/>
        <v>0</v>
      </c>
      <c r="L100" s="288"/>
      <c r="M100" s="288"/>
      <c r="N100" s="288"/>
      <c r="O100" s="285"/>
      <c r="P100" s="285"/>
      <c r="Q100" s="266"/>
      <c r="R100" s="258"/>
      <c r="S100" s="286"/>
      <c r="T100" s="263"/>
      <c r="U100" s="263"/>
      <c r="V100" s="263"/>
    </row>
    <row r="101" spans="1:22" s="289" customFormat="1">
      <c r="A101" s="258" t="str">
        <f>IF(AND(C101=0,C102=0,C103=0),"BLANKS",1)</f>
        <v>BLANKS</v>
      </c>
      <c r="B101" s="492"/>
      <c r="C101" s="493"/>
      <c r="D101" s="280"/>
      <c r="E101" s="281"/>
      <c r="F101" s="388"/>
      <c r="G101" s="282">
        <f ca="1">IF(ISERROR(OFFSET('HARGA SATUAN'!$I$6,MATCH('RAB Estetika'!C101,'HARGA SATUAN'!$C$7:$C$1509,0),0)),0,OFFSET('HARGA SATUAN'!$I$6,MATCH('RAB Estetika'!C101,'HARGA SATUAN'!$C$7:$C$1509,0),0))</f>
        <v>0</v>
      </c>
      <c r="H101" s="283">
        <f t="shared" si="28"/>
        <v>0</v>
      </c>
      <c r="I101" s="283">
        <f t="shared" si="29"/>
        <v>0</v>
      </c>
      <c r="J101" s="283">
        <f t="shared" si="30"/>
        <v>0</v>
      </c>
      <c r="K101" s="284">
        <f t="shared" si="31"/>
        <v>0</v>
      </c>
      <c r="L101" s="288"/>
      <c r="M101" s="288"/>
      <c r="N101" s="288"/>
      <c r="O101" s="285"/>
      <c r="P101" s="285"/>
      <c r="Q101" s="266"/>
      <c r="R101" s="258"/>
      <c r="S101" s="286"/>
      <c r="T101" s="263"/>
      <c r="U101" s="263"/>
      <c r="V101" s="263"/>
    </row>
    <row r="102" spans="1:22" s="289" customFormat="1">
      <c r="A102" s="258" t="e">
        <f>IF(AND(C102=0,C103=0,#REF!=0),"BLANKS",1)</f>
        <v>#REF!</v>
      </c>
      <c r="B102" s="492"/>
      <c r="C102" s="493"/>
      <c r="D102" s="280"/>
      <c r="E102" s="281"/>
      <c r="F102" s="388"/>
      <c r="G102" s="282">
        <f ca="1">IF(ISERROR(OFFSET('HARGA SATUAN'!$I$6,MATCH('RAB Estetika'!C102,'HARGA SATUAN'!$C$7:$C$1509,0),0)),0,OFFSET('HARGA SATUAN'!$I$6,MATCH('RAB Estetika'!C102,'HARGA SATUAN'!$C$7:$C$1509,0),0))</f>
        <v>0</v>
      </c>
      <c r="H102" s="283">
        <f t="shared" si="28"/>
        <v>0</v>
      </c>
      <c r="I102" s="283">
        <f t="shared" si="29"/>
        <v>0</v>
      </c>
      <c r="J102" s="283">
        <f t="shared" si="30"/>
        <v>0</v>
      </c>
      <c r="K102" s="284">
        <f t="shared" si="31"/>
        <v>0</v>
      </c>
      <c r="L102" s="288"/>
      <c r="M102" s="288"/>
      <c r="N102" s="288"/>
      <c r="O102" s="285"/>
      <c r="P102" s="285"/>
      <c r="Q102" s="266"/>
      <c r="R102" s="258"/>
      <c r="S102" s="286"/>
      <c r="T102" s="263"/>
      <c r="U102" s="263"/>
      <c r="V102" s="263"/>
    </row>
    <row r="103" spans="1:22" s="289" customFormat="1">
      <c r="A103" s="258" t="e">
        <f>IF(AND(C103=0,#REF!=0,#REF!=0),"BLANKS",1)</f>
        <v>#REF!</v>
      </c>
      <c r="B103" s="492"/>
      <c r="C103" s="493"/>
      <c r="D103" s="280"/>
      <c r="E103" s="281"/>
      <c r="F103" s="388"/>
      <c r="G103" s="282">
        <f ca="1">IF(ISERROR(OFFSET('HARGA SATUAN'!$I$6,MATCH('RAB Estetika'!C103,'HARGA SATUAN'!$C$7:$C$1509,0),0)),0,OFFSET('HARGA SATUAN'!$I$6,MATCH('RAB Estetika'!C103,'HARGA SATUAN'!$C$7:$C$1509,0),0))</f>
        <v>0</v>
      </c>
      <c r="H103" s="283">
        <f t="shared" si="28"/>
        <v>0</v>
      </c>
      <c r="I103" s="283">
        <f t="shared" si="29"/>
        <v>0</v>
      </c>
      <c r="J103" s="283">
        <f t="shared" si="30"/>
        <v>0</v>
      </c>
      <c r="K103" s="284">
        <f t="shared" si="31"/>
        <v>0</v>
      </c>
      <c r="L103" s="288"/>
      <c r="M103" s="288"/>
      <c r="N103" s="288"/>
      <c r="O103" s="285"/>
      <c r="P103" s="285"/>
      <c r="Q103" s="266"/>
      <c r="R103" s="258"/>
      <c r="S103" s="286"/>
      <c r="T103" s="263"/>
      <c r="U103" s="263"/>
      <c r="V103" s="263"/>
    </row>
    <row r="104" spans="1:22" s="289" customFormat="1">
      <c r="A104" s="258" t="e">
        <f>IF(AND(C104=0,#REF!=0,#REF!=0),"BLANKS",1)</f>
        <v>#REF!</v>
      </c>
      <c r="B104" s="492"/>
      <c r="C104" s="493"/>
      <c r="D104" s="280"/>
      <c r="E104" s="281"/>
      <c r="F104" s="388"/>
      <c r="G104" s="282">
        <f ca="1">IF(ISERROR(OFFSET('HARGA SATUAN'!$I$6,MATCH('RAB Estetika'!C104,'HARGA SATUAN'!$C$7:$C$1509,0),0)),0,OFFSET('HARGA SATUAN'!$I$6,MATCH('RAB Estetika'!C104,'HARGA SATUAN'!$C$7:$C$1509,0),0))</f>
        <v>0</v>
      </c>
      <c r="H104" s="283">
        <f t="shared" si="28"/>
        <v>0</v>
      </c>
      <c r="I104" s="283">
        <f t="shared" si="29"/>
        <v>0</v>
      </c>
      <c r="J104" s="283">
        <f t="shared" si="30"/>
        <v>0</v>
      </c>
      <c r="K104" s="284">
        <f t="shared" si="31"/>
        <v>0</v>
      </c>
      <c r="L104" s="288"/>
      <c r="M104" s="288"/>
      <c r="N104" s="288"/>
      <c r="O104" s="285"/>
      <c r="P104" s="285"/>
      <c r="Q104" s="266"/>
      <c r="R104" s="258"/>
      <c r="S104" s="286"/>
      <c r="T104" s="263"/>
      <c r="U104" s="263"/>
      <c r="V104" s="263"/>
    </row>
    <row r="105" spans="1:22" s="289" customFormat="1">
      <c r="A105" s="258"/>
      <c r="B105" s="492"/>
      <c r="C105" s="493"/>
      <c r="D105" s="280"/>
      <c r="E105" s="281"/>
      <c r="F105" s="388"/>
      <c r="G105" s="282">
        <f ca="1">IF(ISERROR(OFFSET('HARGA SATUAN'!$I$6,MATCH('RAB Estetika'!C105,'HARGA SATUAN'!$C$7:$C$1509,0),0)),0,OFFSET('HARGA SATUAN'!$I$6,MATCH('RAB Estetika'!C105,'HARGA SATUAN'!$C$7:$C$1509,0),0))</f>
        <v>0</v>
      </c>
      <c r="H105" s="283">
        <f t="shared" si="28"/>
        <v>0</v>
      </c>
      <c r="I105" s="283">
        <f t="shared" si="29"/>
        <v>0</v>
      </c>
      <c r="J105" s="283">
        <f t="shared" si="30"/>
        <v>0</v>
      </c>
      <c r="K105" s="284">
        <f t="shared" si="31"/>
        <v>0</v>
      </c>
      <c r="L105" s="288"/>
      <c r="M105" s="288"/>
      <c r="N105" s="288"/>
      <c r="O105" s="285"/>
      <c r="P105" s="285"/>
      <c r="Q105" s="266"/>
      <c r="R105" s="258"/>
      <c r="S105" s="286"/>
      <c r="T105" s="263"/>
      <c r="U105" s="263"/>
      <c r="V105" s="263"/>
    </row>
    <row r="106" spans="1:22" s="289" customFormat="1">
      <c r="A106" s="258" t="e">
        <f>IF(AND(C106=0,#REF!=0,#REF!=0),"BLANKS",1)</f>
        <v>#REF!</v>
      </c>
      <c r="B106" s="492"/>
      <c r="C106" s="493"/>
      <c r="D106" s="280"/>
      <c r="E106" s="281"/>
      <c r="F106" s="388"/>
      <c r="G106" s="282">
        <f ca="1">IF(ISERROR(OFFSET('HARGA SATUAN'!$I$6,MATCH('RAB Estetika'!C106,'HARGA SATUAN'!$C$7:$C$1509,0),0)),0,OFFSET('HARGA SATUAN'!$I$6,MATCH('RAB Estetika'!C106,'HARGA SATUAN'!$C$7:$C$1509,0),0))</f>
        <v>0</v>
      </c>
      <c r="H106" s="283">
        <f t="shared" si="28"/>
        <v>0</v>
      </c>
      <c r="I106" s="283">
        <f t="shared" si="29"/>
        <v>0</v>
      </c>
      <c r="J106" s="283">
        <f t="shared" si="30"/>
        <v>0</v>
      </c>
      <c r="K106" s="284">
        <f t="shared" si="31"/>
        <v>0</v>
      </c>
      <c r="L106" s="288"/>
      <c r="M106" s="288"/>
      <c r="N106" s="288"/>
      <c r="O106" s="285"/>
      <c r="P106" s="285"/>
      <c r="Q106" s="266"/>
      <c r="R106" s="258"/>
      <c r="S106" s="286"/>
      <c r="T106" s="263"/>
      <c r="U106" s="263"/>
      <c r="V106" s="263"/>
    </row>
    <row r="107" spans="1:22" s="289" customFormat="1">
      <c r="A107" s="258" t="e">
        <f>IF(AND(C107=0,C108=0,#REF!=0),"BLANKS",1)</f>
        <v>#REF!</v>
      </c>
      <c r="B107" s="492"/>
      <c r="C107" s="493"/>
      <c r="D107" s="280"/>
      <c r="E107" s="281"/>
      <c r="F107" s="388"/>
      <c r="G107" s="282">
        <f ca="1">IF(ISERROR(OFFSET('HARGA SATUAN'!$I$6,MATCH('RAB Estetika'!C107,'HARGA SATUAN'!$C$7:$C$1509,0),0)),0,OFFSET('HARGA SATUAN'!$I$6,MATCH('RAB Estetika'!C107,'HARGA SATUAN'!$C$7:$C$1509,0),0))</f>
        <v>0</v>
      </c>
      <c r="H107" s="283">
        <f t="shared" si="28"/>
        <v>0</v>
      </c>
      <c r="I107" s="283">
        <f t="shared" si="29"/>
        <v>0</v>
      </c>
      <c r="J107" s="283">
        <f t="shared" si="30"/>
        <v>0</v>
      </c>
      <c r="K107" s="284">
        <f t="shared" si="31"/>
        <v>0</v>
      </c>
      <c r="L107" s="288"/>
      <c r="M107" s="288"/>
      <c r="N107" s="288"/>
      <c r="O107" s="285"/>
      <c r="P107" s="285"/>
      <c r="Q107" s="266"/>
      <c r="R107" s="258"/>
      <c r="S107" s="286"/>
      <c r="T107" s="263"/>
      <c r="U107" s="263"/>
      <c r="V107" s="263"/>
    </row>
    <row r="108" spans="1:22" s="289" customFormat="1">
      <c r="A108" s="258" t="e">
        <f>IF(AND(C108=0,#REF!=0,#REF!=0),"BLANKS",1)</f>
        <v>#REF!</v>
      </c>
      <c r="B108" s="492"/>
      <c r="C108" s="493"/>
      <c r="D108" s="280"/>
      <c r="E108" s="281"/>
      <c r="F108" s="388"/>
      <c r="G108" s="282">
        <f ca="1">IF(ISERROR(OFFSET('HARGA SATUAN'!$I$6,MATCH('RAB Estetika'!C108,'HARGA SATUAN'!$C$7:$C$1509,0),0)),0,OFFSET('HARGA SATUAN'!$I$6,MATCH('RAB Estetika'!C108,'HARGA SATUAN'!$C$7:$C$1509,0),0))</f>
        <v>0</v>
      </c>
      <c r="H108" s="283">
        <f t="shared" si="28"/>
        <v>0</v>
      </c>
      <c r="I108" s="283">
        <f t="shared" si="29"/>
        <v>0</v>
      </c>
      <c r="J108" s="283">
        <f t="shared" si="30"/>
        <v>0</v>
      </c>
      <c r="K108" s="284">
        <f t="shared" si="31"/>
        <v>0</v>
      </c>
      <c r="L108" s="288"/>
      <c r="M108" s="288"/>
      <c r="N108" s="288"/>
      <c r="O108" s="285"/>
      <c r="P108" s="285"/>
      <c r="Q108" s="266"/>
      <c r="R108" s="258"/>
      <c r="S108" s="286"/>
      <c r="T108" s="263"/>
      <c r="U108" s="263"/>
      <c r="V108" s="263"/>
    </row>
    <row r="109" spans="1:22" s="289" customFormat="1">
      <c r="A109" s="258"/>
      <c r="B109" s="492"/>
      <c r="C109" s="493"/>
      <c r="D109" s="280"/>
      <c r="E109" s="281"/>
      <c r="F109" s="388"/>
      <c r="G109" s="282">
        <f ca="1">IF(ISERROR(OFFSET('HARGA SATUAN'!$I$6,MATCH('RAB Estetika'!C109,'HARGA SATUAN'!$C$7:$C$1509,0),0)),0,OFFSET('HARGA SATUAN'!$I$6,MATCH('RAB Estetika'!C109,'HARGA SATUAN'!$C$7:$C$1509,0),0))</f>
        <v>0</v>
      </c>
      <c r="H109" s="283">
        <f t="shared" si="28"/>
        <v>0</v>
      </c>
      <c r="I109" s="283">
        <f t="shared" si="29"/>
        <v>0</v>
      </c>
      <c r="J109" s="283">
        <f t="shared" si="30"/>
        <v>0</v>
      </c>
      <c r="K109" s="284">
        <f t="shared" si="31"/>
        <v>0</v>
      </c>
      <c r="L109" s="288"/>
      <c r="M109" s="288"/>
      <c r="N109" s="288"/>
      <c r="O109" s="285"/>
      <c r="P109" s="285"/>
      <c r="Q109" s="266"/>
      <c r="R109" s="258"/>
      <c r="S109" s="286"/>
      <c r="T109" s="263"/>
      <c r="U109" s="263"/>
      <c r="V109" s="263"/>
    </row>
    <row r="110" spans="1:22" s="289" customFormat="1">
      <c r="A110" s="258"/>
      <c r="B110" s="492"/>
      <c r="C110" s="493"/>
      <c r="D110" s="280"/>
      <c r="E110" s="281"/>
      <c r="F110" s="388"/>
      <c r="G110" s="282">
        <f ca="1">IF(ISERROR(OFFSET('HARGA SATUAN'!$I$6,MATCH('RAB Estetika'!C110,'HARGA SATUAN'!$C$7:$C$1509,0),0)),0,OFFSET('HARGA SATUAN'!$I$6,MATCH('RAB Estetika'!C110,'HARGA SATUAN'!$C$7:$C$1509,0),0))</f>
        <v>0</v>
      </c>
      <c r="H110" s="283">
        <f t="shared" si="28"/>
        <v>0</v>
      </c>
      <c r="I110" s="283">
        <f t="shared" si="29"/>
        <v>0</v>
      </c>
      <c r="J110" s="283">
        <f t="shared" si="30"/>
        <v>0</v>
      </c>
      <c r="K110" s="284">
        <f t="shared" si="31"/>
        <v>0</v>
      </c>
      <c r="L110" s="288"/>
      <c r="M110" s="288"/>
      <c r="N110" s="288"/>
      <c r="O110" s="285"/>
      <c r="P110" s="285"/>
      <c r="Q110" s="266"/>
      <c r="R110" s="258"/>
      <c r="S110" s="286"/>
      <c r="T110" s="263"/>
      <c r="U110" s="263"/>
      <c r="V110" s="263"/>
    </row>
    <row r="111" spans="1:22" s="289" customFormat="1">
      <c r="A111" s="258" t="e">
        <f>IF(AND(C111=0,#REF!=0,#REF!=0),"BLANKS",1)</f>
        <v>#REF!</v>
      </c>
      <c r="B111" s="492"/>
      <c r="C111" s="493"/>
      <c r="D111" s="280"/>
      <c r="E111" s="281"/>
      <c r="F111" s="388"/>
      <c r="G111" s="282">
        <f ca="1">IF(ISERROR(OFFSET('HARGA SATUAN'!$I$6,MATCH('RAB Estetika'!C111,'HARGA SATUAN'!$C$7:$C$1509,0),0)),0,OFFSET('HARGA SATUAN'!$I$6,MATCH('RAB Estetika'!C111,'HARGA SATUAN'!$C$7:$C$1509,0),0))</f>
        <v>0</v>
      </c>
      <c r="H111" s="283">
        <f t="shared" si="28"/>
        <v>0</v>
      </c>
      <c r="I111" s="283">
        <f t="shared" si="29"/>
        <v>0</v>
      </c>
      <c r="J111" s="283">
        <f t="shared" si="30"/>
        <v>0</v>
      </c>
      <c r="K111" s="284">
        <f t="shared" si="31"/>
        <v>0</v>
      </c>
      <c r="L111" s="288"/>
      <c r="M111" s="288"/>
      <c r="N111" s="288"/>
      <c r="O111" s="285"/>
      <c r="P111" s="285"/>
      <c r="Q111" s="266"/>
      <c r="R111" s="258"/>
      <c r="S111" s="286"/>
      <c r="T111" s="263"/>
      <c r="U111" s="263"/>
      <c r="V111" s="263"/>
    </row>
    <row r="112" spans="1:22" s="289" customFormat="1">
      <c r="A112" s="258" t="e">
        <f>IF(AND(C112=0,#REF!=0,#REF!=0),"BLANKS",1)</f>
        <v>#REF!</v>
      </c>
      <c r="B112" s="492"/>
      <c r="C112" s="493"/>
      <c r="D112" s="280"/>
      <c r="E112" s="281"/>
      <c r="F112" s="388"/>
      <c r="G112" s="282">
        <f ca="1">IF(ISERROR(OFFSET('HARGA SATUAN'!$I$6,MATCH('RAB Estetika'!C112,'HARGA SATUAN'!$C$7:$C$1509,0),0)),0,OFFSET('HARGA SATUAN'!$I$6,MATCH('RAB Estetika'!C112,'HARGA SATUAN'!$C$7:$C$1509,0),0))</f>
        <v>0</v>
      </c>
      <c r="H112" s="283">
        <f t="shared" si="28"/>
        <v>0</v>
      </c>
      <c r="I112" s="283">
        <f t="shared" si="29"/>
        <v>0</v>
      </c>
      <c r="J112" s="283">
        <f t="shared" si="30"/>
        <v>0</v>
      </c>
      <c r="K112" s="284">
        <f t="shared" si="31"/>
        <v>0</v>
      </c>
      <c r="L112" s="288"/>
      <c r="M112" s="288"/>
      <c r="N112" s="288"/>
      <c r="O112" s="285"/>
      <c r="P112" s="285"/>
      <c r="Q112" s="266"/>
      <c r="R112" s="258"/>
      <c r="S112" s="286"/>
      <c r="T112" s="263"/>
      <c r="U112" s="263"/>
      <c r="V112" s="263"/>
    </row>
    <row r="113" spans="1:22" s="289" customFormat="1">
      <c r="A113" s="258" t="e">
        <f>IF(AND(C113=0,#REF!=0,#REF!=0),"BLANKS",1)</f>
        <v>#REF!</v>
      </c>
      <c r="B113" s="492"/>
      <c r="C113" s="493"/>
      <c r="D113" s="280"/>
      <c r="E113" s="281"/>
      <c r="F113" s="499"/>
      <c r="G113" s="282">
        <f ca="1">IF(ISERROR(OFFSET('HARGA SATUAN'!$I$6,MATCH('RAB Estetika'!C113,'HARGA SATUAN'!$C$7:$C$1509,0),0)),0,OFFSET('HARGA SATUAN'!$I$6,MATCH('RAB Estetika'!C113,'HARGA SATUAN'!$C$7:$C$1509,0),0))</f>
        <v>0</v>
      </c>
      <c r="H113" s="283">
        <f t="shared" si="28"/>
        <v>0</v>
      </c>
      <c r="I113" s="283">
        <f t="shared" si="29"/>
        <v>0</v>
      </c>
      <c r="J113" s="283">
        <f t="shared" si="30"/>
        <v>0</v>
      </c>
      <c r="K113" s="284">
        <f t="shared" si="31"/>
        <v>0</v>
      </c>
      <c r="L113" s="288"/>
      <c r="M113" s="288"/>
      <c r="N113" s="288"/>
      <c r="O113" s="285"/>
      <c r="P113" s="285"/>
      <c r="Q113" s="266"/>
      <c r="R113" s="258"/>
      <c r="S113" s="286"/>
      <c r="T113" s="263"/>
      <c r="U113" s="263"/>
      <c r="V113" s="263"/>
    </row>
    <row r="114" spans="1:22" s="289" customFormat="1">
      <c r="A114" s="258"/>
      <c r="B114" s="492"/>
      <c r="C114" s="493"/>
      <c r="D114" s="280"/>
      <c r="E114" s="281"/>
      <c r="F114" s="498"/>
      <c r="G114" s="282">
        <f ca="1">IF(ISERROR(OFFSET('HARGA SATUAN'!$I$6,MATCH('RAB Estetika'!C114,'HARGA SATUAN'!$C$7:$C$1509,0),0)),0,OFFSET('HARGA SATUAN'!$I$6,MATCH('RAB Estetika'!C114,'HARGA SATUAN'!$C$7:$C$1509,0),0))</f>
        <v>0</v>
      </c>
      <c r="H114" s="283">
        <f t="shared" si="28"/>
        <v>0</v>
      </c>
      <c r="I114" s="283">
        <f t="shared" si="29"/>
        <v>0</v>
      </c>
      <c r="J114" s="283">
        <f t="shared" si="30"/>
        <v>0</v>
      </c>
      <c r="K114" s="284">
        <f t="shared" si="31"/>
        <v>0</v>
      </c>
      <c r="L114" s="288"/>
      <c r="M114" s="288"/>
      <c r="N114" s="288"/>
      <c r="O114" s="285"/>
      <c r="P114" s="285"/>
      <c r="Q114" s="266"/>
      <c r="R114" s="258"/>
      <c r="S114" s="286"/>
      <c r="T114" s="263"/>
      <c r="U114" s="263"/>
      <c r="V114" s="263"/>
    </row>
    <row r="115" spans="1:22" s="289" customFormat="1" ht="18.75" customHeight="1">
      <c r="A115" s="258" t="e">
        <f>IF(AND(C115=0,#REF!=0,#REF!=0),"BLANKS",1)</f>
        <v>#REF!</v>
      </c>
      <c r="B115" s="492"/>
      <c r="C115" s="493"/>
      <c r="D115" s="280"/>
      <c r="E115" s="281"/>
      <c r="F115" s="498"/>
      <c r="G115" s="282">
        <f ca="1">IF(ISERROR(OFFSET('HARGA SATUAN'!$I$6,MATCH('RAB Estetika'!C115,'HARGA SATUAN'!$C$7:$C$1509,0),0)),0,OFFSET('HARGA SATUAN'!$I$6,MATCH('RAB Estetika'!C115,'HARGA SATUAN'!$C$7:$C$1509,0),0))</f>
        <v>0</v>
      </c>
      <c r="H115" s="283">
        <f t="shared" si="28"/>
        <v>0</v>
      </c>
      <c r="I115" s="283">
        <f t="shared" si="29"/>
        <v>0</v>
      </c>
      <c r="J115" s="283">
        <f t="shared" si="30"/>
        <v>0</v>
      </c>
      <c r="K115" s="284">
        <f t="shared" si="31"/>
        <v>0</v>
      </c>
      <c r="L115" s="288"/>
      <c r="M115" s="288"/>
      <c r="N115" s="288"/>
      <c r="O115" s="285"/>
      <c r="P115" s="285"/>
      <c r="Q115" s="266"/>
      <c r="R115" s="258"/>
      <c r="S115" s="286"/>
      <c r="T115" s="263"/>
      <c r="U115" s="263"/>
      <c r="V115" s="263"/>
    </row>
    <row r="116" spans="1:22" s="289" customFormat="1">
      <c r="A116" s="258" t="e">
        <f>IF(AND(C116=0,C117=0,#REF!=0),"BLANKS",1)</f>
        <v>#REF!</v>
      </c>
      <c r="B116" s="492"/>
      <c r="C116" s="493"/>
      <c r="D116" s="280"/>
      <c r="E116" s="281"/>
      <c r="F116" s="498"/>
      <c r="G116" s="282">
        <f ca="1">IF(ISERROR(OFFSET('HARGA SATUAN'!$I$6,MATCH('RAB Estetika'!C116,'HARGA SATUAN'!$C$7:$C$1509,0),0)),0,OFFSET('HARGA SATUAN'!$I$6,MATCH('RAB Estetika'!C116,'HARGA SATUAN'!$C$7:$C$1509,0),0))</f>
        <v>0</v>
      </c>
      <c r="H116" s="283">
        <f t="shared" si="28"/>
        <v>0</v>
      </c>
      <c r="I116" s="283">
        <f t="shared" si="29"/>
        <v>0</v>
      </c>
      <c r="J116" s="283">
        <f t="shared" si="30"/>
        <v>0</v>
      </c>
      <c r="K116" s="284">
        <f t="shared" si="31"/>
        <v>0</v>
      </c>
      <c r="L116" s="288"/>
      <c r="M116" s="288"/>
      <c r="N116" s="288"/>
      <c r="O116" s="285"/>
      <c r="P116" s="285"/>
      <c r="Q116" s="266"/>
      <c r="R116" s="258"/>
      <c r="S116" s="286"/>
      <c r="T116" s="263"/>
      <c r="U116" s="263"/>
      <c r="V116" s="263"/>
    </row>
    <row r="117" spans="1:22" s="289" customFormat="1">
      <c r="A117" s="258" t="e">
        <f>IF(AND(C117=0,#REF!=0,#REF!=0),"BLANKS",1)</f>
        <v>#REF!</v>
      </c>
      <c r="B117" s="492"/>
      <c r="C117" s="493"/>
      <c r="D117" s="280"/>
      <c r="E117" s="281"/>
      <c r="F117" s="498"/>
      <c r="G117" s="282">
        <f ca="1">IF(ISERROR(OFFSET('HARGA SATUAN'!$I$6,MATCH('RAB Estetika'!C117,'HARGA SATUAN'!$C$7:$C$1509,0),0)),0,OFFSET('HARGA SATUAN'!$I$6,MATCH('RAB Estetika'!C117,'HARGA SATUAN'!$C$7:$C$1509,0),0))</f>
        <v>0</v>
      </c>
      <c r="H117" s="283">
        <f t="shared" si="28"/>
        <v>0</v>
      </c>
      <c r="I117" s="283">
        <f t="shared" si="29"/>
        <v>0</v>
      </c>
      <c r="J117" s="283">
        <f t="shared" si="30"/>
        <v>0</v>
      </c>
      <c r="K117" s="284">
        <f t="shared" si="31"/>
        <v>0</v>
      </c>
      <c r="L117" s="288"/>
      <c r="M117" s="288"/>
      <c r="N117" s="288"/>
      <c r="O117" s="285"/>
      <c r="P117" s="285"/>
      <c r="Q117" s="266"/>
      <c r="R117" s="258"/>
      <c r="S117" s="286"/>
      <c r="T117" s="263"/>
      <c r="U117" s="263"/>
      <c r="V117" s="263"/>
    </row>
    <row r="118" spans="1:22" s="289" customFormat="1">
      <c r="A118" s="258"/>
      <c r="B118" s="492"/>
      <c r="C118" s="493"/>
      <c r="D118" s="280"/>
      <c r="E118" s="281"/>
      <c r="F118" s="498"/>
      <c r="G118" s="282">
        <f ca="1">IF(ISERROR(OFFSET('HARGA SATUAN'!$I$6,MATCH('RAB Estetika'!C118,'HARGA SATUAN'!$C$7:$C$1509,0),0)),0,OFFSET('HARGA SATUAN'!$I$6,MATCH('RAB Estetika'!C118,'HARGA SATUAN'!$C$7:$C$1509,0),0))</f>
        <v>0</v>
      </c>
      <c r="H118" s="283">
        <f t="shared" si="28"/>
        <v>0</v>
      </c>
      <c r="I118" s="283">
        <f t="shared" si="29"/>
        <v>0</v>
      </c>
      <c r="J118" s="283">
        <f t="shared" si="30"/>
        <v>0</v>
      </c>
      <c r="K118" s="284">
        <f t="shared" si="31"/>
        <v>0</v>
      </c>
      <c r="L118" s="288"/>
      <c r="M118" s="288"/>
      <c r="N118" s="288"/>
      <c r="O118" s="285"/>
      <c r="P118" s="285"/>
      <c r="Q118" s="266"/>
      <c r="R118" s="258"/>
      <c r="S118" s="286"/>
      <c r="T118" s="263"/>
      <c r="U118" s="263"/>
      <c r="V118" s="263"/>
    </row>
    <row r="119" spans="1:22" s="289" customFormat="1">
      <c r="A119" s="258" t="e">
        <f>IF(AND(C119=0,C120=0,#REF!=0),"BLANKS",1)</f>
        <v>#REF!</v>
      </c>
      <c r="B119" s="492"/>
      <c r="C119" s="493"/>
      <c r="D119" s="280"/>
      <c r="E119" s="281"/>
      <c r="F119" s="498"/>
      <c r="G119" s="282">
        <f ca="1">IF(ISERROR(OFFSET('HARGA SATUAN'!$I$6,MATCH('RAB Estetika'!C119,'HARGA SATUAN'!$C$7:$C$1509,0),0)),0,OFFSET('HARGA SATUAN'!$I$6,MATCH('RAB Estetika'!C119,'HARGA SATUAN'!$C$7:$C$1509,0),0))</f>
        <v>0</v>
      </c>
      <c r="H119" s="283">
        <f t="shared" si="28"/>
        <v>0</v>
      </c>
      <c r="I119" s="283">
        <f t="shared" si="29"/>
        <v>0</v>
      </c>
      <c r="J119" s="283">
        <f t="shared" si="30"/>
        <v>0</v>
      </c>
      <c r="K119" s="284">
        <f t="shared" si="31"/>
        <v>0</v>
      </c>
      <c r="L119" s="288"/>
      <c r="M119" s="288"/>
      <c r="N119" s="288"/>
      <c r="O119" s="285"/>
      <c r="P119" s="285"/>
      <c r="Q119" s="266"/>
      <c r="R119" s="258"/>
      <c r="S119" s="286"/>
      <c r="T119" s="263"/>
      <c r="U119" s="263"/>
      <c r="V119" s="263"/>
    </row>
    <row r="120" spans="1:22" s="289" customFormat="1">
      <c r="A120" s="258" t="e">
        <f>IF(AND(C120=0,#REF!=0,#REF!=0),"BLANKS",1)</f>
        <v>#REF!</v>
      </c>
      <c r="B120" s="492"/>
      <c r="C120" s="493"/>
      <c r="D120" s="280"/>
      <c r="E120" s="281"/>
      <c r="F120" s="388"/>
      <c r="G120" s="282">
        <f ca="1">IF(ISERROR(OFFSET('HARGA SATUAN'!$I$6,MATCH('RAB Estetika'!C120,'HARGA SATUAN'!$C$7:$C$1509,0),0)),0,OFFSET('HARGA SATUAN'!$I$6,MATCH('RAB Estetika'!C120,'HARGA SATUAN'!$C$7:$C$1509,0),0))</f>
        <v>0</v>
      </c>
      <c r="H120" s="283">
        <f t="shared" si="28"/>
        <v>0</v>
      </c>
      <c r="I120" s="283">
        <f t="shared" si="29"/>
        <v>0</v>
      </c>
      <c r="J120" s="283">
        <f t="shared" si="30"/>
        <v>0</v>
      </c>
      <c r="K120" s="284">
        <f t="shared" si="31"/>
        <v>0</v>
      </c>
      <c r="L120" s="288"/>
      <c r="M120" s="288"/>
      <c r="N120" s="288"/>
      <c r="O120" s="285"/>
      <c r="P120" s="285"/>
      <c r="Q120" s="266"/>
      <c r="R120" s="258"/>
      <c r="S120" s="286"/>
      <c r="T120" s="263"/>
      <c r="U120" s="263"/>
      <c r="V120" s="263"/>
    </row>
    <row r="121" spans="1:22" s="289" customFormat="1">
      <c r="A121" s="258" t="e">
        <f>IF(AND(C121=0,#REF!=0,#REF!=0),"BLANKS",1)</f>
        <v>#REF!</v>
      </c>
      <c r="B121" s="492"/>
      <c r="C121" s="493"/>
      <c r="D121" s="280"/>
      <c r="E121" s="281"/>
      <c r="F121" s="388"/>
      <c r="G121" s="282">
        <f ca="1">IF(ISERROR(OFFSET('HARGA SATUAN'!$I$6,MATCH('RAB Estetika'!C121,'HARGA SATUAN'!$C$7:$C$1509,0),0)),0,OFFSET('HARGA SATUAN'!$I$6,MATCH('RAB Estetika'!C121,'HARGA SATUAN'!$C$7:$C$1509,0),0))</f>
        <v>0</v>
      </c>
      <c r="H121" s="283">
        <f t="shared" si="28"/>
        <v>0</v>
      </c>
      <c r="I121" s="283">
        <f t="shared" si="29"/>
        <v>0</v>
      </c>
      <c r="J121" s="283">
        <f t="shared" si="30"/>
        <v>0</v>
      </c>
      <c r="K121" s="284">
        <f t="shared" si="31"/>
        <v>0</v>
      </c>
      <c r="L121" s="288"/>
      <c r="M121" s="288"/>
      <c r="N121" s="288"/>
      <c r="O121" s="285"/>
      <c r="P121" s="285"/>
      <c r="Q121" s="266"/>
      <c r="R121" s="258"/>
      <c r="S121" s="286"/>
      <c r="T121" s="263"/>
      <c r="U121" s="263"/>
      <c r="V121" s="263"/>
    </row>
    <row r="122" spans="1:22" s="289" customFormat="1">
      <c r="A122" s="258"/>
      <c r="B122" s="492"/>
      <c r="C122" s="493"/>
      <c r="D122" s="280"/>
      <c r="E122" s="281"/>
      <c r="F122" s="388"/>
      <c r="G122" s="282">
        <f ca="1">IF(ISERROR(OFFSET('HARGA SATUAN'!$I$6,MATCH('RAB Estetika'!C122,'HARGA SATUAN'!$C$7:$C$1509,0),0)),0,OFFSET('HARGA SATUAN'!$I$6,MATCH('RAB Estetika'!C122,'HARGA SATUAN'!$C$7:$C$1509,0),0))</f>
        <v>0</v>
      </c>
      <c r="H122" s="283">
        <f t="shared" si="28"/>
        <v>0</v>
      </c>
      <c r="I122" s="283">
        <f t="shared" si="29"/>
        <v>0</v>
      </c>
      <c r="J122" s="283">
        <f t="shared" si="30"/>
        <v>0</v>
      </c>
      <c r="K122" s="284">
        <f t="shared" si="31"/>
        <v>0</v>
      </c>
      <c r="L122" s="288"/>
      <c r="M122" s="288"/>
      <c r="N122" s="288"/>
      <c r="O122" s="285"/>
      <c r="P122" s="285"/>
      <c r="Q122" s="266"/>
      <c r="R122" s="258"/>
      <c r="S122" s="286"/>
      <c r="T122" s="263"/>
      <c r="U122" s="263"/>
      <c r="V122" s="263"/>
    </row>
    <row r="123" spans="1:22" s="289" customFormat="1">
      <c r="A123" s="258" t="e">
        <f>IF(AND(C123=0,#REF!=0,#REF!=0),"BLANKS",1)</f>
        <v>#REF!</v>
      </c>
      <c r="B123" s="492"/>
      <c r="C123" s="493"/>
      <c r="D123" s="280"/>
      <c r="E123" s="281"/>
      <c r="F123" s="388"/>
      <c r="G123" s="282">
        <f ca="1">IF(ISERROR(OFFSET('HARGA SATUAN'!$I$6,MATCH('RAB Estetika'!C123,'HARGA SATUAN'!$C$7:$C$1509,0),0)),0,OFFSET('HARGA SATUAN'!$I$6,MATCH('RAB Estetika'!C123,'HARGA SATUAN'!$C$7:$C$1509,0),0))</f>
        <v>0</v>
      </c>
      <c r="H123" s="283">
        <f t="shared" si="28"/>
        <v>0</v>
      </c>
      <c r="I123" s="283">
        <f t="shared" si="29"/>
        <v>0</v>
      </c>
      <c r="J123" s="283">
        <f t="shared" si="30"/>
        <v>0</v>
      </c>
      <c r="K123" s="284">
        <f t="shared" si="31"/>
        <v>0</v>
      </c>
      <c r="L123" s="288"/>
      <c r="M123" s="288"/>
      <c r="N123" s="288"/>
      <c r="O123" s="285"/>
      <c r="P123" s="285"/>
      <c r="Q123" s="266"/>
      <c r="R123" s="258"/>
      <c r="S123" s="286"/>
      <c r="T123" s="263"/>
      <c r="U123" s="263"/>
      <c r="V123" s="263"/>
    </row>
    <row r="124" spans="1:22" s="289" customFormat="1">
      <c r="A124" s="258" t="e">
        <f>IF(AND(C124=0,C125=0,#REF!=0),"BLANKS",1)</f>
        <v>#REF!</v>
      </c>
      <c r="B124" s="492"/>
      <c r="C124" s="493"/>
      <c r="D124" s="280"/>
      <c r="E124" s="281"/>
      <c r="F124" s="388"/>
      <c r="G124" s="282">
        <f ca="1">IF(ISERROR(OFFSET('HARGA SATUAN'!$I$6,MATCH('RAB Estetika'!C124,'HARGA SATUAN'!$C$7:$C$1509,0),0)),0,OFFSET('HARGA SATUAN'!$I$6,MATCH('RAB Estetika'!C124,'HARGA SATUAN'!$C$7:$C$1509,0),0))</f>
        <v>0</v>
      </c>
      <c r="H124" s="283">
        <f t="shared" si="28"/>
        <v>0</v>
      </c>
      <c r="I124" s="283">
        <f t="shared" si="29"/>
        <v>0</v>
      </c>
      <c r="J124" s="283">
        <f t="shared" si="30"/>
        <v>0</v>
      </c>
      <c r="K124" s="284">
        <f t="shared" si="31"/>
        <v>0</v>
      </c>
      <c r="L124" s="288"/>
      <c r="M124" s="288"/>
      <c r="N124" s="288"/>
      <c r="O124" s="285"/>
      <c r="P124" s="285"/>
      <c r="Q124" s="266"/>
      <c r="R124" s="258"/>
      <c r="S124" s="286"/>
      <c r="T124" s="263"/>
      <c r="U124" s="263"/>
      <c r="V124" s="263"/>
    </row>
    <row r="125" spans="1:22" s="289" customFormat="1">
      <c r="A125" s="258" t="e">
        <f>IF(AND(C125=0,#REF!=0,#REF!=0),"BLANKS",1)</f>
        <v>#REF!</v>
      </c>
      <c r="B125" s="492"/>
      <c r="C125" s="493"/>
      <c r="D125" s="280"/>
      <c r="E125" s="281"/>
      <c r="F125" s="388"/>
      <c r="G125" s="282">
        <f ca="1">IF(ISERROR(OFFSET('HARGA SATUAN'!$I$6,MATCH('RAB Estetika'!C125,'HARGA SATUAN'!$C$7:$C$1509,0),0)),0,OFFSET('HARGA SATUAN'!$I$6,MATCH('RAB Estetika'!C125,'HARGA SATUAN'!$C$7:$C$1509,0),0))</f>
        <v>0</v>
      </c>
      <c r="H125" s="283">
        <f t="shared" si="28"/>
        <v>0</v>
      </c>
      <c r="I125" s="283">
        <f t="shared" si="29"/>
        <v>0</v>
      </c>
      <c r="J125" s="283">
        <f t="shared" si="30"/>
        <v>0</v>
      </c>
      <c r="K125" s="284">
        <f t="shared" si="31"/>
        <v>0</v>
      </c>
      <c r="L125" s="288"/>
      <c r="M125" s="288"/>
      <c r="N125" s="288"/>
      <c r="O125" s="285"/>
      <c r="P125" s="285"/>
      <c r="Q125" s="266"/>
      <c r="R125" s="258"/>
      <c r="S125" s="286"/>
      <c r="T125" s="263"/>
      <c r="U125" s="263"/>
      <c r="V125" s="263"/>
    </row>
    <row r="126" spans="1:22" s="289" customFormat="1">
      <c r="A126" s="258"/>
      <c r="B126" s="492"/>
      <c r="C126" s="493"/>
      <c r="D126" s="280"/>
      <c r="E126" s="281"/>
      <c r="F126" s="388"/>
      <c r="G126" s="282">
        <f ca="1">IF(ISERROR(OFFSET('HARGA SATUAN'!$I$6,MATCH('RAB Estetika'!C126,'HARGA SATUAN'!$C$7:$C$1509,0),0)),0,OFFSET('HARGA SATUAN'!$I$6,MATCH('RAB Estetika'!C126,'HARGA SATUAN'!$C$7:$C$1509,0),0))</f>
        <v>0</v>
      </c>
      <c r="H126" s="283">
        <f t="shared" si="28"/>
        <v>0</v>
      </c>
      <c r="I126" s="283">
        <f t="shared" si="29"/>
        <v>0</v>
      </c>
      <c r="J126" s="283">
        <f t="shared" si="30"/>
        <v>0</v>
      </c>
      <c r="K126" s="284">
        <f t="shared" si="31"/>
        <v>0</v>
      </c>
      <c r="L126" s="288"/>
      <c r="M126" s="288"/>
      <c r="N126" s="288"/>
      <c r="O126" s="285"/>
      <c r="P126" s="285"/>
      <c r="Q126" s="266"/>
      <c r="R126" s="258"/>
      <c r="S126" s="286"/>
      <c r="T126" s="263"/>
      <c r="U126" s="263"/>
      <c r="V126" s="263"/>
    </row>
    <row r="127" spans="1:22" s="289" customFormat="1">
      <c r="A127" s="258" t="e">
        <f>IF(AND(C127=0,#REF!=0,#REF!=0),"BLANKS",1)</f>
        <v>#REF!</v>
      </c>
      <c r="B127" s="492"/>
      <c r="C127" s="493"/>
      <c r="D127" s="280"/>
      <c r="E127" s="281"/>
      <c r="F127" s="388"/>
      <c r="G127" s="282">
        <f ca="1">IF(ISERROR(OFFSET('HARGA SATUAN'!$I$6,MATCH('RAB Estetika'!C127,'HARGA SATUAN'!$C$7:$C$1509,0),0)),0,OFFSET('HARGA SATUAN'!$I$6,MATCH('RAB Estetika'!C127,'HARGA SATUAN'!$C$7:$C$1509,0),0))</f>
        <v>0</v>
      </c>
      <c r="H127" s="283">
        <f t="shared" si="28"/>
        <v>0</v>
      </c>
      <c r="I127" s="283">
        <f t="shared" si="29"/>
        <v>0</v>
      </c>
      <c r="J127" s="283">
        <f t="shared" si="30"/>
        <v>0</v>
      </c>
      <c r="K127" s="284">
        <f t="shared" si="31"/>
        <v>0</v>
      </c>
      <c r="L127" s="288"/>
      <c r="M127" s="288"/>
      <c r="N127" s="288"/>
      <c r="O127" s="285"/>
      <c r="P127" s="285"/>
      <c r="Q127" s="266"/>
      <c r="R127" s="258"/>
      <c r="S127" s="286"/>
      <c r="T127" s="263"/>
      <c r="U127" s="263"/>
      <c r="V127" s="263"/>
    </row>
    <row r="128" spans="1:22" s="289" customFormat="1">
      <c r="A128" s="258"/>
      <c r="B128" s="492"/>
      <c r="C128" s="493"/>
      <c r="D128" s="280"/>
      <c r="E128" s="281"/>
      <c r="F128" s="388"/>
      <c r="G128" s="282">
        <f ca="1">IF(ISERROR(OFFSET('HARGA SATUAN'!$I$6,MATCH('RAB Estetika'!C128,'HARGA SATUAN'!$C$7:$C$1509,0),0)),0,OFFSET('HARGA SATUAN'!$I$6,MATCH('RAB Estetika'!C128,'HARGA SATUAN'!$C$7:$C$1509,0),0))</f>
        <v>0</v>
      </c>
      <c r="H128" s="283">
        <f t="shared" si="28"/>
        <v>0</v>
      </c>
      <c r="I128" s="283">
        <f t="shared" si="29"/>
        <v>0</v>
      </c>
      <c r="J128" s="283">
        <f t="shared" si="30"/>
        <v>0</v>
      </c>
      <c r="K128" s="284">
        <f t="shared" si="31"/>
        <v>0</v>
      </c>
      <c r="L128" s="288"/>
      <c r="M128" s="288"/>
      <c r="N128" s="288"/>
      <c r="O128" s="285"/>
      <c r="P128" s="285"/>
      <c r="Q128" s="266"/>
      <c r="R128" s="258"/>
      <c r="S128" s="286"/>
      <c r="T128" s="263"/>
      <c r="U128" s="263"/>
      <c r="V128" s="263"/>
    </row>
    <row r="129" spans="1:22" s="289" customFormat="1">
      <c r="A129" s="258" t="e">
        <f>IF(AND(C129=0,#REF!=0,#REF!=0),"BLANKS",1)</f>
        <v>#REF!</v>
      </c>
      <c r="B129" s="492"/>
      <c r="C129" s="493"/>
      <c r="D129" s="280"/>
      <c r="E129" s="281"/>
      <c r="F129" s="388"/>
      <c r="G129" s="282">
        <f ca="1">IF(ISERROR(OFFSET('HARGA SATUAN'!$I$6,MATCH('RAB Estetika'!C129,'HARGA SATUAN'!$C$7:$C$1509,0),0)),0,OFFSET('HARGA SATUAN'!$I$6,MATCH('RAB Estetika'!C129,'HARGA SATUAN'!$C$7:$C$1509,0),0))</f>
        <v>0</v>
      </c>
      <c r="H129" s="283">
        <f t="shared" si="28"/>
        <v>0</v>
      </c>
      <c r="I129" s="283">
        <f t="shared" si="29"/>
        <v>0</v>
      </c>
      <c r="J129" s="283">
        <f t="shared" si="30"/>
        <v>0</v>
      </c>
      <c r="K129" s="284">
        <f t="shared" si="31"/>
        <v>0</v>
      </c>
      <c r="L129" s="288"/>
      <c r="M129" s="288"/>
      <c r="N129" s="288"/>
      <c r="O129" s="285"/>
      <c r="P129" s="285"/>
      <c r="Q129" s="266"/>
      <c r="R129" s="258"/>
      <c r="S129" s="286"/>
      <c r="T129" s="263"/>
      <c r="U129" s="263"/>
      <c r="V129" s="263"/>
    </row>
    <row r="130" spans="1:22" s="289" customFormat="1">
      <c r="A130" s="258" t="e">
        <f>IF(AND(C130=0,C131=0,#REF!=0),"BLANKS",1)</f>
        <v>#REF!</v>
      </c>
      <c r="B130" s="492"/>
      <c r="C130" s="493"/>
      <c r="D130" s="280"/>
      <c r="E130" s="281"/>
      <c r="F130" s="388"/>
      <c r="G130" s="282">
        <f ca="1">IF(ISERROR(OFFSET('HARGA SATUAN'!$I$6,MATCH('RAB Estetika'!C130,'HARGA SATUAN'!$C$7:$C$1509,0),0)),0,OFFSET('HARGA SATUAN'!$I$6,MATCH('RAB Estetika'!C130,'HARGA SATUAN'!$C$7:$C$1509,0),0))</f>
        <v>0</v>
      </c>
      <c r="H130" s="283">
        <f t="shared" si="28"/>
        <v>0</v>
      </c>
      <c r="I130" s="283">
        <f t="shared" si="29"/>
        <v>0</v>
      </c>
      <c r="J130" s="283">
        <f t="shared" si="30"/>
        <v>0</v>
      </c>
      <c r="K130" s="284">
        <f t="shared" si="31"/>
        <v>0</v>
      </c>
      <c r="L130" s="288"/>
      <c r="M130" s="288"/>
      <c r="N130" s="288"/>
      <c r="O130" s="285"/>
      <c r="P130" s="285"/>
      <c r="Q130" s="266"/>
      <c r="R130" s="258"/>
      <c r="S130" s="286"/>
      <c r="T130" s="263"/>
      <c r="U130" s="263"/>
      <c r="V130" s="263"/>
    </row>
    <row r="131" spans="1:22" s="289" customFormat="1">
      <c r="A131" s="258" t="e">
        <f>IF(AND(C131=0,#REF!=0,#REF!=0),"BLANKS",1)</f>
        <v>#REF!</v>
      </c>
      <c r="B131" s="492"/>
      <c r="C131" s="493"/>
      <c r="D131" s="280"/>
      <c r="E131" s="281"/>
      <c r="F131" s="388"/>
      <c r="G131" s="282">
        <f ca="1">IF(ISERROR(OFFSET('HARGA SATUAN'!$I$6,MATCH('RAB Estetika'!C131,'HARGA SATUAN'!$C$7:$C$1509,0),0)),0,OFFSET('HARGA SATUAN'!$I$6,MATCH('RAB Estetika'!C131,'HARGA SATUAN'!$C$7:$C$1509,0),0))</f>
        <v>0</v>
      </c>
      <c r="H131" s="283">
        <f t="shared" si="28"/>
        <v>0</v>
      </c>
      <c r="I131" s="283">
        <f t="shared" si="29"/>
        <v>0</v>
      </c>
      <c r="J131" s="283">
        <f t="shared" si="30"/>
        <v>0</v>
      </c>
      <c r="K131" s="284">
        <f t="shared" si="31"/>
        <v>0</v>
      </c>
      <c r="L131" s="288"/>
      <c r="M131" s="288"/>
      <c r="N131" s="288"/>
      <c r="O131" s="285"/>
      <c r="P131" s="285"/>
      <c r="Q131" s="266"/>
      <c r="R131" s="258"/>
      <c r="S131" s="286"/>
      <c r="T131" s="263"/>
      <c r="U131" s="263"/>
      <c r="V131" s="263"/>
    </row>
    <row r="132" spans="1:22" s="289" customFormat="1">
      <c r="A132" s="258"/>
      <c r="B132" s="492"/>
      <c r="C132" s="493"/>
      <c r="D132" s="280"/>
      <c r="E132" s="281"/>
      <c r="F132" s="388"/>
      <c r="G132" s="282">
        <f ca="1">IF(ISERROR(OFFSET('HARGA SATUAN'!$I$6,MATCH('RAB Estetika'!C132,'HARGA SATUAN'!$C$7:$C$1509,0),0)),0,OFFSET('HARGA SATUAN'!$I$6,MATCH('RAB Estetika'!C132,'HARGA SATUAN'!$C$7:$C$1509,0),0))</f>
        <v>0</v>
      </c>
      <c r="H132" s="283">
        <f t="shared" si="28"/>
        <v>0</v>
      </c>
      <c r="I132" s="283">
        <f t="shared" si="29"/>
        <v>0</v>
      </c>
      <c r="J132" s="283">
        <f t="shared" si="30"/>
        <v>0</v>
      </c>
      <c r="K132" s="284">
        <f t="shared" si="31"/>
        <v>0</v>
      </c>
      <c r="L132" s="288"/>
      <c r="M132" s="288"/>
      <c r="N132" s="288"/>
      <c r="O132" s="285"/>
      <c r="P132" s="285"/>
      <c r="Q132" s="266"/>
      <c r="R132" s="258"/>
      <c r="S132" s="286"/>
      <c r="T132" s="263"/>
      <c r="U132" s="263"/>
      <c r="V132" s="263"/>
    </row>
    <row r="133" spans="1:22" s="289" customFormat="1">
      <c r="A133" s="258" t="e">
        <f>IF(AND(C133=0,#REF!=0,#REF!=0),"BLANKS",1)</f>
        <v>#REF!</v>
      </c>
      <c r="B133" s="492"/>
      <c r="C133" s="109"/>
      <c r="D133" s="280"/>
      <c r="E133" s="281"/>
      <c r="F133" s="507"/>
      <c r="G133" s="282">
        <f ca="1">IF(ISERROR(OFFSET('HARGA SATUAN'!$I$6,MATCH('RAB Estetika'!C133,'HARGA SATUAN'!$C$7:$C$1509,0),0)),0,OFFSET('HARGA SATUAN'!$I$6,MATCH('RAB Estetika'!C133,'HARGA SATUAN'!$C$7:$C$1509,0),0))</f>
        <v>0</v>
      </c>
      <c r="H133" s="283">
        <f t="shared" si="28"/>
        <v>0</v>
      </c>
      <c r="I133" s="283">
        <f t="shared" si="29"/>
        <v>0</v>
      </c>
      <c r="J133" s="283">
        <f t="shared" si="30"/>
        <v>0</v>
      </c>
      <c r="K133" s="284">
        <f t="shared" si="31"/>
        <v>0</v>
      </c>
      <c r="L133" s="288"/>
      <c r="M133" s="288"/>
      <c r="N133" s="288"/>
      <c r="O133" s="285"/>
      <c r="P133" s="285"/>
      <c r="Q133" s="266"/>
      <c r="R133" s="258"/>
      <c r="S133" s="286"/>
      <c r="T133" s="263"/>
      <c r="U133" s="263"/>
      <c r="V133" s="263"/>
    </row>
    <row r="134" spans="1:22" s="289" customFormat="1">
      <c r="A134" s="258"/>
      <c r="B134" s="492"/>
      <c r="C134" s="493"/>
      <c r="D134" s="280"/>
      <c r="E134" s="281"/>
      <c r="F134" s="388"/>
      <c r="G134" s="282">
        <f ca="1">IF(ISERROR(OFFSET('HARGA SATUAN'!$I$6,MATCH('RAB Estetika'!C134,'HARGA SATUAN'!$C$7:$C$1509,0),0)),0,OFFSET('HARGA SATUAN'!$I$6,MATCH('RAB Estetika'!C134,'HARGA SATUAN'!$C$7:$C$1509,0),0))</f>
        <v>0</v>
      </c>
      <c r="H134" s="283">
        <f t="shared" si="28"/>
        <v>0</v>
      </c>
      <c r="I134" s="283">
        <f t="shared" si="29"/>
        <v>0</v>
      </c>
      <c r="J134" s="283">
        <f t="shared" si="30"/>
        <v>0</v>
      </c>
      <c r="K134" s="284">
        <f t="shared" si="31"/>
        <v>0</v>
      </c>
      <c r="L134" s="288"/>
      <c r="M134" s="288"/>
      <c r="N134" s="288"/>
      <c r="O134" s="285"/>
      <c r="P134" s="285"/>
      <c r="Q134" s="266"/>
      <c r="R134" s="258"/>
      <c r="S134" s="286"/>
      <c r="T134" s="263"/>
      <c r="U134" s="263"/>
      <c r="V134" s="263"/>
    </row>
    <row r="135" spans="1:22" s="289" customFormat="1">
      <c r="A135" s="258" t="e">
        <f>IF(AND(C135=0,#REF!=0,#REF!=0),"BLANKS",1)</f>
        <v>#REF!</v>
      </c>
      <c r="B135" s="492"/>
      <c r="C135" s="493"/>
      <c r="D135" s="280"/>
      <c r="E135" s="281"/>
      <c r="F135" s="498"/>
      <c r="G135" s="282">
        <f ca="1">IF(ISERROR(OFFSET('HARGA SATUAN'!$I$6,MATCH('RAB Estetika'!C135,'HARGA SATUAN'!$C$7:$C$1509,0),0)),0,OFFSET('HARGA SATUAN'!$I$6,MATCH('RAB Estetika'!C135,'HARGA SATUAN'!$C$7:$C$1509,0),0))</f>
        <v>0</v>
      </c>
      <c r="H135" s="283">
        <f t="shared" si="28"/>
        <v>0</v>
      </c>
      <c r="I135" s="283">
        <f t="shared" si="29"/>
        <v>0</v>
      </c>
      <c r="J135" s="283">
        <f t="shared" si="30"/>
        <v>0</v>
      </c>
      <c r="K135" s="284">
        <f t="shared" si="31"/>
        <v>0</v>
      </c>
      <c r="L135" s="288"/>
      <c r="M135" s="288"/>
      <c r="N135" s="288"/>
      <c r="O135" s="285"/>
      <c r="P135" s="285"/>
      <c r="Q135" s="266"/>
      <c r="R135" s="258"/>
      <c r="S135" s="286"/>
      <c r="T135" s="263"/>
      <c r="U135" s="263"/>
      <c r="V135" s="263"/>
    </row>
    <row r="136" spans="1:22" s="289" customFormat="1" ht="21" customHeight="1">
      <c r="A136" s="258" t="e">
        <f>IF(AND(C136=0,C137=0,#REF!=0),"BLANKS",1)</f>
        <v>#REF!</v>
      </c>
      <c r="B136" s="492"/>
      <c r="C136" s="493"/>
      <c r="D136" s="280"/>
      <c r="E136" s="281"/>
      <c r="F136" s="498"/>
      <c r="G136" s="282">
        <f ca="1">IF(ISERROR(OFFSET('HARGA SATUAN'!$I$6,MATCH('RAB Estetika'!C136,'HARGA SATUAN'!$C$7:$C$1509,0),0)),0,OFFSET('HARGA SATUAN'!$I$6,MATCH('RAB Estetika'!C136,'HARGA SATUAN'!$C$7:$C$1509,0),0))</f>
        <v>0</v>
      </c>
      <c r="H136" s="283">
        <f t="shared" si="28"/>
        <v>0</v>
      </c>
      <c r="I136" s="283">
        <f t="shared" si="29"/>
        <v>0</v>
      </c>
      <c r="J136" s="283">
        <f t="shared" si="30"/>
        <v>0</v>
      </c>
      <c r="K136" s="284">
        <f t="shared" si="31"/>
        <v>0</v>
      </c>
      <c r="L136" s="288"/>
      <c r="M136" s="288"/>
      <c r="N136" s="288"/>
      <c r="O136" s="285"/>
      <c r="P136" s="285"/>
      <c r="Q136" s="266"/>
      <c r="R136" s="258"/>
      <c r="S136" s="286"/>
      <c r="T136" s="263"/>
      <c r="U136" s="263"/>
      <c r="V136" s="263"/>
    </row>
    <row r="137" spans="1:22" s="289" customFormat="1">
      <c r="A137" s="258" t="e">
        <f>IF(AND(C137=0,#REF!=0,#REF!=0),"BLANKS",1)</f>
        <v>#REF!</v>
      </c>
      <c r="B137" s="492"/>
      <c r="C137" s="493"/>
      <c r="D137" s="280"/>
      <c r="E137" s="281"/>
      <c r="F137" s="388"/>
      <c r="G137" s="282">
        <f ca="1">IF(ISERROR(OFFSET('HARGA SATUAN'!$I$6,MATCH('RAB Estetika'!C137,'HARGA SATUAN'!$C$7:$C$1509,0),0)),0,OFFSET('HARGA SATUAN'!$I$6,MATCH('RAB Estetika'!C137,'HARGA SATUAN'!$C$7:$C$1509,0),0))</f>
        <v>0</v>
      </c>
      <c r="H137" s="283">
        <f t="shared" si="28"/>
        <v>0</v>
      </c>
      <c r="I137" s="283">
        <f t="shared" si="29"/>
        <v>0</v>
      </c>
      <c r="J137" s="283">
        <f t="shared" si="30"/>
        <v>0</v>
      </c>
      <c r="K137" s="284">
        <f t="shared" si="31"/>
        <v>0</v>
      </c>
      <c r="L137" s="288"/>
      <c r="M137" s="288"/>
      <c r="N137" s="288"/>
      <c r="O137" s="285"/>
      <c r="P137" s="285"/>
      <c r="Q137" s="266"/>
      <c r="R137" s="258"/>
      <c r="S137" s="286"/>
      <c r="T137" s="263"/>
      <c r="U137" s="263"/>
      <c r="V137" s="263"/>
    </row>
    <row r="138" spans="1:22" s="289" customFormat="1">
      <c r="A138" s="258"/>
      <c r="B138" s="492"/>
      <c r="C138" s="493"/>
      <c r="D138" s="280"/>
      <c r="E138" s="281"/>
      <c r="F138" s="388"/>
      <c r="G138" s="282">
        <f ca="1">IF(ISERROR(OFFSET('HARGA SATUAN'!$I$6,MATCH('RAB Estetika'!C138,'HARGA SATUAN'!$C$7:$C$1509,0),0)),0,OFFSET('HARGA SATUAN'!$I$6,MATCH('RAB Estetika'!C138,'HARGA SATUAN'!$C$7:$C$1509,0),0))</f>
        <v>0</v>
      </c>
      <c r="H138" s="283">
        <f t="shared" si="28"/>
        <v>0</v>
      </c>
      <c r="I138" s="283">
        <f t="shared" si="29"/>
        <v>0</v>
      </c>
      <c r="J138" s="283">
        <f t="shared" si="30"/>
        <v>0</v>
      </c>
      <c r="K138" s="284">
        <f t="shared" si="31"/>
        <v>0</v>
      </c>
      <c r="L138" s="288"/>
      <c r="M138" s="288"/>
      <c r="N138" s="288"/>
      <c r="O138" s="285"/>
      <c r="P138" s="285"/>
      <c r="Q138" s="266"/>
      <c r="R138" s="258"/>
      <c r="S138" s="286"/>
      <c r="T138" s="263"/>
      <c r="U138" s="263"/>
      <c r="V138" s="263"/>
    </row>
    <row r="139" spans="1:22" s="289" customFormat="1">
      <c r="A139" s="258" t="e">
        <f>IF(AND(C139=0,C140=0,#REF!=0),"BLANKS",1)</f>
        <v>#REF!</v>
      </c>
      <c r="B139" s="492"/>
      <c r="C139" s="493"/>
      <c r="D139" s="280"/>
      <c r="E139" s="281"/>
      <c r="F139" s="388"/>
      <c r="G139" s="282">
        <f ca="1">IF(ISERROR(OFFSET('HARGA SATUAN'!$I$6,MATCH('RAB Estetika'!C139,'HARGA SATUAN'!$C$7:$C$1509,0),0)),0,OFFSET('HARGA SATUAN'!$I$6,MATCH('RAB Estetika'!C139,'HARGA SATUAN'!$C$7:$C$1509,0),0))</f>
        <v>0</v>
      </c>
      <c r="H139" s="283">
        <f t="shared" si="28"/>
        <v>0</v>
      </c>
      <c r="I139" s="283">
        <f t="shared" si="29"/>
        <v>0</v>
      </c>
      <c r="J139" s="283">
        <f t="shared" si="30"/>
        <v>0</v>
      </c>
      <c r="K139" s="284">
        <f t="shared" si="31"/>
        <v>0</v>
      </c>
      <c r="L139" s="288"/>
      <c r="M139" s="288"/>
      <c r="N139" s="288"/>
      <c r="O139" s="285"/>
      <c r="P139" s="285"/>
      <c r="Q139" s="266"/>
      <c r="R139" s="258"/>
      <c r="S139" s="286"/>
      <c r="T139" s="263"/>
      <c r="U139" s="263"/>
      <c r="V139" s="263"/>
    </row>
    <row r="140" spans="1:22" s="289" customFormat="1">
      <c r="A140" s="258" t="e">
        <f>IF(AND(C140=0,#REF!=0,#REF!=0),"BLANKS",1)</f>
        <v>#REF!</v>
      </c>
      <c r="B140" s="492"/>
      <c r="C140" s="493"/>
      <c r="D140" s="280"/>
      <c r="E140" s="281"/>
      <c r="F140" s="388"/>
      <c r="G140" s="282">
        <f ca="1">IF(ISERROR(OFFSET('HARGA SATUAN'!$I$6,MATCH('RAB Estetika'!C140,'HARGA SATUAN'!$C$7:$C$1509,0),0)),0,OFFSET('HARGA SATUAN'!$I$6,MATCH('RAB Estetika'!C140,'HARGA SATUAN'!$C$7:$C$1509,0),0))</f>
        <v>0</v>
      </c>
      <c r="H140" s="283">
        <f t="shared" si="28"/>
        <v>0</v>
      </c>
      <c r="I140" s="283">
        <f t="shared" si="29"/>
        <v>0</v>
      </c>
      <c r="J140" s="283">
        <f t="shared" si="30"/>
        <v>0</v>
      </c>
      <c r="K140" s="284">
        <f t="shared" si="31"/>
        <v>0</v>
      </c>
      <c r="L140" s="288"/>
      <c r="M140" s="288"/>
      <c r="N140" s="288"/>
      <c r="O140" s="285"/>
      <c r="P140" s="285"/>
      <c r="Q140" s="266"/>
      <c r="R140" s="258"/>
      <c r="S140" s="286"/>
      <c r="T140" s="263"/>
      <c r="U140" s="263"/>
      <c r="V140" s="263"/>
    </row>
    <row r="141" spans="1:22" s="289" customFormat="1">
      <c r="A141" s="258" t="e">
        <f>IF(AND(C141=0,#REF!=0,#REF!=0),"BLANKS",1)</f>
        <v>#REF!</v>
      </c>
      <c r="B141" s="492"/>
      <c r="C141" s="493"/>
      <c r="D141" s="280"/>
      <c r="E141" s="281"/>
      <c r="F141" s="388"/>
      <c r="G141" s="282">
        <f ca="1">IF(ISERROR(OFFSET('HARGA SATUAN'!$I$6,MATCH('RAB Estetika'!C141,'HARGA SATUAN'!$C$7:$C$1509,0),0)),0,OFFSET('HARGA SATUAN'!$I$6,MATCH('RAB Estetika'!C141,'HARGA SATUAN'!$C$7:$C$1509,0),0))</f>
        <v>0</v>
      </c>
      <c r="H141" s="283">
        <f t="shared" si="28"/>
        <v>0</v>
      </c>
      <c r="I141" s="283">
        <f t="shared" si="29"/>
        <v>0</v>
      </c>
      <c r="J141" s="283">
        <f t="shared" si="30"/>
        <v>0</v>
      </c>
      <c r="K141" s="284">
        <f t="shared" si="31"/>
        <v>0</v>
      </c>
      <c r="L141" s="288"/>
      <c r="M141" s="288"/>
      <c r="N141" s="288"/>
      <c r="O141" s="285"/>
      <c r="P141" s="285"/>
      <c r="Q141" s="266"/>
      <c r="R141" s="258"/>
      <c r="S141" s="286"/>
      <c r="T141" s="263"/>
      <c r="U141" s="263"/>
      <c r="V141" s="263"/>
    </row>
    <row r="142" spans="1:22" s="289" customFormat="1">
      <c r="A142" s="258"/>
      <c r="B142" s="492"/>
      <c r="C142" s="493"/>
      <c r="D142" s="280"/>
      <c r="E142" s="281"/>
      <c r="F142" s="388"/>
      <c r="G142" s="282">
        <f ca="1">IF(ISERROR(OFFSET('HARGA SATUAN'!$I$6,MATCH('RAB Estetika'!C142,'HARGA SATUAN'!$C$7:$C$1509,0),0)),0,OFFSET('HARGA SATUAN'!$I$6,MATCH('RAB Estetika'!C142,'HARGA SATUAN'!$C$7:$C$1509,0),0))</f>
        <v>0</v>
      </c>
      <c r="H142" s="283">
        <f t="shared" si="28"/>
        <v>0</v>
      </c>
      <c r="I142" s="283">
        <f t="shared" si="29"/>
        <v>0</v>
      </c>
      <c r="J142" s="283">
        <f t="shared" si="30"/>
        <v>0</v>
      </c>
      <c r="K142" s="284">
        <f t="shared" si="31"/>
        <v>0</v>
      </c>
      <c r="L142" s="288"/>
      <c r="M142" s="288"/>
      <c r="N142" s="288"/>
      <c r="O142" s="285"/>
      <c r="P142" s="285"/>
      <c r="Q142" s="266"/>
      <c r="R142" s="258"/>
      <c r="S142" s="286"/>
      <c r="T142" s="263"/>
      <c r="U142" s="263"/>
      <c r="V142" s="263"/>
    </row>
    <row r="143" spans="1:22" s="289" customFormat="1">
      <c r="A143" s="258" t="e">
        <f>IF(AND(C143=0,#REF!=0,#REF!=0),"BLANKS",1)</f>
        <v>#REF!</v>
      </c>
      <c r="B143" s="492"/>
      <c r="C143" s="493"/>
      <c r="D143" s="280"/>
      <c r="E143" s="281"/>
      <c r="F143" s="388"/>
      <c r="G143" s="282">
        <f ca="1">IF(ISERROR(OFFSET('HARGA SATUAN'!$I$6,MATCH('RAB Estetika'!C143,'HARGA SATUAN'!$C$7:$C$1509,0),0)),0,OFFSET('HARGA SATUAN'!$I$6,MATCH('RAB Estetika'!C143,'HARGA SATUAN'!$C$7:$C$1509,0),0))</f>
        <v>0</v>
      </c>
      <c r="H143" s="283">
        <f t="shared" si="28"/>
        <v>0</v>
      </c>
      <c r="I143" s="283">
        <f t="shared" si="29"/>
        <v>0</v>
      </c>
      <c r="J143" s="283">
        <f t="shared" si="30"/>
        <v>0</v>
      </c>
      <c r="K143" s="284">
        <f t="shared" si="31"/>
        <v>0</v>
      </c>
      <c r="L143" s="288"/>
      <c r="M143" s="288"/>
      <c r="N143" s="288"/>
      <c r="O143" s="285"/>
      <c r="P143" s="285"/>
      <c r="Q143" s="266"/>
      <c r="R143" s="258"/>
      <c r="S143" s="286"/>
      <c r="T143" s="263"/>
      <c r="U143" s="263"/>
      <c r="V143" s="263"/>
    </row>
    <row r="144" spans="1:22" s="289" customFormat="1">
      <c r="A144" s="258" t="e">
        <f>IF(AND(C144=0,C145=0,#REF!=0),"BLANKS",1)</f>
        <v>#REF!</v>
      </c>
      <c r="B144" s="492"/>
      <c r="C144" s="493"/>
      <c r="D144" s="280"/>
      <c r="E144" s="281"/>
      <c r="F144" s="388"/>
      <c r="G144" s="282">
        <f ca="1">IF(ISERROR(OFFSET('HARGA SATUAN'!$I$6,MATCH('RAB Estetika'!C144,'HARGA SATUAN'!$C$7:$C$1509,0),0)),0,OFFSET('HARGA SATUAN'!$I$6,MATCH('RAB Estetika'!C144,'HARGA SATUAN'!$C$7:$C$1509,0),0))</f>
        <v>0</v>
      </c>
      <c r="H144" s="283">
        <f t="shared" si="28"/>
        <v>0</v>
      </c>
      <c r="I144" s="283">
        <f t="shared" si="29"/>
        <v>0</v>
      </c>
      <c r="J144" s="283">
        <f t="shared" si="30"/>
        <v>0</v>
      </c>
      <c r="K144" s="284">
        <f t="shared" si="31"/>
        <v>0</v>
      </c>
      <c r="L144" s="288"/>
      <c r="M144" s="288"/>
      <c r="N144" s="288"/>
      <c r="O144" s="285"/>
      <c r="P144" s="285"/>
      <c r="Q144" s="266"/>
      <c r="R144" s="258"/>
      <c r="S144" s="286"/>
      <c r="T144" s="263"/>
      <c r="U144" s="263"/>
      <c r="V144" s="263"/>
    </row>
    <row r="145" spans="1:22" s="289" customFormat="1">
      <c r="A145" s="258" t="e">
        <f>IF(AND(C145=0,#REF!=0,#REF!=0),"BLANKS",1)</f>
        <v>#REF!</v>
      </c>
      <c r="B145" s="492"/>
      <c r="C145" s="493"/>
      <c r="D145" s="280"/>
      <c r="E145" s="281"/>
      <c r="F145" s="388"/>
      <c r="G145" s="282">
        <f ca="1">IF(ISERROR(OFFSET('HARGA SATUAN'!$I$6,MATCH('RAB Estetika'!C145,'HARGA SATUAN'!$C$7:$C$1509,0),0)),0,OFFSET('HARGA SATUAN'!$I$6,MATCH('RAB Estetika'!C145,'HARGA SATUAN'!$C$7:$C$1509,0),0))</f>
        <v>0</v>
      </c>
      <c r="H145" s="283">
        <f t="shared" si="28"/>
        <v>0</v>
      </c>
      <c r="I145" s="283">
        <f t="shared" si="29"/>
        <v>0</v>
      </c>
      <c r="J145" s="283">
        <f t="shared" si="30"/>
        <v>0</v>
      </c>
      <c r="K145" s="284">
        <f t="shared" si="31"/>
        <v>0</v>
      </c>
      <c r="L145" s="288"/>
      <c r="M145" s="288"/>
      <c r="N145" s="288"/>
      <c r="O145" s="285"/>
      <c r="P145" s="285"/>
      <c r="Q145" s="266"/>
      <c r="R145" s="258"/>
      <c r="S145" s="286"/>
      <c r="T145" s="263"/>
      <c r="U145" s="263"/>
      <c r="V145" s="263"/>
    </row>
    <row r="146" spans="1:22" s="289" customFormat="1">
      <c r="A146" s="258"/>
      <c r="B146" s="492"/>
      <c r="C146" s="493"/>
      <c r="D146" s="280"/>
      <c r="E146" s="281"/>
      <c r="F146" s="388"/>
      <c r="G146" s="282">
        <f ca="1">IF(ISERROR(OFFSET('HARGA SATUAN'!$I$6,MATCH('RAB Estetika'!C146,'HARGA SATUAN'!$C$7:$C$1509,0),0)),0,OFFSET('HARGA SATUAN'!$I$6,MATCH('RAB Estetika'!C146,'HARGA SATUAN'!$C$7:$C$1509,0),0))</f>
        <v>0</v>
      </c>
      <c r="H146" s="283">
        <f t="shared" si="28"/>
        <v>0</v>
      </c>
      <c r="I146" s="283">
        <f t="shared" si="29"/>
        <v>0</v>
      </c>
      <c r="J146" s="283">
        <f t="shared" si="30"/>
        <v>0</v>
      </c>
      <c r="K146" s="284">
        <f t="shared" si="31"/>
        <v>0</v>
      </c>
      <c r="L146" s="288"/>
      <c r="M146" s="288"/>
      <c r="N146" s="288"/>
      <c r="O146" s="285"/>
      <c r="P146" s="285"/>
      <c r="Q146" s="266"/>
      <c r="R146" s="258"/>
      <c r="S146" s="286"/>
      <c r="T146" s="263"/>
      <c r="U146" s="263"/>
      <c r="V146" s="263"/>
    </row>
    <row r="147" spans="1:22" s="289" customFormat="1">
      <c r="A147" s="258" t="e">
        <f>IF(AND(C147=0,#REF!=0,#REF!=0),"BLANKS",1)</f>
        <v>#REF!</v>
      </c>
      <c r="B147" s="492"/>
      <c r="C147" s="493"/>
      <c r="D147" s="280"/>
      <c r="E147" s="281"/>
      <c r="F147" s="388"/>
      <c r="G147" s="282">
        <f ca="1">IF(ISERROR(OFFSET('HARGA SATUAN'!$I$6,MATCH('RAB Estetika'!C147,'HARGA SATUAN'!$C$7:$C$1509,0),0)),0,OFFSET('HARGA SATUAN'!$I$6,MATCH('RAB Estetika'!C147,'HARGA SATUAN'!$C$7:$C$1509,0),0))</f>
        <v>0</v>
      </c>
      <c r="H147" s="283">
        <f t="shared" si="28"/>
        <v>0</v>
      </c>
      <c r="I147" s="283">
        <f t="shared" si="29"/>
        <v>0</v>
      </c>
      <c r="J147" s="283">
        <f t="shared" si="30"/>
        <v>0</v>
      </c>
      <c r="K147" s="284">
        <f t="shared" si="31"/>
        <v>0</v>
      </c>
      <c r="L147" s="288"/>
      <c r="M147" s="288"/>
      <c r="N147" s="288"/>
      <c r="O147" s="285"/>
      <c r="P147" s="285"/>
      <c r="Q147" s="266"/>
      <c r="R147" s="258"/>
      <c r="S147" s="286"/>
      <c r="T147" s="263"/>
      <c r="U147" s="263"/>
      <c r="V147" s="263"/>
    </row>
    <row r="148" spans="1:22" s="289" customFormat="1">
      <c r="A148" s="258"/>
      <c r="B148" s="492"/>
      <c r="C148" s="493"/>
      <c r="D148" s="280"/>
      <c r="E148" s="281"/>
      <c r="F148" s="388"/>
      <c r="G148" s="282">
        <f ca="1">IF(ISERROR(OFFSET('HARGA SATUAN'!$I$6,MATCH('RAB Estetika'!C148,'HARGA SATUAN'!$C$7:$C$1509,0),0)),0,OFFSET('HARGA SATUAN'!$I$6,MATCH('RAB Estetika'!C148,'HARGA SATUAN'!$C$7:$C$1509,0),0))</f>
        <v>0</v>
      </c>
      <c r="H148" s="283">
        <f t="shared" si="28"/>
        <v>0</v>
      </c>
      <c r="I148" s="283">
        <f t="shared" si="29"/>
        <v>0</v>
      </c>
      <c r="J148" s="283">
        <f t="shared" si="30"/>
        <v>0</v>
      </c>
      <c r="K148" s="284">
        <f t="shared" si="31"/>
        <v>0</v>
      </c>
      <c r="L148" s="288"/>
      <c r="M148" s="288"/>
      <c r="N148" s="288"/>
      <c r="O148" s="285"/>
      <c r="P148" s="285"/>
      <c r="Q148" s="266"/>
      <c r="R148" s="258"/>
      <c r="S148" s="286"/>
      <c r="T148" s="263"/>
      <c r="U148" s="263"/>
      <c r="V148" s="263"/>
    </row>
    <row r="149" spans="1:22" s="289" customFormat="1">
      <c r="A149" s="258"/>
      <c r="B149" s="492"/>
      <c r="C149" s="493"/>
      <c r="D149" s="280"/>
      <c r="E149" s="281"/>
      <c r="F149" s="388"/>
      <c r="G149" s="282">
        <f ca="1">IF(ISERROR(OFFSET('HARGA SATUAN'!$I$6,MATCH('RAB Estetika'!C149,'HARGA SATUAN'!$C$7:$C$1509,0),0)),0,OFFSET('HARGA SATUAN'!$I$6,MATCH('RAB Estetika'!C149,'HARGA SATUAN'!$C$7:$C$1509,0),0))</f>
        <v>0</v>
      </c>
      <c r="H149" s="283">
        <f t="shared" si="28"/>
        <v>0</v>
      </c>
      <c r="I149" s="283">
        <f t="shared" si="29"/>
        <v>0</v>
      </c>
      <c r="J149" s="283">
        <f t="shared" si="30"/>
        <v>0</v>
      </c>
      <c r="K149" s="284">
        <f t="shared" si="31"/>
        <v>0</v>
      </c>
      <c r="L149" s="288"/>
      <c r="M149" s="288"/>
      <c r="N149" s="288"/>
      <c r="O149" s="285"/>
      <c r="P149" s="285"/>
      <c r="Q149" s="266"/>
      <c r="R149" s="258"/>
      <c r="S149" s="286"/>
      <c r="T149" s="263"/>
      <c r="U149" s="263"/>
      <c r="V149" s="263"/>
    </row>
    <row r="150" spans="1:22" s="289" customFormat="1">
      <c r="A150" s="258" t="e">
        <f>IF(AND(C150=0,#REF!=0,#REF!=0),"BLANKS",1)</f>
        <v>#REF!</v>
      </c>
      <c r="B150" s="492"/>
      <c r="C150" s="493"/>
      <c r="D150" s="280"/>
      <c r="E150" s="281"/>
      <c r="F150" s="388"/>
      <c r="G150" s="282">
        <f ca="1">IF(ISERROR(OFFSET('HARGA SATUAN'!$I$6,MATCH('RAB Estetika'!C150,'HARGA SATUAN'!$C$7:$C$1509,0),0)),0,OFFSET('HARGA SATUAN'!$I$6,MATCH('RAB Estetika'!C150,'HARGA SATUAN'!$C$7:$C$1509,0),0))</f>
        <v>0</v>
      </c>
      <c r="H150" s="283">
        <f t="shared" si="28"/>
        <v>0</v>
      </c>
      <c r="I150" s="283">
        <f t="shared" si="29"/>
        <v>0</v>
      </c>
      <c r="J150" s="283">
        <f t="shared" si="30"/>
        <v>0</v>
      </c>
      <c r="K150" s="284">
        <f t="shared" si="31"/>
        <v>0</v>
      </c>
      <c r="L150" s="288"/>
      <c r="M150" s="288"/>
      <c r="N150" s="288"/>
      <c r="O150" s="285"/>
      <c r="P150" s="285"/>
      <c r="Q150" s="266"/>
      <c r="R150" s="258"/>
      <c r="S150" s="286"/>
      <c r="T150" s="263"/>
      <c r="U150" s="263"/>
      <c r="V150" s="263"/>
    </row>
    <row r="151" spans="1:22" s="289" customFormat="1">
      <c r="A151" s="258"/>
      <c r="B151" s="492"/>
      <c r="C151" s="493"/>
      <c r="D151" s="280"/>
      <c r="E151" s="281"/>
      <c r="F151" s="388"/>
      <c r="G151" s="282">
        <f ca="1">IF(ISERROR(OFFSET('HARGA SATUAN'!$I$6,MATCH('RAB Estetika'!C151,'HARGA SATUAN'!$C$7:$C$1509,0),0)),0,OFFSET('HARGA SATUAN'!$I$6,MATCH('RAB Estetika'!C151,'HARGA SATUAN'!$C$7:$C$1509,0),0))</f>
        <v>0</v>
      </c>
      <c r="H151" s="283">
        <f t="shared" si="28"/>
        <v>0</v>
      </c>
      <c r="I151" s="283">
        <f t="shared" si="29"/>
        <v>0</v>
      </c>
      <c r="J151" s="283">
        <f t="shared" si="30"/>
        <v>0</v>
      </c>
      <c r="K151" s="284">
        <f t="shared" si="31"/>
        <v>0</v>
      </c>
      <c r="L151" s="288"/>
      <c r="M151" s="288"/>
      <c r="N151" s="288"/>
      <c r="O151" s="285"/>
      <c r="P151" s="285"/>
      <c r="Q151" s="266"/>
      <c r="R151" s="258"/>
      <c r="S151" s="286"/>
      <c r="T151" s="263"/>
      <c r="U151" s="263"/>
      <c r="V151" s="263"/>
    </row>
    <row r="152" spans="1:22" s="289" customFormat="1">
      <c r="A152" s="258" t="e">
        <f>IF(AND(C152=0,#REF!=0,#REF!=0),"BLANKS",1)</f>
        <v>#REF!</v>
      </c>
      <c r="B152" s="492"/>
      <c r="C152" s="493"/>
      <c r="D152" s="280"/>
      <c r="E152" s="281"/>
      <c r="F152" s="388"/>
      <c r="G152" s="282">
        <f ca="1">IF(ISERROR(OFFSET('HARGA SATUAN'!$I$6,MATCH('RAB Estetika'!C152,'HARGA SATUAN'!$C$7:$C$1509,0),0)),0,OFFSET('HARGA SATUAN'!$I$6,MATCH('RAB Estetika'!C152,'HARGA SATUAN'!$C$7:$C$1509,0),0))</f>
        <v>0</v>
      </c>
      <c r="H152" s="283">
        <f t="shared" ref="H152:H154" si="32">IF(OR(D152="MDU",D152="MDU-KD"),(IF($O$3="RAB NON MDU","PLN KD",G152*F152)),0)</f>
        <v>0</v>
      </c>
      <c r="I152" s="283">
        <f t="shared" ref="I152:I154" si="33">IF(D152="HDW",G152*F152,0)</f>
        <v>0</v>
      </c>
      <c r="J152" s="283">
        <f t="shared" ref="J152:J154" si="34">IF(D152="JASA",G152*F152,0)</f>
        <v>0</v>
      </c>
      <c r="K152" s="284">
        <f t="shared" ref="K152:K154" si="35">SUM(H152:J152)</f>
        <v>0</v>
      </c>
      <c r="L152" s="288"/>
      <c r="M152" s="288"/>
      <c r="N152" s="288"/>
      <c r="O152" s="285"/>
      <c r="P152" s="285"/>
      <c r="Q152" s="266"/>
      <c r="R152" s="258"/>
      <c r="S152" s="286"/>
      <c r="T152" s="263"/>
      <c r="U152" s="263"/>
      <c r="V152" s="263"/>
    </row>
    <row r="153" spans="1:22" s="289" customFormat="1">
      <c r="A153" s="258" t="e">
        <f>IF(AND(C153=0,#REF!=0,#REF!=0),"BLANKS",1)</f>
        <v>#REF!</v>
      </c>
      <c r="B153" s="492"/>
      <c r="C153" s="109"/>
      <c r="D153" s="280"/>
      <c r="E153" s="281"/>
      <c r="F153" s="507"/>
      <c r="G153" s="282">
        <f ca="1">IF(ISERROR(OFFSET('HARGA SATUAN'!$I$6,MATCH('RAB Estetika'!C153,'HARGA SATUAN'!$C$7:$C$1509,0),0)),0,OFFSET('HARGA SATUAN'!$I$6,MATCH('RAB Estetika'!C153,'HARGA SATUAN'!$C$7:$C$1509,0),0))</f>
        <v>0</v>
      </c>
      <c r="H153" s="283">
        <f t="shared" ref="H153" si="36">IF(OR(D153="MDU",D153="MDU-KD"),(IF($O$3="RAB NON MDU","PLN KD",G153*F153)),0)</f>
        <v>0</v>
      </c>
      <c r="I153" s="283">
        <f t="shared" ref="I153" si="37">IF(D153="HDW",G153*F153,0)</f>
        <v>0</v>
      </c>
      <c r="J153" s="283">
        <f t="shared" ref="J153" si="38">IF(D153="JASA",G153*F153,0)</f>
        <v>0</v>
      </c>
      <c r="K153" s="284">
        <f t="shared" ref="K153" si="39">SUM(H153:J153)</f>
        <v>0</v>
      </c>
      <c r="L153" s="288"/>
      <c r="M153" s="288"/>
      <c r="N153" s="288"/>
      <c r="O153" s="285"/>
      <c r="P153" s="285"/>
      <c r="Q153" s="266"/>
      <c r="R153" s="258"/>
      <c r="S153" s="286"/>
      <c r="T153" s="263"/>
      <c r="U153" s="263"/>
      <c r="V153" s="263"/>
    </row>
    <row r="154" spans="1:22" s="289" customFormat="1">
      <c r="A154" s="258" t="e">
        <f>IF(AND(C154=0,#REF!=0,#REF!=0),"BLANKS",1)</f>
        <v>#REF!</v>
      </c>
      <c r="B154" s="293"/>
      <c r="C154" s="494"/>
      <c r="D154" s="280"/>
      <c r="E154" s="281"/>
      <c r="F154" s="388"/>
      <c r="G154" s="282">
        <f ca="1">IF(ISERROR(OFFSET('HARGA SATUAN'!$I$6,MATCH('RAB Estetika'!C154,'HARGA SATUAN'!$C$7:$C$1509,0),0)),0,OFFSET('HARGA SATUAN'!$I$6,MATCH('RAB Estetika'!C154,'HARGA SATUAN'!$C$7:$C$1509,0),0))</f>
        <v>0</v>
      </c>
      <c r="H154" s="283">
        <f t="shared" si="32"/>
        <v>0</v>
      </c>
      <c r="I154" s="283">
        <f t="shared" si="33"/>
        <v>0</v>
      </c>
      <c r="J154" s="283">
        <f t="shared" si="34"/>
        <v>0</v>
      </c>
      <c r="K154" s="284">
        <f t="shared" si="35"/>
        <v>0</v>
      </c>
      <c r="L154" s="288"/>
      <c r="M154" s="288"/>
      <c r="N154" s="288"/>
      <c r="O154" s="285"/>
      <c r="P154" s="285"/>
      <c r="Q154" s="266"/>
      <c r="R154" s="258"/>
      <c r="S154" s="286"/>
      <c r="T154" s="263"/>
      <c r="U154" s="263"/>
      <c r="V154" s="263"/>
    </row>
    <row r="155" spans="1:22" s="289" customFormat="1">
      <c r="A155" s="258" t="e">
        <f>IF(AND(C155=0,#REF!=0,#REF!=0),"BLANKS",1)</f>
        <v>#REF!</v>
      </c>
      <c r="B155" s="293"/>
      <c r="C155" s="494"/>
      <c r="D155" s="280" t="str">
        <f ca="1">IF(ISERROR(OFFSET('HARGA SATUAN'!$D$6,MATCH('RAB Estetika'!C155,'HARGA SATUAN'!$C$7:$C$1509,0),0)),"",OFFSET('HARGA SATUAN'!$D$6,MATCH('RAB Estetika'!C155,'HARGA SATUAN'!$C$7:$C$1509,0),0))</f>
        <v/>
      </c>
      <c r="E155" s="281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8"/>
      <c r="G155" s="282">
        <f ca="1">IF(ISERROR(OFFSET('HARGA SATUAN'!$I$6,MATCH('RAB Estetika'!C155,'HARGA SATUAN'!$C$7:$C$1509,0),0)),0,OFFSET('HARGA SATUAN'!$I$6,MATCH('RAB Estetika'!C155,'HARGA SATUAN'!$C$7:$C$1509,0),0))</f>
        <v>0</v>
      </c>
      <c r="H155" s="283">
        <f t="shared" ref="H155" ca="1" si="40">IF(OR(D155="MDU",D155="MDU-KD"),(IF($O$3="RAB NON MDU","PLN KD",G155*F155)),0)</f>
        <v>0</v>
      </c>
      <c r="I155" s="283">
        <f t="shared" ref="I155" ca="1" si="41">IF(D155="HDW",G155*F155,0)</f>
        <v>0</v>
      </c>
      <c r="J155" s="283">
        <f t="shared" ref="J155" ca="1" si="42">IF(D155="JASA",G155*F155,0)</f>
        <v>0</v>
      </c>
      <c r="K155" s="284">
        <f t="shared" ref="K155" ca="1" si="43">SUM(H155:J155)</f>
        <v>0</v>
      </c>
      <c r="L155" s="288"/>
      <c r="M155" s="288"/>
      <c r="N155" s="288"/>
      <c r="O155" s="285"/>
      <c r="P155" s="285"/>
      <c r="Q155" s="266"/>
      <c r="R155" s="258"/>
      <c r="S155" s="286"/>
      <c r="T155" s="263"/>
      <c r="U155" s="263"/>
      <c r="V155" s="263"/>
    </row>
    <row r="156" spans="1:22">
      <c r="B156" s="297"/>
      <c r="C156" s="298" t="s">
        <v>468</v>
      </c>
      <c r="D156" s="280" t="str">
        <f ca="1">IF(ISERROR(OFFSET('HARGA SATUAN'!$D$6,MATCH('RAB Estetika'!C156,'HARGA SATUAN'!$C$7:$C$1509,0),0)),"",OFFSET('HARGA SATUAN'!$D$6,MATCH('RAB Estetika'!C156,'HARGA SATUAN'!$C$7:$C$1509,0),0))</f>
        <v/>
      </c>
      <c r="E156" s="281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299"/>
      <c r="G156" s="282">
        <f ca="1">IF(ISERROR(OFFSET('HARGA SATUAN'!$I$6,MATCH('RAB Estetika'!C156,'HARGA SATUAN'!$C$7:$C$1509,0),0)),0,OFFSET('HARGA SATUAN'!$I$6,MATCH('RAB Estetika'!C156,'HARGA SATUAN'!$C$7:$C$1509,0),0))</f>
        <v>0</v>
      </c>
      <c r="H156" s="283">
        <f ca="1">IF(OR(D156="MDU",D156="MDU-KD"),(IF($O$3="RAB NON MDU","PLN KD",G156*F156)),0)</f>
        <v>0</v>
      </c>
      <c r="I156" s="283">
        <f ca="1">IF(D156="HDW",G156*F156,0)</f>
        <v>0</v>
      </c>
      <c r="J156" s="283">
        <f ca="1">IF(D156="JASA",G156*F156,0)</f>
        <v>0</v>
      </c>
      <c r="K156" s="284">
        <f ca="1">SUM(H156:J156)</f>
        <v>0</v>
      </c>
    </row>
    <row r="157" spans="1:22">
      <c r="B157" s="300">
        <v>1</v>
      </c>
      <c r="C157" s="301" t="s">
        <v>1064</v>
      </c>
      <c r="D157" s="302" t="str">
        <f ca="1">IF(ISERROR(OFFSET('HARGA SATUAN'!$D$6,MATCH('RAB Estetika'!C157,'HARGA SATUAN'!$C$7:$C$1509,0),0)),"",OFFSET('HARGA SATUAN'!$D$6,MATCH('RAB Estetika'!C157,'HARGA SATUAN'!$C$7:$C$1509,0),0))</f>
        <v>JASA</v>
      </c>
      <c r="E157" s="303" t="str">
        <f ca="1">IF(ISERROR(OFFSET('HARGA SATUAN'!$E$6,MATCH('RAB Estetika'!C157,'HARGA SATUAN'!$C$7:$C$1509,0),0)),"",OFFSET('HARGA SATUAN'!$E$6,MATCH('RAB Estetika'!C157,'HARGA SATUAN'!$C$7:$C$1509,0),0))</f>
        <v>Lot</v>
      </c>
      <c r="F157" s="304">
        <v>1</v>
      </c>
      <c r="G157" s="305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6"/>
      <c r="I157" s="306"/>
      <c r="J157" s="306">
        <f ca="1">SUM(K15:K82)*G157</f>
        <v>0</v>
      </c>
      <c r="K157" s="307">
        <f ca="1">SUM(H157:J157)</f>
        <v>0</v>
      </c>
    </row>
    <row r="158" spans="1:22">
      <c r="B158" s="308"/>
      <c r="C158" s="309"/>
      <c r="D158" s="280" t="str">
        <f ca="1">IF(ISERROR(OFFSET('HARGA SATUAN'!$D$6,MATCH('RAB Estetika'!C158,'HARGA SATUAN'!$C$7:$C$1509,0),0)),"",OFFSET('HARGA SATUAN'!$D$6,MATCH('RAB Estetika'!C158,'HARGA SATUAN'!$C$7:$C$1509,0),0))</f>
        <v/>
      </c>
      <c r="E158" s="281" t="str">
        <f ca="1">IF(ISERROR(OFFSET('HARGA SATUAN'!$E$6,MATCH('RAB Estetika'!C158,'HARGA SATUAN'!$C$7:$C$1509,0),0)),"",OFFSET('HARGA SATUAN'!$E$6,MATCH('RAB Estetika'!C158,'HARGA SATUAN'!$C$7:$C$1509,0),0))</f>
        <v/>
      </c>
      <c r="F158" s="299"/>
      <c r="G158" s="282" t="str">
        <f ca="1">IF(ISERROR(OFFSET('HARGA SATUAN'!$I$6,MATCH('RAB Estetika'!C158,'HARGA SATUAN'!$C$7:$C$1509,0),0)),"",OFFSET('HARGA SATUAN'!$I$6,MATCH('RAB Estetika'!C158,'HARGA SATUAN'!$C$7:$C$1509,0),0))</f>
        <v/>
      </c>
      <c r="H158" s="283">
        <f ca="1">IF(OR(D158="MDU",D158="MDU-KD"),IF(G158="PLN",0,G158*F158),0)</f>
        <v>0</v>
      </c>
      <c r="I158" s="283">
        <f ca="1">IF(D158="HDW",IF(G158="PLN",0,G158*F158),0)</f>
        <v>0</v>
      </c>
      <c r="J158" s="283">
        <f ca="1">IF(D158="JASA",IF(G158="PLN",0,G158*F158),0)</f>
        <v>0</v>
      </c>
      <c r="K158" s="284">
        <f ca="1">SUM(H158:J158)</f>
        <v>0</v>
      </c>
    </row>
    <row r="159" spans="1:22" ht="15.75" thickBot="1">
      <c r="B159" s="310"/>
      <c r="C159" s="311"/>
      <c r="D159" s="312"/>
      <c r="E159" s="313"/>
      <c r="F159" s="313"/>
      <c r="G159" s="313"/>
      <c r="H159" s="314"/>
      <c r="I159" s="314"/>
      <c r="J159" s="314"/>
      <c r="K159" s="315"/>
    </row>
    <row r="160" spans="1:22">
      <c r="B160" s="316"/>
      <c r="C160" s="648" t="s">
        <v>984</v>
      </c>
      <c r="D160" s="648"/>
      <c r="E160" s="648"/>
      <c r="F160" s="648"/>
      <c r="G160" s="317" t="s">
        <v>9</v>
      </c>
      <c r="H160" s="318">
        <f ca="1">SUM(H14:H158)</f>
        <v>0</v>
      </c>
      <c r="I160" s="318">
        <f ca="1">SUM(I14:I158)</f>
        <v>0</v>
      </c>
      <c r="J160" s="318">
        <f ca="1">SUM(J14:J158)</f>
        <v>0</v>
      </c>
      <c r="K160" s="318">
        <f ca="1">SUM(K14:K158)</f>
        <v>0</v>
      </c>
    </row>
    <row r="161" spans="2:13">
      <c r="B161" s="319"/>
      <c r="C161" s="631" t="s">
        <v>1426</v>
      </c>
      <c r="D161" s="631"/>
      <c r="E161" s="631"/>
      <c r="F161" s="631"/>
      <c r="G161" s="320" t="s">
        <v>9</v>
      </c>
      <c r="H161" s="321">
        <f ca="1">H160*0.11</f>
        <v>0</v>
      </c>
      <c r="I161" s="321">
        <f ca="1">I160*0.11</f>
        <v>0</v>
      </c>
      <c r="J161" s="321">
        <f ca="1">J160*0.11</f>
        <v>0</v>
      </c>
      <c r="K161" s="321">
        <f ca="1">K160*0.11</f>
        <v>0</v>
      </c>
    </row>
    <row r="162" spans="2:13" ht="15.75" thickBot="1">
      <c r="B162" s="319"/>
      <c r="C162" s="629" t="s">
        <v>456</v>
      </c>
      <c r="D162" s="629"/>
      <c r="E162" s="629"/>
      <c r="F162" s="629"/>
      <c r="G162" s="322" t="s">
        <v>9</v>
      </c>
      <c r="H162" s="323">
        <f ca="1">SUM(H160:H161)</f>
        <v>0</v>
      </c>
      <c r="I162" s="323">
        <f ca="1">SUM(I160:I161)</f>
        <v>0</v>
      </c>
      <c r="J162" s="322">
        <f ca="1">SUM(J160:J161)</f>
        <v>0</v>
      </c>
      <c r="K162" s="322">
        <f ca="1">SUM(K160:K161)</f>
        <v>0</v>
      </c>
      <c r="M162" s="389"/>
    </row>
    <row r="163" spans="2:13">
      <c r="B163" s="632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33"/>
      <c r="D163" s="633"/>
      <c r="E163" s="633"/>
      <c r="F163" s="633"/>
      <c r="G163" s="633"/>
      <c r="H163" s="633"/>
      <c r="I163" s="633"/>
      <c r="J163" s="633"/>
      <c r="K163" s="634"/>
    </row>
    <row r="164" spans="2:13">
      <c r="B164" s="635"/>
      <c r="C164" s="636"/>
      <c r="D164" s="636"/>
      <c r="E164" s="636"/>
      <c r="F164" s="636"/>
      <c r="G164" s="636"/>
      <c r="H164" s="636"/>
      <c r="I164" s="636"/>
      <c r="J164" s="636"/>
      <c r="K164" s="637"/>
    </row>
    <row r="165" spans="2:13" ht="15.75" thickBot="1">
      <c r="B165" s="325" t="str">
        <f>"Harga yang dipakai adalah "&amp;'HARGA SATUAN'!I5&amp;""</f>
        <v>Harga yang dipakai adalah RAB HSS 2023</v>
      </c>
      <c r="C165" s="326"/>
      <c r="D165" s="327"/>
      <c r="E165" s="327"/>
      <c r="F165" s="327"/>
      <c r="G165" s="328"/>
      <c r="H165" s="328"/>
      <c r="I165" s="328"/>
      <c r="J165" s="328"/>
      <c r="K165" s="329"/>
    </row>
    <row r="166" spans="2:13">
      <c r="C166" s="330"/>
      <c r="E166" s="332"/>
      <c r="F166" s="332"/>
      <c r="G166" s="332"/>
    </row>
    <row r="167" spans="2:13">
      <c r="C167" s="259"/>
      <c r="E167" s="332"/>
      <c r="F167" s="332"/>
      <c r="G167" s="332"/>
      <c r="H167" s="638"/>
      <c r="I167" s="638"/>
      <c r="J167" s="639"/>
      <c r="K167" s="639"/>
    </row>
    <row r="168" spans="2:13">
      <c r="C168" s="259"/>
      <c r="E168" s="332"/>
      <c r="F168" s="332"/>
      <c r="G168" s="332"/>
      <c r="H168" s="333"/>
      <c r="I168" s="628" t="s">
        <v>1645</v>
      </c>
      <c r="J168" s="628"/>
      <c r="K168" s="628"/>
    </row>
    <row r="169" spans="2:13">
      <c r="C169" s="259"/>
      <c r="E169" s="332"/>
      <c r="F169" s="332"/>
      <c r="G169" s="332"/>
      <c r="H169" s="333"/>
      <c r="I169" s="628" t="s">
        <v>1513</v>
      </c>
      <c r="J169" s="628"/>
      <c r="K169" s="628"/>
    </row>
    <row r="170" spans="2:13">
      <c r="C170" s="259"/>
      <c r="E170" s="332"/>
      <c r="F170" s="332"/>
      <c r="G170" s="332"/>
      <c r="H170" s="334"/>
      <c r="I170" s="335"/>
      <c r="J170" s="335"/>
      <c r="K170" s="335"/>
    </row>
    <row r="171" spans="2:13">
      <c r="C171" s="259"/>
      <c r="E171" s="332"/>
      <c r="F171" s="332"/>
      <c r="G171" s="332"/>
      <c r="H171" s="334"/>
      <c r="I171" s="334"/>
      <c r="J171" s="334"/>
      <c r="K171" s="334"/>
    </row>
    <row r="172" spans="2:13">
      <c r="C172" s="259"/>
      <c r="E172" s="332"/>
      <c r="F172" s="332"/>
      <c r="G172" s="332"/>
      <c r="H172" s="334"/>
      <c r="I172" s="334"/>
      <c r="J172" s="334"/>
      <c r="K172" s="334"/>
    </row>
    <row r="173" spans="2:13">
      <c r="C173" s="259"/>
      <c r="E173" s="332"/>
      <c r="F173" s="332"/>
      <c r="G173" s="332"/>
      <c r="H173" s="334"/>
      <c r="I173" s="334"/>
      <c r="J173" s="334"/>
      <c r="K173" s="334"/>
    </row>
    <row r="174" spans="2:13">
      <c r="C174" s="259"/>
      <c r="E174" s="332"/>
      <c r="F174" s="332"/>
      <c r="G174" s="332"/>
      <c r="H174" s="336"/>
      <c r="I174" s="628" t="s">
        <v>1514</v>
      </c>
      <c r="J174" s="628"/>
      <c r="K174" s="628"/>
    </row>
    <row r="175" spans="2:13">
      <c r="C175" s="330"/>
      <c r="E175" s="332"/>
      <c r="F175" s="332"/>
      <c r="G175" s="332"/>
      <c r="H175" s="334"/>
      <c r="I175" s="334"/>
      <c r="J175" s="334"/>
      <c r="K175" s="334"/>
    </row>
    <row r="176" spans="2:13">
      <c r="C176" s="330"/>
      <c r="E176" s="332"/>
      <c r="F176" s="332"/>
      <c r="G176" s="332"/>
      <c r="H176" s="334"/>
      <c r="I176" s="334"/>
      <c r="J176" s="334"/>
      <c r="K176" s="334"/>
    </row>
    <row r="177" spans="3:11">
      <c r="C177" s="330"/>
      <c r="E177" s="332"/>
      <c r="F177" s="332"/>
      <c r="G177" s="332"/>
      <c r="H177" s="334"/>
      <c r="I177" s="334"/>
      <c r="J177" s="334"/>
      <c r="K177" s="334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2:F162"/>
    <mergeCell ref="B163:K164"/>
    <mergeCell ref="H167:K167"/>
    <mergeCell ref="I168:K168"/>
    <mergeCell ref="I169:K169"/>
    <mergeCell ref="I174:K174"/>
    <mergeCell ref="H12:H13"/>
    <mergeCell ref="I12:I13"/>
    <mergeCell ref="J12:J13"/>
    <mergeCell ref="K12:K13"/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</mergeCells>
  <conditionalFormatting sqref="C15:C18">
    <cfRule type="cellIs" dxfId="11" priority="6" operator="equal">
      <formula>0</formula>
    </cfRule>
  </conditionalFormatting>
  <conditionalFormatting sqref="C39">
    <cfRule type="cellIs" dxfId="10" priority="14" operator="equal">
      <formula>0</formula>
    </cfRule>
  </conditionalFormatting>
  <conditionalFormatting sqref="C80:C81">
    <cfRule type="cellIs" dxfId="9" priority="13" operator="equal">
      <formula>0</formula>
    </cfRule>
  </conditionalFormatting>
  <conditionalFormatting sqref="C84:C86">
    <cfRule type="cellIs" dxfId="8" priority="3" operator="equal">
      <formula>0</formula>
    </cfRule>
  </conditionalFormatting>
  <conditionalFormatting sqref="C133">
    <cfRule type="cellIs" dxfId="7" priority="10" operator="equal">
      <formula>0</formula>
    </cfRule>
  </conditionalFormatting>
  <conditionalFormatting sqref="C153">
    <cfRule type="cellIs" dxfId="6" priority="1" operator="equal">
      <formula>0</formula>
    </cfRule>
    <cfRule type="cellIs" dxfId="5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4" priority="16" stopIfTrue="1" operator="equal">
      <formula>0</formula>
    </cfRule>
  </conditionalFormatting>
  <conditionalFormatting sqref="E46:K155">
    <cfRule type="cellIs" dxfId="3" priority="5" stopIfTrue="1" operator="equal">
      <formula>0</formula>
    </cfRule>
  </conditionalFormatting>
  <conditionalFormatting sqref="F40:F45">
    <cfRule type="cellIs" dxfId="2" priority="4" stopIfTrue="1" operator="equal">
      <formula>0</formula>
    </cfRule>
  </conditionalFormatting>
  <conditionalFormatting sqref="G157:G65624 E163:E65624">
    <cfRule type="cellIs" dxfId="1" priority="1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1" customWidth="1"/>
    <col min="2" max="118" width="5.7109375" style="431" customWidth="1"/>
    <col min="119" max="16384" width="9.140625" style="431"/>
  </cols>
  <sheetData>
    <row r="1" spans="2:30" ht="12.75" thickBot="1"/>
    <row r="2" spans="2:30" ht="12.75" customHeight="1">
      <c r="B2" s="429"/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685" t="s">
        <v>1619</v>
      </c>
      <c r="X2" s="686"/>
      <c r="Y2" s="686"/>
      <c r="Z2" s="686"/>
      <c r="AA2" s="686"/>
      <c r="AB2" s="686"/>
      <c r="AC2" s="686"/>
      <c r="AD2" s="687"/>
    </row>
    <row r="3" spans="2:30" ht="12" customHeight="1">
      <c r="B3" s="432"/>
      <c r="W3" s="688"/>
      <c r="X3" s="689"/>
      <c r="Y3" s="689"/>
      <c r="Z3" s="689"/>
      <c r="AA3" s="689"/>
      <c r="AB3" s="689"/>
      <c r="AC3" s="689"/>
      <c r="AD3" s="690"/>
    </row>
    <row r="4" spans="2:30">
      <c r="B4" s="432"/>
      <c r="W4" s="433" t="s">
        <v>1587</v>
      </c>
      <c r="AD4" s="434"/>
    </row>
    <row r="5" spans="2:30">
      <c r="B5" s="432"/>
      <c r="D5" s="691" t="s">
        <v>1636</v>
      </c>
      <c r="E5" s="691"/>
      <c r="F5" s="691"/>
      <c r="W5" s="452" t="s">
        <v>1588</v>
      </c>
      <c r="X5" s="667" t="s">
        <v>1589</v>
      </c>
      <c r="Y5" s="667"/>
      <c r="Z5" s="667"/>
      <c r="AA5" s="667" t="s">
        <v>1590</v>
      </c>
      <c r="AB5" s="667"/>
      <c r="AC5" s="667" t="s">
        <v>1591</v>
      </c>
      <c r="AD5" s="668"/>
    </row>
    <row r="6" spans="2:30">
      <c r="B6" s="432"/>
      <c r="D6" s="500" t="s">
        <v>1637</v>
      </c>
      <c r="W6" s="452">
        <v>1</v>
      </c>
      <c r="X6" s="667" t="s">
        <v>1592</v>
      </c>
      <c r="Y6" s="667"/>
      <c r="Z6" s="667"/>
      <c r="AA6" s="667"/>
      <c r="AB6" s="667"/>
      <c r="AC6" s="667"/>
      <c r="AD6" s="668"/>
    </row>
    <row r="7" spans="2:30">
      <c r="B7" s="432"/>
      <c r="W7" s="452">
        <v>2</v>
      </c>
      <c r="X7" s="667" t="s">
        <v>1593</v>
      </c>
      <c r="Y7" s="667"/>
      <c r="Z7" s="667"/>
      <c r="AA7" s="667"/>
      <c r="AB7" s="667"/>
      <c r="AC7" s="667"/>
      <c r="AD7" s="668"/>
    </row>
    <row r="8" spans="2:30">
      <c r="B8" s="432"/>
      <c r="W8" s="452">
        <v>3</v>
      </c>
      <c r="X8" s="667" t="s">
        <v>1594</v>
      </c>
      <c r="Y8" s="667"/>
      <c r="Z8" s="667"/>
      <c r="AA8" s="667"/>
      <c r="AB8" s="667"/>
      <c r="AC8" s="667"/>
      <c r="AD8" s="668"/>
    </row>
    <row r="9" spans="2:30">
      <c r="B9" s="432"/>
      <c r="W9" s="452">
        <v>4</v>
      </c>
      <c r="X9" s="667" t="s">
        <v>1595</v>
      </c>
      <c r="Y9" s="667"/>
      <c r="Z9" s="667"/>
      <c r="AA9" s="667"/>
      <c r="AB9" s="667"/>
      <c r="AC9" s="667"/>
      <c r="AD9" s="668"/>
    </row>
    <row r="10" spans="2:30">
      <c r="B10" s="432"/>
      <c r="W10" s="452">
        <v>5</v>
      </c>
      <c r="X10" s="667" t="s">
        <v>1596</v>
      </c>
      <c r="Y10" s="667"/>
      <c r="Z10" s="667"/>
      <c r="AA10" s="667"/>
      <c r="AB10" s="667"/>
      <c r="AC10" s="667"/>
      <c r="AD10" s="668"/>
    </row>
    <row r="11" spans="2:30">
      <c r="B11" s="432"/>
      <c r="W11" s="452">
        <v>6</v>
      </c>
      <c r="X11" s="667" t="s">
        <v>1597</v>
      </c>
      <c r="Y11" s="667"/>
      <c r="Z11" s="667"/>
      <c r="AA11" s="667"/>
      <c r="AB11" s="667"/>
      <c r="AC11" s="667"/>
      <c r="AD11" s="668"/>
    </row>
    <row r="12" spans="2:30">
      <c r="B12" s="432"/>
      <c r="W12" s="452">
        <v>7</v>
      </c>
      <c r="X12" s="667" t="s">
        <v>1598</v>
      </c>
      <c r="Y12" s="667"/>
      <c r="Z12" s="667"/>
      <c r="AA12" s="667"/>
      <c r="AB12" s="667"/>
      <c r="AC12" s="667"/>
      <c r="AD12" s="668"/>
    </row>
    <row r="13" spans="2:30" ht="12.75" customHeight="1">
      <c r="B13" s="432"/>
      <c r="W13" s="452">
        <v>8</v>
      </c>
      <c r="X13" s="667" t="s">
        <v>1599</v>
      </c>
      <c r="Y13" s="667"/>
      <c r="Z13" s="667"/>
      <c r="AA13" s="667"/>
      <c r="AB13" s="667"/>
      <c r="AC13" s="667"/>
      <c r="AD13" s="668"/>
    </row>
    <row r="14" spans="2:30">
      <c r="B14" s="432"/>
      <c r="W14" s="452">
        <v>9</v>
      </c>
      <c r="X14" s="667" t="s">
        <v>1600</v>
      </c>
      <c r="Y14" s="667"/>
      <c r="Z14" s="667"/>
      <c r="AA14" s="667"/>
      <c r="AB14" s="667"/>
      <c r="AC14" s="667"/>
      <c r="AD14" s="668"/>
    </row>
    <row r="15" spans="2:30">
      <c r="B15" s="432"/>
      <c r="W15" s="452">
        <v>10</v>
      </c>
      <c r="X15" s="667" t="s">
        <v>1601</v>
      </c>
      <c r="Y15" s="667"/>
      <c r="Z15" s="667"/>
      <c r="AA15" s="667"/>
      <c r="AB15" s="667"/>
      <c r="AC15" s="667"/>
      <c r="AD15" s="668"/>
    </row>
    <row r="16" spans="2:30">
      <c r="B16" s="432"/>
      <c r="W16" s="452">
        <v>11</v>
      </c>
      <c r="X16" s="667" t="s">
        <v>1602</v>
      </c>
      <c r="Y16" s="667"/>
      <c r="Z16" s="667"/>
      <c r="AA16" s="667"/>
      <c r="AB16" s="667"/>
      <c r="AC16" s="667"/>
      <c r="AD16" s="668"/>
    </row>
    <row r="17" spans="2:30">
      <c r="B17" s="432"/>
      <c r="W17" s="452">
        <v>12</v>
      </c>
      <c r="X17" s="667" t="s">
        <v>1603</v>
      </c>
      <c r="Y17" s="667"/>
      <c r="Z17" s="667"/>
      <c r="AA17" s="667"/>
      <c r="AB17" s="667"/>
      <c r="AC17" s="667"/>
      <c r="AD17" s="668"/>
    </row>
    <row r="18" spans="2:30">
      <c r="B18" s="435"/>
      <c r="C18" s="436"/>
      <c r="D18" s="436"/>
      <c r="W18" s="452">
        <v>13</v>
      </c>
      <c r="X18" s="667"/>
      <c r="Y18" s="667"/>
      <c r="Z18" s="667"/>
      <c r="AA18" s="667"/>
      <c r="AB18" s="667"/>
      <c r="AC18" s="667"/>
      <c r="AD18" s="668"/>
    </row>
    <row r="19" spans="2:30">
      <c r="B19" s="432"/>
      <c r="W19" s="453"/>
      <c r="X19" s="677"/>
      <c r="Y19" s="677"/>
      <c r="Z19" s="677"/>
      <c r="AA19" s="677"/>
      <c r="AB19" s="677"/>
      <c r="AC19" s="677"/>
      <c r="AD19" s="678"/>
    </row>
    <row r="20" spans="2:30">
      <c r="B20" s="432"/>
      <c r="W20" s="671" t="s">
        <v>1604</v>
      </c>
      <c r="X20" s="672"/>
      <c r="Y20" s="672"/>
      <c r="Z20" s="672"/>
      <c r="AA20" s="672"/>
      <c r="AB20" s="672"/>
      <c r="AC20" s="672"/>
      <c r="AD20" s="673"/>
    </row>
    <row r="21" spans="2:30">
      <c r="B21" s="432"/>
      <c r="W21" s="717" t="s">
        <v>1605</v>
      </c>
      <c r="X21" s="718"/>
      <c r="Y21" s="718"/>
      <c r="Z21" s="719"/>
      <c r="AA21" s="682" t="s">
        <v>1606</v>
      </c>
      <c r="AB21" s="683"/>
      <c r="AC21" s="683"/>
      <c r="AD21" s="684"/>
    </row>
    <row r="22" spans="2:30">
      <c r="B22" s="432"/>
      <c r="W22" s="714" t="s">
        <v>1642</v>
      </c>
      <c r="X22" s="715"/>
      <c r="Y22" s="485">
        <v>1</v>
      </c>
      <c r="Z22" s="501" t="s">
        <v>93</v>
      </c>
      <c r="AA22" s="716" t="s">
        <v>1622</v>
      </c>
      <c r="AB22" s="670"/>
      <c r="AC22" s="437">
        <v>1</v>
      </c>
      <c r="AD22" s="438" t="s">
        <v>93</v>
      </c>
    </row>
    <row r="23" spans="2:30">
      <c r="B23" s="432"/>
      <c r="W23" s="711" t="s">
        <v>1623</v>
      </c>
      <c r="X23" s="700"/>
      <c r="Y23" s="485">
        <v>2</v>
      </c>
      <c r="Z23" s="501" t="s">
        <v>1031</v>
      </c>
      <c r="AA23" s="716" t="s">
        <v>1638</v>
      </c>
      <c r="AB23" s="670"/>
      <c r="AC23" s="437">
        <v>1</v>
      </c>
      <c r="AD23" s="438" t="s">
        <v>1031</v>
      </c>
    </row>
    <row r="24" spans="2:30">
      <c r="B24" s="432"/>
      <c r="W24" s="711" t="s">
        <v>1638</v>
      </c>
      <c r="X24" s="700"/>
      <c r="Y24" s="485">
        <v>1</v>
      </c>
      <c r="Z24" s="501" t="s">
        <v>1031</v>
      </c>
      <c r="AA24" s="716" t="s">
        <v>1648</v>
      </c>
      <c r="AB24" s="670"/>
      <c r="AC24" s="437">
        <v>1</v>
      </c>
      <c r="AD24" s="438" t="s">
        <v>1031</v>
      </c>
    </row>
    <row r="25" spans="2:30">
      <c r="B25" s="432"/>
      <c r="W25" s="505" t="s">
        <v>1629</v>
      </c>
      <c r="X25" s="506"/>
      <c r="Y25" s="485">
        <v>1</v>
      </c>
      <c r="Z25" s="501" t="s">
        <v>1031</v>
      </c>
      <c r="AA25" s="703"/>
      <c r="AB25" s="704"/>
      <c r="AC25" s="437"/>
      <c r="AD25" s="438"/>
    </row>
    <row r="26" spans="2:30">
      <c r="B26" s="432"/>
      <c r="M26" s="439"/>
      <c r="W26" s="505" t="s">
        <v>1630</v>
      </c>
      <c r="X26" s="506"/>
      <c r="Y26" s="485">
        <v>1</v>
      </c>
      <c r="Z26" s="501" t="s">
        <v>1031</v>
      </c>
      <c r="AA26" s="703"/>
      <c r="AB26" s="704"/>
      <c r="AC26" s="437"/>
      <c r="AD26" s="438"/>
    </row>
    <row r="27" spans="2:30">
      <c r="B27" s="432"/>
      <c r="W27" s="486" t="s">
        <v>1631</v>
      </c>
      <c r="X27" s="487"/>
      <c r="Y27" s="485">
        <v>1</v>
      </c>
      <c r="Z27" s="501" t="s">
        <v>1031</v>
      </c>
      <c r="AA27" s="703"/>
      <c r="AB27" s="704"/>
      <c r="AC27" s="437"/>
      <c r="AD27" s="438"/>
    </row>
    <row r="28" spans="2:30">
      <c r="B28" s="432"/>
      <c r="W28" s="486" t="s">
        <v>1632</v>
      </c>
      <c r="X28" s="487"/>
      <c r="Y28" s="485">
        <v>1</v>
      </c>
      <c r="Z28" s="501" t="s">
        <v>1031</v>
      </c>
      <c r="AA28" s="703"/>
      <c r="AB28" s="704"/>
      <c r="AC28" s="437"/>
      <c r="AD28" s="438"/>
    </row>
    <row r="29" spans="2:30">
      <c r="B29" s="432"/>
      <c r="W29" s="711" t="s">
        <v>1624</v>
      </c>
      <c r="X29" s="700"/>
      <c r="Y29" s="485">
        <v>3</v>
      </c>
      <c r="Z29" s="501" t="s">
        <v>1031</v>
      </c>
      <c r="AA29" s="703"/>
      <c r="AB29" s="704"/>
      <c r="AC29" s="437"/>
      <c r="AD29" s="438"/>
    </row>
    <row r="30" spans="2:30">
      <c r="B30" s="432"/>
      <c r="U30" s="440"/>
      <c r="W30" s="510" t="s">
        <v>1643</v>
      </c>
      <c r="X30" s="511"/>
      <c r="Y30" s="485">
        <v>1</v>
      </c>
      <c r="Z30" s="501" t="s">
        <v>1031</v>
      </c>
      <c r="AA30" s="703"/>
      <c r="AB30" s="704"/>
      <c r="AC30" s="441"/>
      <c r="AD30" s="438"/>
    </row>
    <row r="31" spans="2:30" ht="14.25">
      <c r="B31" s="432"/>
      <c r="T31" s="440"/>
      <c r="W31" s="701" t="s">
        <v>1625</v>
      </c>
      <c r="X31" s="702"/>
      <c r="Y31" s="484">
        <f>30*4</f>
        <v>120</v>
      </c>
      <c r="Z31" s="502" t="s">
        <v>7</v>
      </c>
      <c r="AA31" s="703"/>
      <c r="AB31" s="704"/>
      <c r="AC31" s="441"/>
      <c r="AD31" s="438"/>
    </row>
    <row r="32" spans="2:30">
      <c r="B32" s="432"/>
      <c r="T32" s="440"/>
      <c r="W32" s="701"/>
      <c r="X32" s="702"/>
      <c r="Y32" s="484"/>
      <c r="Z32" s="502"/>
      <c r="AA32" s="703"/>
      <c r="AB32" s="704"/>
      <c r="AC32" s="437"/>
      <c r="AD32" s="438"/>
    </row>
    <row r="33" spans="2:30" ht="14.25" customHeight="1">
      <c r="B33" s="432"/>
      <c r="W33" s="711"/>
      <c r="X33" s="700"/>
      <c r="Y33" s="485"/>
      <c r="Z33" s="501"/>
      <c r="AA33" s="703"/>
      <c r="AB33" s="704"/>
      <c r="AC33" s="437"/>
      <c r="AD33" s="438"/>
    </row>
    <row r="34" spans="2:30" ht="14.25" customHeight="1">
      <c r="B34" s="432"/>
      <c r="W34" s="712"/>
      <c r="X34" s="713"/>
      <c r="Y34" s="485"/>
      <c r="Z34" s="501"/>
      <c r="AA34" s="703"/>
      <c r="AB34" s="704"/>
      <c r="AC34" s="437"/>
      <c r="AD34" s="438"/>
    </row>
    <row r="35" spans="2:30" ht="14.25" customHeight="1">
      <c r="B35" s="432"/>
      <c r="W35" s="712"/>
      <c r="X35" s="713"/>
      <c r="Y35" s="485"/>
      <c r="Z35" s="501"/>
      <c r="AA35" s="703"/>
      <c r="AB35" s="704"/>
      <c r="AC35" s="437"/>
      <c r="AD35" s="438"/>
    </row>
    <row r="36" spans="2:30">
      <c r="B36" s="432"/>
      <c r="W36" s="701"/>
      <c r="X36" s="702"/>
      <c r="Y36" s="484"/>
      <c r="Z36" s="502"/>
      <c r="AA36" s="703"/>
      <c r="AB36" s="704"/>
      <c r="AC36" s="437"/>
      <c r="AD36" s="438"/>
    </row>
    <row r="37" spans="2:30">
      <c r="B37" s="432"/>
      <c r="W37" s="701"/>
      <c r="X37" s="702"/>
      <c r="Y37" s="484"/>
      <c r="Z37" s="502"/>
      <c r="AA37" s="703"/>
      <c r="AB37" s="704"/>
      <c r="AC37" s="437"/>
      <c r="AD37" s="438"/>
    </row>
    <row r="38" spans="2:30">
      <c r="B38" s="432"/>
      <c r="W38" s="671" t="s">
        <v>1607</v>
      </c>
      <c r="X38" s="672"/>
      <c r="Y38" s="672"/>
      <c r="Z38" s="672"/>
      <c r="AA38" s="672"/>
      <c r="AB38" s="672"/>
      <c r="AC38" s="672"/>
      <c r="AD38" s="673"/>
    </row>
    <row r="39" spans="2:30" ht="12.75" customHeight="1">
      <c r="B39" s="432"/>
      <c r="W39" s="705"/>
      <c r="X39" s="706"/>
      <c r="Y39" s="706"/>
      <c r="Z39" s="706"/>
      <c r="AA39" s="706"/>
      <c r="AB39" s="706"/>
      <c r="AC39" s="706"/>
      <c r="AD39" s="707"/>
    </row>
    <row r="40" spans="2:30" ht="12" customHeight="1">
      <c r="B40" s="432"/>
      <c r="U40" s="436"/>
      <c r="W40" s="705"/>
      <c r="X40" s="706"/>
      <c r="Y40" s="706"/>
      <c r="Z40" s="706"/>
      <c r="AA40" s="706"/>
      <c r="AB40" s="706"/>
      <c r="AC40" s="706"/>
      <c r="AD40" s="707"/>
    </row>
    <row r="41" spans="2:30" ht="12" customHeight="1">
      <c r="B41" s="432"/>
      <c r="W41" s="705"/>
      <c r="X41" s="706"/>
      <c r="Y41" s="706"/>
      <c r="Z41" s="706"/>
      <c r="AA41" s="706"/>
      <c r="AB41" s="706"/>
      <c r="AC41" s="706"/>
      <c r="AD41" s="707"/>
    </row>
    <row r="42" spans="2:30" ht="12" customHeight="1">
      <c r="B42" s="432"/>
      <c r="W42" s="705"/>
      <c r="X42" s="706"/>
      <c r="Y42" s="706"/>
      <c r="Z42" s="706"/>
      <c r="AA42" s="706"/>
      <c r="AB42" s="706"/>
      <c r="AC42" s="706"/>
      <c r="AD42" s="707"/>
    </row>
    <row r="43" spans="2:30" ht="12" customHeight="1">
      <c r="B43" s="432"/>
      <c r="V43" s="442"/>
      <c r="W43" s="708"/>
      <c r="X43" s="709"/>
      <c r="Y43" s="709"/>
      <c r="Z43" s="709"/>
      <c r="AA43" s="709"/>
      <c r="AB43" s="709"/>
      <c r="AC43" s="709"/>
      <c r="AD43" s="710"/>
    </row>
    <row r="44" spans="2:30">
      <c r="B44" s="443"/>
      <c r="C44" s="444"/>
      <c r="D44" s="444"/>
      <c r="E44" s="444"/>
      <c r="F44" s="444"/>
      <c r="G44" s="444"/>
      <c r="H44" s="444"/>
      <c r="I44" s="444"/>
      <c r="J44" s="444"/>
      <c r="K44" s="444"/>
      <c r="L44" s="444"/>
      <c r="M44" s="444"/>
      <c r="N44" s="444"/>
      <c r="O44" s="444"/>
      <c r="P44" s="444"/>
      <c r="Q44" s="444"/>
      <c r="R44" s="444"/>
      <c r="S44" s="444"/>
      <c r="T44" s="444"/>
      <c r="U44" s="444"/>
      <c r="V44" s="442"/>
      <c r="W44" s="665" t="s">
        <v>1608</v>
      </c>
      <c r="X44" s="666"/>
      <c r="Y44" s="667"/>
      <c r="Z44" s="667"/>
      <c r="AA44" s="667"/>
      <c r="AB44" s="667"/>
      <c r="AC44" s="667"/>
      <c r="AD44" s="668"/>
    </row>
    <row r="45" spans="2:30">
      <c r="B45" s="443"/>
      <c r="C45" s="444"/>
      <c r="D45" s="444"/>
      <c r="E45" s="444"/>
      <c r="F45" s="444"/>
      <c r="G45" s="444"/>
      <c r="H45" s="444"/>
      <c r="I45" s="444"/>
      <c r="J45" s="444"/>
      <c r="K45" s="444"/>
      <c r="L45" s="444"/>
      <c r="M45" s="444"/>
      <c r="N45" s="444"/>
      <c r="O45" s="444"/>
      <c r="P45" s="444"/>
      <c r="Q45" s="444"/>
      <c r="R45" s="444"/>
      <c r="S45" s="444"/>
      <c r="T45" s="444"/>
      <c r="U45" s="444"/>
      <c r="V45" s="442"/>
      <c r="W45" s="665" t="s">
        <v>1609</v>
      </c>
      <c r="X45" s="666"/>
      <c r="Y45" s="667">
        <v>1</v>
      </c>
      <c r="Z45" s="667"/>
      <c r="AA45" s="667"/>
      <c r="AB45" s="667" t="s">
        <v>1610</v>
      </c>
      <c r="AC45" s="667"/>
      <c r="AD45" s="445" t="s">
        <v>1611</v>
      </c>
    </row>
    <row r="46" spans="2:30">
      <c r="B46" s="443"/>
      <c r="C46" s="444"/>
      <c r="D46" s="444"/>
      <c r="E46" s="444"/>
      <c r="F46" s="444"/>
      <c r="G46" s="444"/>
      <c r="H46" s="444"/>
      <c r="I46" s="444"/>
      <c r="J46" s="444"/>
      <c r="K46" s="444"/>
      <c r="L46" s="444"/>
      <c r="M46" s="444"/>
      <c r="N46" s="444"/>
      <c r="O46" s="444"/>
      <c r="P46" s="444"/>
      <c r="Q46" s="444"/>
      <c r="R46" s="444"/>
      <c r="S46" s="444"/>
      <c r="T46" s="444"/>
      <c r="U46" s="444"/>
      <c r="V46" s="442"/>
      <c r="W46" s="665" t="s">
        <v>1612</v>
      </c>
      <c r="X46" s="666"/>
      <c r="Y46" s="674"/>
      <c r="Z46" s="674"/>
      <c r="AA46" s="674"/>
      <c r="AB46" s="667" t="s">
        <v>1613</v>
      </c>
      <c r="AC46" s="667"/>
      <c r="AD46" s="446"/>
    </row>
    <row r="47" spans="2:30">
      <c r="B47" s="443"/>
      <c r="C47" s="444"/>
      <c r="D47" s="444"/>
      <c r="E47" s="444"/>
      <c r="F47" s="444"/>
      <c r="G47" s="444"/>
      <c r="H47" s="444"/>
      <c r="I47" s="444"/>
      <c r="J47" s="444"/>
      <c r="K47" s="444"/>
      <c r="L47" s="444"/>
      <c r="M47" s="444"/>
      <c r="N47" s="444"/>
      <c r="O47" s="444"/>
      <c r="P47" s="444"/>
      <c r="Q47" s="444"/>
      <c r="R47" s="444"/>
      <c r="S47" s="444"/>
      <c r="T47" s="444"/>
      <c r="U47" s="444"/>
      <c r="V47" s="442"/>
      <c r="W47" s="675" t="s">
        <v>1614</v>
      </c>
      <c r="X47" s="675"/>
      <c r="Y47" s="675"/>
      <c r="Z47" s="675"/>
      <c r="AA47" s="675"/>
      <c r="AB47" s="675"/>
      <c r="AC47" s="675"/>
      <c r="AD47" s="676"/>
    </row>
    <row r="48" spans="2:30" ht="12.75" customHeight="1">
      <c r="B48" s="443"/>
      <c r="C48" s="444"/>
      <c r="D48" s="444"/>
      <c r="E48" s="444"/>
      <c r="F48" s="444"/>
      <c r="G48" s="444"/>
      <c r="H48" s="444"/>
      <c r="I48" s="444"/>
      <c r="J48" s="444"/>
      <c r="K48" s="444"/>
      <c r="L48" s="444"/>
      <c r="M48" s="444"/>
      <c r="N48" s="444"/>
      <c r="O48" s="444"/>
      <c r="P48" s="444"/>
      <c r="Q48" s="444"/>
      <c r="R48" s="444"/>
      <c r="S48" s="444"/>
      <c r="T48" s="444"/>
      <c r="U48" s="444"/>
      <c r="V48" s="442"/>
      <c r="W48" s="661" t="s">
        <v>1647</v>
      </c>
      <c r="X48" s="661"/>
      <c r="Y48" s="661"/>
      <c r="Z48" s="661"/>
      <c r="AA48" s="661"/>
      <c r="AB48" s="661"/>
      <c r="AC48" s="661"/>
      <c r="AD48" s="662"/>
    </row>
    <row r="49" spans="2:30">
      <c r="B49" s="443"/>
      <c r="C49" s="444"/>
      <c r="D49" s="444"/>
      <c r="E49" s="444"/>
      <c r="F49" s="444"/>
      <c r="G49" s="444"/>
      <c r="H49" s="444"/>
      <c r="I49" s="444"/>
      <c r="J49" s="444"/>
      <c r="K49" s="444"/>
      <c r="L49" s="444"/>
      <c r="M49" s="444"/>
      <c r="N49" s="444"/>
      <c r="O49" s="444"/>
      <c r="P49" s="444"/>
      <c r="Q49" s="444"/>
      <c r="R49" s="444"/>
      <c r="S49" s="444"/>
      <c r="T49" s="444"/>
      <c r="U49" s="444"/>
      <c r="V49" s="447"/>
      <c r="W49" s="661"/>
      <c r="X49" s="661"/>
      <c r="Y49" s="661"/>
      <c r="Z49" s="661"/>
      <c r="AA49" s="661"/>
      <c r="AB49" s="661"/>
      <c r="AC49" s="661"/>
      <c r="AD49" s="662"/>
    </row>
    <row r="50" spans="2:30">
      <c r="B50" s="443"/>
      <c r="C50" s="444"/>
      <c r="D50" s="444"/>
      <c r="E50" s="444"/>
      <c r="F50" s="444"/>
      <c r="G50" s="444"/>
      <c r="H50" s="444"/>
      <c r="I50" s="444"/>
      <c r="J50" s="444"/>
      <c r="K50" s="444"/>
      <c r="L50" s="444"/>
      <c r="M50" s="444"/>
      <c r="N50" s="444"/>
      <c r="O50" s="444"/>
      <c r="P50" s="444"/>
      <c r="Q50" s="444"/>
      <c r="R50" s="444"/>
      <c r="S50" s="444"/>
      <c r="T50" s="444"/>
      <c r="V50" s="447"/>
      <c r="W50" s="663"/>
      <c r="X50" s="663"/>
      <c r="Y50" s="663"/>
      <c r="Z50" s="663"/>
      <c r="AA50" s="663"/>
      <c r="AB50" s="663"/>
      <c r="AC50" s="663"/>
      <c r="AD50" s="664"/>
    </row>
    <row r="51" spans="2:30">
      <c r="B51" s="443"/>
      <c r="C51" s="444"/>
      <c r="D51" s="444"/>
      <c r="E51" s="444"/>
      <c r="F51" s="444"/>
      <c r="G51" s="444"/>
      <c r="H51" s="444"/>
      <c r="I51" s="444"/>
      <c r="J51" s="444"/>
      <c r="K51" s="444"/>
      <c r="L51" s="444"/>
      <c r="M51" s="444"/>
      <c r="N51" s="444"/>
      <c r="O51" s="444"/>
      <c r="P51" s="444"/>
      <c r="Q51" s="444"/>
      <c r="R51" s="444"/>
      <c r="S51" s="444"/>
      <c r="T51" s="444"/>
      <c r="U51" s="444"/>
      <c r="V51" s="442"/>
      <c r="W51" s="665" t="s">
        <v>1615</v>
      </c>
      <c r="X51" s="666"/>
      <c r="Y51" s="667" t="s">
        <v>1641</v>
      </c>
      <c r="Z51" s="667"/>
      <c r="AA51" s="667"/>
      <c r="AB51" s="667"/>
      <c r="AC51" s="667"/>
      <c r="AD51" s="668"/>
    </row>
    <row r="52" spans="2:30">
      <c r="B52" s="443"/>
      <c r="C52" s="444"/>
      <c r="D52" s="444"/>
      <c r="E52" s="444"/>
      <c r="F52" s="444"/>
      <c r="G52" s="444"/>
      <c r="H52" s="444"/>
      <c r="I52" s="444"/>
      <c r="J52" s="444"/>
      <c r="K52" s="444"/>
      <c r="L52" s="444"/>
      <c r="M52" s="444"/>
      <c r="N52" s="444"/>
      <c r="O52" s="444"/>
      <c r="P52" s="444"/>
      <c r="Q52" s="444"/>
      <c r="R52" s="444"/>
      <c r="S52" s="444"/>
      <c r="V52" s="442"/>
      <c r="W52" s="665" t="s">
        <v>1616</v>
      </c>
      <c r="X52" s="666"/>
      <c r="Y52" s="667" t="s">
        <v>1633</v>
      </c>
      <c r="Z52" s="667"/>
      <c r="AA52" s="667"/>
      <c r="AB52" s="667"/>
      <c r="AC52" s="667"/>
      <c r="AD52" s="668"/>
    </row>
    <row r="53" spans="2:30">
      <c r="B53" s="443"/>
      <c r="C53" s="444"/>
      <c r="D53" s="444"/>
      <c r="E53" s="444"/>
      <c r="F53" s="444"/>
      <c r="G53" s="444"/>
      <c r="H53" s="444"/>
      <c r="I53" s="444"/>
      <c r="J53" s="444"/>
      <c r="K53" s="444"/>
      <c r="L53" s="444"/>
      <c r="M53" s="444"/>
      <c r="N53" s="444"/>
      <c r="O53" s="444"/>
      <c r="P53" s="444"/>
      <c r="Q53" s="444"/>
      <c r="R53" s="444"/>
      <c r="S53" s="444"/>
      <c r="V53" s="442"/>
      <c r="W53" s="665" t="s">
        <v>1617</v>
      </c>
      <c r="X53" s="666"/>
      <c r="Y53" s="667" t="s">
        <v>1634</v>
      </c>
      <c r="Z53" s="667"/>
      <c r="AA53" s="667"/>
      <c r="AB53" s="667"/>
      <c r="AC53" s="667"/>
      <c r="AD53" s="668"/>
    </row>
    <row r="54" spans="2:30" ht="12.75" thickBot="1">
      <c r="B54" s="448"/>
      <c r="C54" s="449"/>
      <c r="D54" s="449"/>
      <c r="E54" s="449"/>
      <c r="F54" s="449"/>
      <c r="G54" s="449"/>
      <c r="H54" s="449"/>
      <c r="I54" s="449"/>
      <c r="J54" s="449"/>
      <c r="K54" s="449"/>
      <c r="L54" s="449"/>
      <c r="M54" s="449"/>
      <c r="N54" s="449"/>
      <c r="O54" s="449"/>
      <c r="P54" s="449"/>
      <c r="Q54" s="449"/>
      <c r="R54" s="449"/>
      <c r="S54" s="449"/>
      <c r="T54" s="450"/>
      <c r="U54" s="450"/>
      <c r="V54" s="451"/>
      <c r="W54" s="657" t="s">
        <v>1618</v>
      </c>
      <c r="X54" s="658"/>
      <c r="Y54" s="659" t="s">
        <v>1635</v>
      </c>
      <c r="Z54" s="659"/>
      <c r="AA54" s="659"/>
      <c r="AB54" s="659"/>
      <c r="AC54" s="659"/>
      <c r="AD54" s="660"/>
    </row>
  </sheetData>
  <mergeCells count="101"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topLeftCell="A7" zoomScale="70" zoomScaleNormal="70" zoomScaleSheetLayoutView="70" workbookViewId="0">
      <selection activeCell="AI38" sqref="AI38"/>
    </sheetView>
  </sheetViews>
  <sheetFormatPr defaultColWidth="9.140625" defaultRowHeight="12.75"/>
  <cols>
    <col min="1" max="1" width="1.7109375" style="405" customWidth="1"/>
    <col min="2" max="2" width="1.5703125" style="405" customWidth="1"/>
    <col min="3" max="3" width="10.7109375" style="405" customWidth="1"/>
    <col min="4" max="4" width="2.5703125" style="405" customWidth="1"/>
    <col min="5" max="21" width="9.140625" style="405"/>
    <col min="22" max="22" width="14.5703125" style="405" customWidth="1"/>
    <col min="23" max="23" width="3.140625" style="405" customWidth="1"/>
    <col min="24" max="27" width="9.140625" style="405"/>
    <col min="28" max="28" width="2.85546875" style="405" customWidth="1"/>
    <col min="29" max="31" width="4.7109375" style="405" customWidth="1"/>
    <col min="32" max="32" width="1.7109375" style="405" customWidth="1"/>
    <col min="33" max="16384" width="9.140625" style="405"/>
  </cols>
  <sheetData>
    <row r="1" spans="2:32" ht="13.5" thickBot="1"/>
    <row r="2" spans="2:32" ht="6" customHeight="1" thickBot="1">
      <c r="B2" s="406"/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/>
      <c r="AE2" s="407"/>
      <c r="AF2" s="408"/>
    </row>
    <row r="3" spans="2:32" ht="13.5" thickBot="1">
      <c r="B3" s="409"/>
      <c r="C3" s="406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407"/>
      <c r="Z3" s="407"/>
      <c r="AA3" s="407"/>
      <c r="AB3" s="407"/>
      <c r="AC3" s="407"/>
      <c r="AD3" s="407"/>
      <c r="AE3" s="408"/>
      <c r="AF3" s="410"/>
    </row>
    <row r="4" spans="2:32" ht="12.75" customHeight="1" thickTop="1">
      <c r="B4" s="409"/>
      <c r="C4" s="409"/>
      <c r="D4" s="720" t="s">
        <v>1671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411"/>
      <c r="AE4" s="410"/>
      <c r="AF4" s="410"/>
    </row>
    <row r="5" spans="2:32" ht="13.5" customHeight="1" thickBot="1">
      <c r="B5" s="409"/>
      <c r="C5" s="409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411"/>
      <c r="AE5" s="410"/>
      <c r="AF5" s="410"/>
    </row>
    <row r="6" spans="2:32" ht="12.75" customHeight="1" thickTop="1">
      <c r="B6" s="409"/>
      <c r="C6" s="409"/>
      <c r="AE6" s="410"/>
      <c r="AF6" s="410"/>
    </row>
    <row r="7" spans="2:32" ht="12.75" customHeight="1">
      <c r="B7" s="409"/>
      <c r="C7" s="409"/>
      <c r="Z7" s="412"/>
      <c r="AA7" s="412"/>
      <c r="AB7" s="412"/>
      <c r="AC7" s="413"/>
      <c r="AD7" s="413"/>
      <c r="AE7" s="410"/>
      <c r="AF7" s="410"/>
    </row>
    <row r="8" spans="2:32" ht="12.75" customHeight="1">
      <c r="B8" s="409"/>
      <c r="C8" s="409"/>
      <c r="Z8" s="412"/>
      <c r="AA8" s="412"/>
      <c r="AB8" s="412"/>
      <c r="AC8" s="413"/>
      <c r="AD8" s="413"/>
      <c r="AE8" s="410"/>
      <c r="AF8" s="410"/>
    </row>
    <row r="9" spans="2:32" ht="12.75" customHeight="1">
      <c r="B9" s="409"/>
      <c r="C9" s="409"/>
      <c r="AE9" s="410"/>
      <c r="AF9" s="410"/>
    </row>
    <row r="10" spans="2:32" ht="12.75" customHeight="1">
      <c r="B10" s="409"/>
      <c r="C10" s="409"/>
      <c r="AE10" s="410"/>
      <c r="AF10" s="410"/>
    </row>
    <row r="11" spans="2:32">
      <c r="B11" s="409"/>
      <c r="C11" s="409"/>
      <c r="AE11" s="410"/>
      <c r="AF11" s="410"/>
    </row>
    <row r="12" spans="2:32">
      <c r="B12" s="409"/>
      <c r="C12" s="409"/>
      <c r="AE12" s="410"/>
      <c r="AF12" s="410"/>
    </row>
    <row r="13" spans="2:32">
      <c r="B13" s="409"/>
      <c r="C13" s="409"/>
      <c r="AE13" s="410"/>
      <c r="AF13" s="410"/>
    </row>
    <row r="14" spans="2:32">
      <c r="B14" s="409"/>
      <c r="C14" s="409"/>
      <c r="AE14" s="410"/>
      <c r="AF14" s="410"/>
    </row>
    <row r="15" spans="2:32">
      <c r="B15" s="409"/>
      <c r="C15" s="409"/>
      <c r="E15" s="414"/>
      <c r="AE15" s="410"/>
      <c r="AF15" s="410"/>
    </row>
    <row r="16" spans="2:32">
      <c r="B16" s="409"/>
      <c r="C16" s="409"/>
      <c r="AE16" s="410"/>
      <c r="AF16" s="410"/>
    </row>
    <row r="17" spans="2:32">
      <c r="B17" s="409"/>
      <c r="C17" s="409"/>
      <c r="AE17" s="410"/>
      <c r="AF17" s="410"/>
    </row>
    <row r="18" spans="2:32">
      <c r="B18" s="409"/>
      <c r="C18" s="409"/>
      <c r="AE18" s="410"/>
      <c r="AF18" s="410"/>
    </row>
    <row r="19" spans="2:32">
      <c r="B19" s="409"/>
      <c r="C19" s="409"/>
      <c r="AE19" s="410"/>
      <c r="AF19" s="410"/>
    </row>
    <row r="20" spans="2:32">
      <c r="B20" s="409"/>
      <c r="C20" s="409"/>
      <c r="AE20" s="410"/>
      <c r="AF20" s="410"/>
    </row>
    <row r="21" spans="2:32">
      <c r="B21" s="409"/>
      <c r="C21" s="409"/>
      <c r="AE21" s="410"/>
      <c r="AF21" s="410"/>
    </row>
    <row r="22" spans="2:32">
      <c r="B22" s="409"/>
      <c r="C22" s="409"/>
      <c r="AE22" s="410"/>
      <c r="AF22" s="410"/>
    </row>
    <row r="23" spans="2:32">
      <c r="B23" s="409"/>
      <c r="C23" s="409"/>
      <c r="AE23" s="410"/>
      <c r="AF23" s="410"/>
    </row>
    <row r="24" spans="2:32">
      <c r="B24" s="409"/>
      <c r="C24" s="409"/>
      <c r="AE24" s="410"/>
      <c r="AF24" s="410"/>
    </row>
    <row r="25" spans="2:32">
      <c r="B25" s="409"/>
      <c r="C25" s="409"/>
      <c r="AE25" s="410"/>
      <c r="AF25" s="410"/>
    </row>
    <row r="26" spans="2:32">
      <c r="B26" s="409"/>
      <c r="C26" s="409"/>
      <c r="K26" s="415"/>
      <c r="AE26" s="410"/>
      <c r="AF26" s="410"/>
    </row>
    <row r="27" spans="2:32">
      <c r="B27" s="409"/>
      <c r="C27" s="409"/>
      <c r="AE27" s="410"/>
      <c r="AF27" s="410"/>
    </row>
    <row r="28" spans="2:32">
      <c r="B28" s="409"/>
      <c r="C28" s="409"/>
      <c r="AE28" s="410"/>
      <c r="AF28" s="410"/>
    </row>
    <row r="29" spans="2:32">
      <c r="B29" s="409"/>
      <c r="C29" s="409"/>
      <c r="AE29" s="410"/>
      <c r="AF29" s="410"/>
    </row>
    <row r="30" spans="2:32">
      <c r="B30" s="409"/>
      <c r="C30" s="409"/>
      <c r="AE30" s="410"/>
      <c r="AF30" s="410"/>
    </row>
    <row r="31" spans="2:32">
      <c r="B31" s="409"/>
      <c r="C31" s="409"/>
      <c r="AE31" s="410"/>
      <c r="AF31" s="410"/>
    </row>
    <row r="32" spans="2:32">
      <c r="B32" s="409"/>
      <c r="C32" s="409"/>
      <c r="AE32" s="410"/>
      <c r="AF32" s="410"/>
    </row>
    <row r="33" spans="2:32">
      <c r="B33" s="409"/>
      <c r="C33" s="409"/>
      <c r="AE33" s="410"/>
      <c r="AF33" s="410"/>
    </row>
    <row r="34" spans="2:32">
      <c r="B34" s="409"/>
      <c r="C34" s="409"/>
      <c r="AE34" s="410"/>
      <c r="AF34" s="410"/>
    </row>
    <row r="35" spans="2:32">
      <c r="B35" s="409"/>
      <c r="C35" s="409"/>
      <c r="AE35" s="410"/>
      <c r="AF35" s="410"/>
    </row>
    <row r="36" spans="2:32">
      <c r="B36" s="409"/>
      <c r="C36" s="409"/>
      <c r="AE36" s="410"/>
      <c r="AF36" s="410"/>
    </row>
    <row r="37" spans="2:32">
      <c r="B37" s="409"/>
      <c r="C37" s="409"/>
      <c r="AE37" s="410"/>
      <c r="AF37" s="410"/>
    </row>
    <row r="38" spans="2:32">
      <c r="B38" s="409"/>
      <c r="C38" s="409"/>
      <c r="AE38" s="410"/>
      <c r="AF38" s="410"/>
    </row>
    <row r="39" spans="2:32">
      <c r="B39" s="409"/>
      <c r="C39" s="409"/>
      <c r="AE39" s="410"/>
      <c r="AF39" s="410"/>
    </row>
    <row r="40" spans="2:32">
      <c r="B40" s="409"/>
      <c r="C40" s="409"/>
      <c r="AE40" s="410"/>
      <c r="AF40" s="410"/>
    </row>
    <row r="41" spans="2:32">
      <c r="B41" s="409"/>
      <c r="C41" s="409"/>
      <c r="AE41" s="410"/>
      <c r="AF41" s="410"/>
    </row>
    <row r="42" spans="2:32">
      <c r="B42" s="409"/>
      <c r="C42" s="409"/>
      <c r="AE42" s="410"/>
      <c r="AF42" s="410"/>
    </row>
    <row r="43" spans="2:32">
      <c r="B43" s="409"/>
      <c r="C43" s="409"/>
      <c r="AE43" s="410"/>
      <c r="AF43" s="410"/>
    </row>
    <row r="44" spans="2:32">
      <c r="B44" s="409"/>
      <c r="C44" s="409"/>
      <c r="AE44" s="410"/>
      <c r="AF44" s="410"/>
    </row>
    <row r="45" spans="2:32">
      <c r="B45" s="409"/>
      <c r="C45" s="409"/>
      <c r="AE45" s="410"/>
      <c r="AF45" s="410"/>
    </row>
    <row r="46" spans="2:32">
      <c r="B46" s="409"/>
      <c r="C46" s="409"/>
      <c r="AE46" s="410"/>
      <c r="AF46" s="410"/>
    </row>
    <row r="47" spans="2:32">
      <c r="B47" s="409"/>
      <c r="C47" s="409"/>
      <c r="AE47" s="410"/>
      <c r="AF47" s="410"/>
    </row>
    <row r="48" spans="2:32">
      <c r="B48" s="409"/>
      <c r="C48" s="409"/>
      <c r="AE48" s="410"/>
      <c r="AF48" s="410"/>
    </row>
    <row r="49" spans="2:32">
      <c r="B49" s="409"/>
      <c r="C49" s="409"/>
      <c r="AE49" s="410"/>
      <c r="AF49" s="410"/>
    </row>
    <row r="50" spans="2:32">
      <c r="B50" s="409"/>
      <c r="C50" s="409"/>
      <c r="AE50" s="410"/>
      <c r="AF50" s="410"/>
    </row>
    <row r="51" spans="2:32">
      <c r="B51" s="409"/>
      <c r="C51" s="409"/>
      <c r="AE51" s="410"/>
      <c r="AF51" s="410"/>
    </row>
    <row r="52" spans="2:32">
      <c r="B52" s="409"/>
      <c r="C52" s="409"/>
      <c r="AE52" s="410"/>
      <c r="AF52" s="410"/>
    </row>
    <row r="53" spans="2:32">
      <c r="B53" s="409"/>
      <c r="C53" s="409"/>
      <c r="AE53" s="410"/>
      <c r="AF53" s="410"/>
    </row>
    <row r="54" spans="2:32">
      <c r="B54" s="409"/>
      <c r="C54" s="409"/>
      <c r="AE54" s="410"/>
      <c r="AF54" s="410"/>
    </row>
    <row r="55" spans="2:32">
      <c r="B55" s="409"/>
      <c r="C55" s="409"/>
      <c r="AE55" s="410"/>
      <c r="AF55" s="410"/>
    </row>
    <row r="56" spans="2:32">
      <c r="B56" s="409"/>
      <c r="C56" s="409"/>
      <c r="AE56" s="410"/>
      <c r="AF56" s="410"/>
    </row>
    <row r="57" spans="2:32">
      <c r="B57" s="409"/>
      <c r="C57" s="409"/>
      <c r="S57" s="415"/>
      <c r="T57" s="415"/>
      <c r="U57" s="415"/>
      <c r="V57" s="416"/>
      <c r="W57" s="416"/>
      <c r="X57" s="416"/>
      <c r="Y57" s="416"/>
      <c r="Z57" s="416"/>
      <c r="AA57" s="416"/>
      <c r="AB57" s="416"/>
      <c r="AC57" s="416"/>
      <c r="AD57" s="416"/>
      <c r="AE57" s="417"/>
      <c r="AF57" s="410"/>
    </row>
    <row r="58" spans="2:32">
      <c r="B58" s="409"/>
      <c r="C58" s="409"/>
      <c r="V58" s="418"/>
      <c r="W58" s="418"/>
      <c r="X58" s="418"/>
      <c r="Y58" s="418"/>
      <c r="Z58" s="418"/>
      <c r="AA58" s="418"/>
      <c r="AB58" s="418"/>
      <c r="AC58" s="418"/>
      <c r="AD58" s="418"/>
      <c r="AE58" s="419"/>
      <c r="AF58" s="410"/>
    </row>
    <row r="59" spans="2:32">
      <c r="B59" s="409"/>
      <c r="C59" s="409"/>
      <c r="V59" s="416"/>
      <c r="W59" s="416"/>
      <c r="X59" s="416"/>
      <c r="Y59" s="416"/>
      <c r="Z59" s="416"/>
      <c r="AA59" s="416"/>
      <c r="AB59" s="416"/>
      <c r="AC59" s="416"/>
      <c r="AD59" s="416"/>
      <c r="AE59" s="417"/>
      <c r="AF59" s="410"/>
    </row>
    <row r="60" spans="2:32">
      <c r="B60" s="409"/>
      <c r="C60" s="409"/>
      <c r="V60" s="416"/>
      <c r="W60" s="416"/>
      <c r="X60" s="416"/>
      <c r="Y60" s="416"/>
      <c r="Z60" s="416"/>
      <c r="AA60" s="416"/>
      <c r="AB60" s="416"/>
      <c r="AC60" s="416"/>
      <c r="AD60" s="416"/>
      <c r="AE60" s="417"/>
      <c r="AF60" s="410"/>
    </row>
    <row r="61" spans="2:32">
      <c r="B61" s="409"/>
      <c r="C61" s="409"/>
      <c r="V61" s="416"/>
      <c r="W61" s="416"/>
      <c r="X61" s="416"/>
      <c r="Y61" s="416"/>
      <c r="Z61" s="416"/>
      <c r="AA61" s="416"/>
      <c r="AB61" s="416"/>
      <c r="AC61" s="416"/>
      <c r="AD61" s="416"/>
      <c r="AE61" s="417"/>
      <c r="AF61" s="410"/>
    </row>
    <row r="62" spans="2:32">
      <c r="B62" s="409"/>
      <c r="C62" s="409"/>
      <c r="V62" s="416"/>
      <c r="W62" s="420"/>
      <c r="X62" s="416"/>
      <c r="Y62" s="416"/>
      <c r="Z62" s="416"/>
      <c r="AA62" s="416"/>
      <c r="AB62" s="416"/>
      <c r="AC62" s="416"/>
      <c r="AD62" s="416"/>
      <c r="AE62" s="417"/>
      <c r="AF62" s="410"/>
    </row>
    <row r="63" spans="2:32">
      <c r="B63" s="409"/>
      <c r="C63" s="409"/>
      <c r="V63" s="416"/>
      <c r="W63" s="420"/>
      <c r="X63" s="416"/>
      <c r="Y63" s="416"/>
      <c r="Z63" s="416"/>
      <c r="AA63" s="416"/>
      <c r="AB63" s="416"/>
      <c r="AC63" s="416"/>
      <c r="AD63" s="416"/>
      <c r="AE63" s="417"/>
      <c r="AF63" s="410"/>
    </row>
    <row r="64" spans="2:32">
      <c r="B64" s="409"/>
      <c r="C64" s="409"/>
      <c r="V64" s="416"/>
      <c r="W64" s="420"/>
      <c r="X64" s="416"/>
      <c r="Y64" s="416"/>
      <c r="Z64" s="416"/>
      <c r="AA64" s="416"/>
      <c r="AB64" s="416"/>
      <c r="AC64" s="416"/>
      <c r="AD64" s="416"/>
      <c r="AE64" s="417"/>
      <c r="AF64" s="410"/>
    </row>
    <row r="65" spans="2:32">
      <c r="B65" s="409"/>
      <c r="C65" s="409"/>
      <c r="V65" s="416"/>
      <c r="W65" s="420"/>
      <c r="X65" s="416"/>
      <c r="Y65" s="416"/>
      <c r="Z65" s="416"/>
      <c r="AA65" s="416"/>
      <c r="AB65" s="416"/>
      <c r="AC65" s="416"/>
      <c r="AD65" s="416"/>
      <c r="AE65" s="417"/>
      <c r="AF65" s="410"/>
    </row>
    <row r="66" spans="2:32" ht="13.5" thickBot="1">
      <c r="B66" s="409"/>
      <c r="C66" s="421"/>
      <c r="D66" s="456"/>
      <c r="E66" s="456"/>
      <c r="F66" s="456"/>
      <c r="G66" s="456"/>
      <c r="H66" s="456"/>
      <c r="I66" s="456"/>
      <c r="J66" s="456"/>
      <c r="K66" s="456"/>
      <c r="L66" s="456"/>
      <c r="M66" s="456"/>
      <c r="N66" s="456"/>
      <c r="O66" s="456"/>
      <c r="P66" s="456"/>
      <c r="Q66" s="456"/>
      <c r="R66" s="456"/>
      <c r="S66" s="456"/>
      <c r="T66" s="456"/>
      <c r="U66" s="456"/>
      <c r="V66" s="457"/>
      <c r="W66" s="458"/>
      <c r="X66" s="457"/>
      <c r="Y66" s="457"/>
      <c r="Z66" s="457"/>
      <c r="AA66" s="457"/>
      <c r="AB66" s="457"/>
      <c r="AC66" s="457"/>
      <c r="AD66" s="457"/>
      <c r="AE66" s="422"/>
      <c r="AF66" s="410"/>
    </row>
    <row r="67" spans="2:32" ht="6" customHeight="1" thickBot="1">
      <c r="B67" s="421"/>
      <c r="C67" s="456"/>
      <c r="D67" s="456"/>
      <c r="E67" s="456"/>
      <c r="F67" s="456"/>
      <c r="G67" s="456"/>
      <c r="H67" s="456"/>
      <c r="I67" s="456"/>
      <c r="J67" s="456"/>
      <c r="K67" s="456"/>
      <c r="L67" s="456"/>
      <c r="M67" s="456"/>
      <c r="N67" s="456"/>
      <c r="O67" s="456"/>
      <c r="P67" s="456"/>
      <c r="Q67" s="456"/>
      <c r="R67" s="456"/>
      <c r="S67" s="456"/>
      <c r="T67" s="456"/>
      <c r="U67" s="456"/>
      <c r="V67" s="456"/>
      <c r="W67" s="456"/>
      <c r="X67" s="456"/>
      <c r="Y67" s="456"/>
      <c r="Z67" s="456"/>
      <c r="AA67" s="456"/>
      <c r="AB67" s="456"/>
      <c r="AC67" s="456"/>
      <c r="AD67" s="456"/>
      <c r="AE67" s="456"/>
      <c r="AF67" s="423"/>
    </row>
    <row r="74" spans="2:32">
      <c r="N74" s="424"/>
    </row>
    <row r="75" spans="2:32" ht="15" customHeight="1">
      <c r="F75" s="425"/>
      <c r="N75" s="424"/>
    </row>
    <row r="76" spans="2:32" ht="15" customHeight="1">
      <c r="F76" s="425"/>
      <c r="N76" s="424"/>
    </row>
    <row r="77" spans="2:32" ht="15" customHeight="1">
      <c r="F77" s="425"/>
      <c r="N77" s="424"/>
    </row>
    <row r="78" spans="2:32" ht="15" customHeight="1">
      <c r="F78" s="425"/>
      <c r="N78" s="424"/>
    </row>
    <row r="79" spans="2:32" ht="15" customHeight="1">
      <c r="F79" s="425"/>
      <c r="N79" s="424"/>
    </row>
    <row r="80" spans="2:32" ht="15" customHeight="1">
      <c r="F80" s="425"/>
      <c r="N80" s="424"/>
    </row>
    <row r="81" spans="6:14" ht="15" customHeight="1">
      <c r="F81" s="425"/>
      <c r="N81" s="424"/>
    </row>
    <row r="82" spans="6:14" ht="15" customHeight="1">
      <c r="F82" s="425"/>
      <c r="N82" s="424"/>
    </row>
    <row r="83" spans="6:14" ht="15" customHeight="1">
      <c r="F83" s="425"/>
      <c r="N83" s="424"/>
    </row>
    <row r="84" spans="6:14" ht="15" customHeight="1">
      <c r="F84" s="425"/>
      <c r="N84" s="424"/>
    </row>
    <row r="85" spans="6:14" ht="15" customHeight="1">
      <c r="F85" s="425"/>
      <c r="N85" s="424"/>
    </row>
    <row r="86" spans="6:14" ht="15" customHeight="1">
      <c r="F86" s="425"/>
      <c r="N86" s="424"/>
    </row>
    <row r="87" spans="6:14" ht="15" customHeight="1">
      <c r="F87" s="425"/>
      <c r="N87" s="424"/>
    </row>
    <row r="88" spans="6:14" ht="15" customHeight="1">
      <c r="F88" s="425"/>
      <c r="N88" s="424"/>
    </row>
    <row r="89" spans="6:14" ht="15" customHeight="1">
      <c r="F89" s="425"/>
      <c r="N89" s="424"/>
    </row>
    <row r="90" spans="6:14" ht="15" customHeight="1">
      <c r="F90" s="425"/>
      <c r="N90" s="424"/>
    </row>
    <row r="91" spans="6:14" ht="15" customHeight="1">
      <c r="F91" s="425"/>
      <c r="N91" s="424"/>
    </row>
    <row r="92" spans="6:14" ht="15" customHeight="1">
      <c r="F92" s="425"/>
      <c r="N92" s="424"/>
    </row>
    <row r="93" spans="6:14" ht="15" customHeight="1">
      <c r="F93" s="425"/>
      <c r="N93" s="424"/>
    </row>
    <row r="94" spans="6:14" ht="15" customHeight="1">
      <c r="F94" s="425"/>
      <c r="N94" s="424"/>
    </row>
    <row r="95" spans="6:14" ht="15" customHeight="1">
      <c r="F95" s="425"/>
      <c r="N95" s="424"/>
    </row>
    <row r="96" spans="6:14" ht="15" customHeight="1">
      <c r="F96" s="425"/>
      <c r="N96" s="424"/>
    </row>
    <row r="97" spans="6:6" ht="15" customHeight="1">
      <c r="F97" s="425"/>
    </row>
    <row r="98" spans="6:6" ht="15" customHeight="1">
      <c r="F98" s="425"/>
    </row>
    <row r="99" spans="6:6" ht="15" customHeight="1">
      <c r="F99" s="425"/>
    </row>
    <row r="100" spans="6:6" ht="15" customHeight="1">
      <c r="F100" s="425"/>
    </row>
    <row r="101" spans="6:6" ht="15" customHeight="1">
      <c r="F101" s="425"/>
    </row>
    <row r="102" spans="6:6" ht="15" customHeight="1">
      <c r="F102" s="425"/>
    </row>
    <row r="103" spans="6:6" ht="15" customHeight="1">
      <c r="F103" s="425"/>
    </row>
    <row r="104" spans="6:6" ht="15" customHeight="1">
      <c r="F104" s="425"/>
    </row>
    <row r="105" spans="6:6" ht="15" customHeight="1">
      <c r="F105" s="425"/>
    </row>
    <row r="106" spans="6:6" ht="15" customHeight="1">
      <c r="F106" s="425"/>
    </row>
    <row r="107" spans="6:6" ht="15" customHeight="1">
      <c r="F107" s="425"/>
    </row>
    <row r="108" spans="6:6" ht="15" customHeight="1">
      <c r="F108" s="425"/>
    </row>
    <row r="109" spans="6:6" ht="15" customHeight="1">
      <c r="F109" s="425"/>
    </row>
    <row r="110" spans="6:6" ht="15" customHeight="1">
      <c r="F110" s="425"/>
    </row>
    <row r="111" spans="6:6" ht="15" customHeight="1">
      <c r="F111" s="425"/>
    </row>
    <row r="112" spans="6:6" ht="15" customHeight="1">
      <c r="F112" s="425"/>
    </row>
    <row r="113" spans="6:6" ht="15" customHeight="1">
      <c r="F113" s="425"/>
    </row>
    <row r="114" spans="6:6" ht="15" customHeight="1">
      <c r="F114" s="425"/>
    </row>
    <row r="115" spans="6:6" ht="15" customHeight="1">
      <c r="F115" s="425"/>
    </row>
    <row r="116" spans="6:6" ht="15" customHeight="1">
      <c r="F116" s="425"/>
    </row>
    <row r="117" spans="6:6" ht="15" customHeight="1">
      <c r="F117" s="425"/>
    </row>
    <row r="118" spans="6:6" ht="15" customHeight="1">
      <c r="F118" s="425"/>
    </row>
    <row r="119" spans="6:6" ht="15" customHeight="1">
      <c r="F119" s="425"/>
    </row>
    <row r="120" spans="6:6" ht="15" customHeight="1">
      <c r="F120" s="425"/>
    </row>
    <row r="121" spans="6:6">
      <c r="F121" s="425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topLeftCell="A10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59" customWidth="1"/>
    <col min="2" max="2" width="1.5703125" style="459" customWidth="1"/>
    <col min="3" max="3" width="10.7109375" style="459" customWidth="1"/>
    <col min="4" max="4" width="2.5703125" style="459" customWidth="1"/>
    <col min="5" max="18" width="9.140625" style="459"/>
    <col min="19" max="19" width="14.5703125" style="459" customWidth="1"/>
    <col min="20" max="20" width="3.140625" style="459" customWidth="1"/>
    <col min="21" max="26" width="9.140625" style="459"/>
    <col min="27" max="27" width="2.85546875" style="459" customWidth="1"/>
    <col min="28" max="30" width="4.7109375" style="459" customWidth="1"/>
    <col min="31" max="31" width="1.7109375" style="459" customWidth="1"/>
    <col min="32" max="16384" width="9.140625" style="459"/>
  </cols>
  <sheetData>
    <row r="1" spans="3:30" ht="12.75" customHeight="1" thickBot="1"/>
    <row r="2" spans="3:30" ht="12.75" customHeight="1" thickBot="1">
      <c r="C2" s="460"/>
      <c r="D2" s="461"/>
      <c r="E2" s="461"/>
      <c r="F2" s="461"/>
      <c r="G2" s="461"/>
      <c r="H2" s="461"/>
      <c r="I2" s="461"/>
      <c r="J2" s="461"/>
      <c r="K2" s="461"/>
      <c r="L2" s="461"/>
      <c r="M2" s="461"/>
      <c r="N2" s="461"/>
      <c r="O2" s="461"/>
      <c r="P2" s="461"/>
      <c r="Q2" s="461"/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462"/>
    </row>
    <row r="3" spans="3:30" ht="12.75" customHeight="1">
      <c r="C3" s="463"/>
      <c r="D3" s="726" t="s">
        <v>1651</v>
      </c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727"/>
      <c r="R3" s="727"/>
      <c r="S3" s="727"/>
      <c r="T3" s="727"/>
      <c r="U3" s="727"/>
      <c r="V3" s="727"/>
      <c r="W3" s="727"/>
      <c r="X3" s="727"/>
      <c r="Y3" s="727"/>
      <c r="Z3" s="727"/>
      <c r="AA3" s="727"/>
      <c r="AB3" s="728"/>
      <c r="AC3" s="464"/>
      <c r="AD3" s="465"/>
    </row>
    <row r="4" spans="3:30" ht="12.75" customHeight="1" thickBot="1">
      <c r="C4" s="463"/>
      <c r="D4" s="729"/>
      <c r="E4" s="730"/>
      <c r="F4" s="730"/>
      <c r="G4" s="730"/>
      <c r="H4" s="730"/>
      <c r="I4" s="730"/>
      <c r="J4" s="730"/>
      <c r="K4" s="730"/>
      <c r="L4" s="730"/>
      <c r="M4" s="730"/>
      <c r="N4" s="730"/>
      <c r="O4" s="730"/>
      <c r="P4" s="730"/>
      <c r="Q4" s="730"/>
      <c r="R4" s="730"/>
      <c r="S4" s="730"/>
      <c r="T4" s="730"/>
      <c r="U4" s="730"/>
      <c r="V4" s="730"/>
      <c r="W4" s="730"/>
      <c r="X4" s="730"/>
      <c r="Y4" s="730"/>
      <c r="Z4" s="730"/>
      <c r="AA4" s="730"/>
      <c r="AB4" s="731"/>
      <c r="AC4" s="464"/>
      <c r="AD4" s="465"/>
    </row>
    <row r="5" spans="3:30" ht="12.75" customHeight="1">
      <c r="C5" s="463"/>
      <c r="D5" s="466"/>
      <c r="E5" s="466"/>
      <c r="F5" s="466"/>
      <c r="G5" s="466"/>
      <c r="H5" s="466"/>
      <c r="I5" s="466"/>
      <c r="J5" s="466"/>
      <c r="K5" s="466"/>
      <c r="L5" s="466"/>
      <c r="M5" s="466"/>
      <c r="N5" s="466"/>
      <c r="O5" s="466"/>
      <c r="P5" s="466"/>
      <c r="Q5" s="466"/>
      <c r="R5" s="466"/>
      <c r="S5" s="466"/>
      <c r="T5" s="466"/>
      <c r="U5" s="466"/>
      <c r="V5" s="466"/>
      <c r="W5" s="466"/>
      <c r="X5" s="466"/>
      <c r="Y5" s="466"/>
      <c r="Z5" s="466"/>
      <c r="AA5" s="466"/>
      <c r="AB5" s="466"/>
      <c r="AC5" s="466"/>
      <c r="AD5" s="465"/>
    </row>
    <row r="6" spans="3:30" ht="12.75" customHeight="1">
      <c r="C6" s="463"/>
      <c r="D6" s="466"/>
      <c r="E6" s="466"/>
      <c r="F6" s="466"/>
      <c r="G6" s="466"/>
      <c r="H6" s="466"/>
      <c r="I6" s="466"/>
      <c r="J6" s="466"/>
      <c r="K6" s="466"/>
      <c r="L6" s="466"/>
      <c r="M6" s="466"/>
      <c r="N6" s="466"/>
      <c r="O6" s="466"/>
      <c r="P6" s="466"/>
      <c r="Q6" s="466"/>
      <c r="R6" s="466"/>
      <c r="S6" s="466"/>
      <c r="T6" s="466"/>
      <c r="U6" s="466"/>
      <c r="V6" s="466"/>
      <c r="W6" s="466"/>
      <c r="X6" s="466"/>
      <c r="Y6" s="466"/>
      <c r="Z6" s="466"/>
      <c r="AA6" s="466"/>
      <c r="AB6" s="466"/>
      <c r="AC6" s="466"/>
      <c r="AD6" s="465"/>
    </row>
    <row r="7" spans="3:30" ht="12.75" customHeight="1">
      <c r="C7" s="463"/>
      <c r="D7" s="466"/>
      <c r="E7" s="466"/>
      <c r="F7" s="466"/>
      <c r="G7" s="466"/>
      <c r="H7" s="466"/>
      <c r="I7" s="466"/>
      <c r="J7" s="466"/>
      <c r="K7" s="466"/>
      <c r="L7" s="466"/>
      <c r="M7" s="466"/>
      <c r="N7" s="466"/>
      <c r="O7" s="466"/>
      <c r="P7" s="466"/>
      <c r="Q7" s="466"/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5"/>
    </row>
    <row r="8" spans="3:30" ht="12.75" customHeight="1">
      <c r="C8" s="463"/>
      <c r="D8" s="466"/>
      <c r="E8" s="466"/>
      <c r="F8" s="466"/>
      <c r="G8" s="466"/>
      <c r="H8" s="466"/>
      <c r="I8" s="466"/>
      <c r="J8" s="466"/>
      <c r="K8" s="466"/>
      <c r="L8" s="466"/>
      <c r="M8" s="466"/>
      <c r="N8" s="466"/>
      <c r="O8" s="466"/>
      <c r="P8" s="466"/>
      <c r="Q8" s="466"/>
      <c r="R8" s="466"/>
      <c r="S8" s="466"/>
      <c r="T8" s="466"/>
      <c r="U8" s="466"/>
      <c r="V8" s="467"/>
      <c r="W8" s="467"/>
      <c r="X8" s="467"/>
      <c r="Y8" s="467"/>
      <c r="Z8" s="467"/>
      <c r="AA8" s="467"/>
      <c r="AB8" s="468"/>
      <c r="AC8" s="468"/>
      <c r="AD8" s="465"/>
    </row>
    <row r="9" spans="3:30" ht="12.75" customHeight="1">
      <c r="C9" s="463"/>
      <c r="D9" s="466"/>
      <c r="E9" s="466"/>
      <c r="F9" s="466"/>
      <c r="G9" s="466"/>
      <c r="H9" s="466"/>
      <c r="I9" s="466"/>
      <c r="J9" s="466"/>
      <c r="K9" s="466"/>
      <c r="L9" s="466"/>
      <c r="M9" s="466"/>
      <c r="N9" s="466"/>
      <c r="O9" s="466"/>
      <c r="P9" s="466"/>
      <c r="Q9" s="466"/>
      <c r="R9" s="466"/>
      <c r="S9" s="466"/>
      <c r="T9" s="466"/>
      <c r="U9" s="466"/>
      <c r="V9" s="467"/>
      <c r="W9" s="467"/>
      <c r="X9" s="467"/>
      <c r="Y9" s="467"/>
      <c r="Z9" s="467"/>
      <c r="AA9" s="467"/>
      <c r="AB9" s="468"/>
      <c r="AC9" s="468"/>
      <c r="AD9" s="465"/>
    </row>
    <row r="10" spans="3:30" ht="12.75" customHeight="1">
      <c r="C10" s="463"/>
      <c r="D10" s="466"/>
      <c r="E10" s="466"/>
      <c r="F10" s="466"/>
      <c r="G10" s="466"/>
      <c r="H10" s="466"/>
      <c r="I10" s="466"/>
      <c r="J10" s="466"/>
      <c r="K10" s="466"/>
      <c r="L10" s="466"/>
      <c r="M10" s="466"/>
      <c r="N10" s="466"/>
      <c r="O10" s="466"/>
      <c r="P10" s="466"/>
      <c r="Q10" s="466"/>
      <c r="R10" s="466"/>
      <c r="S10" s="466"/>
      <c r="T10" s="466"/>
      <c r="U10" s="466"/>
      <c r="V10" s="467"/>
      <c r="W10" s="467"/>
      <c r="X10" s="467"/>
      <c r="Y10" s="467"/>
      <c r="Z10" s="467"/>
      <c r="AA10" s="466"/>
      <c r="AB10" s="466"/>
      <c r="AC10" s="466"/>
      <c r="AD10" s="465"/>
    </row>
    <row r="11" spans="3:30" ht="12.75" customHeight="1">
      <c r="C11" s="463"/>
      <c r="D11" s="466"/>
      <c r="E11" s="466"/>
      <c r="F11" s="466"/>
      <c r="G11" s="466"/>
      <c r="H11" s="466"/>
      <c r="I11" s="466"/>
      <c r="J11" s="466"/>
      <c r="K11" s="466"/>
      <c r="L11" s="466"/>
      <c r="M11" s="466"/>
      <c r="N11" s="466"/>
      <c r="O11" s="466"/>
      <c r="P11" s="466"/>
      <c r="Q11" s="466"/>
      <c r="R11" s="466"/>
      <c r="S11" s="466"/>
      <c r="T11" s="466"/>
      <c r="U11" s="466"/>
      <c r="V11" s="467"/>
      <c r="W11" s="467"/>
      <c r="X11" s="467"/>
      <c r="Y11" s="467"/>
      <c r="Z11" s="467"/>
      <c r="AA11" s="466"/>
      <c r="AB11" s="466"/>
      <c r="AC11" s="466"/>
      <c r="AD11" s="465"/>
    </row>
    <row r="12" spans="3:30" ht="12.75" customHeight="1">
      <c r="C12" s="463"/>
      <c r="D12" s="466"/>
      <c r="E12" s="466"/>
      <c r="F12" s="466"/>
      <c r="G12" s="466"/>
      <c r="H12" s="466"/>
      <c r="I12" s="466"/>
      <c r="J12" s="466"/>
      <c r="K12" s="466"/>
      <c r="L12" s="466"/>
      <c r="M12" s="466"/>
      <c r="N12" s="466"/>
      <c r="O12" s="466"/>
      <c r="P12" s="466"/>
      <c r="Q12" s="466"/>
      <c r="R12" s="466"/>
      <c r="S12" s="466"/>
      <c r="T12" s="466"/>
      <c r="U12" s="466"/>
      <c r="V12" s="467"/>
      <c r="W12" s="467"/>
      <c r="X12" s="467"/>
      <c r="Y12" s="467"/>
      <c r="Z12" s="467"/>
      <c r="AA12" s="466"/>
      <c r="AB12" s="466"/>
      <c r="AC12" s="466"/>
      <c r="AD12" s="465"/>
    </row>
    <row r="13" spans="3:30" ht="12.75" customHeight="1">
      <c r="C13" s="463"/>
      <c r="D13" s="466"/>
      <c r="E13" s="466"/>
      <c r="F13" s="466"/>
      <c r="G13" s="466"/>
      <c r="H13" s="466"/>
      <c r="I13" s="466"/>
      <c r="J13" s="466"/>
      <c r="K13" s="466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7"/>
      <c r="W13" s="467"/>
      <c r="X13" s="467"/>
      <c r="Y13" s="467"/>
      <c r="Z13" s="467"/>
      <c r="AA13" s="466"/>
      <c r="AB13" s="466"/>
      <c r="AC13" s="466"/>
      <c r="AD13" s="465"/>
    </row>
    <row r="14" spans="3:30" ht="12.75" customHeight="1">
      <c r="C14" s="463"/>
      <c r="D14" s="466"/>
      <c r="E14" s="466"/>
      <c r="F14" s="466"/>
      <c r="G14" s="466"/>
      <c r="H14" s="466"/>
      <c r="I14" s="466"/>
      <c r="J14" s="466"/>
      <c r="K14" s="466"/>
      <c r="L14" s="466"/>
      <c r="M14" s="466"/>
      <c r="N14" s="466"/>
      <c r="O14" s="466"/>
      <c r="P14" s="466"/>
      <c r="Q14" s="466"/>
      <c r="R14" s="466"/>
      <c r="S14" s="466"/>
      <c r="T14" s="466"/>
      <c r="U14" s="466"/>
      <c r="V14" s="467"/>
      <c r="W14" s="467"/>
      <c r="X14" s="467"/>
      <c r="Y14" s="467"/>
      <c r="Z14" s="467"/>
      <c r="AA14" s="466"/>
      <c r="AB14" s="466"/>
      <c r="AC14" s="466"/>
      <c r="AD14" s="465"/>
    </row>
    <row r="15" spans="3:30" ht="12.75" customHeight="1">
      <c r="C15" s="463"/>
      <c r="D15" s="466"/>
      <c r="E15" s="466"/>
      <c r="F15" s="466"/>
      <c r="G15" s="466"/>
      <c r="H15" s="466"/>
      <c r="I15" s="466"/>
      <c r="J15" s="466"/>
      <c r="K15" s="466"/>
      <c r="L15" s="466"/>
      <c r="M15" s="466"/>
      <c r="N15" s="466"/>
      <c r="O15" s="466"/>
      <c r="P15" s="466"/>
      <c r="Q15" s="466"/>
      <c r="R15" s="466"/>
      <c r="S15" s="466"/>
      <c r="T15" s="466"/>
      <c r="U15" s="466"/>
      <c r="V15" s="467"/>
      <c r="W15" s="467"/>
      <c r="X15" s="467"/>
      <c r="Y15" s="467"/>
      <c r="Z15" s="467"/>
      <c r="AA15" s="466"/>
      <c r="AB15" s="466"/>
      <c r="AC15" s="466"/>
      <c r="AD15" s="465"/>
    </row>
    <row r="16" spans="3:30" ht="12.75" customHeight="1">
      <c r="C16" s="463"/>
      <c r="D16" s="466"/>
      <c r="E16" s="466"/>
      <c r="F16" s="466"/>
      <c r="G16" s="466"/>
      <c r="H16" s="466"/>
      <c r="I16" s="466"/>
      <c r="J16" s="466"/>
      <c r="K16" s="466"/>
      <c r="L16" s="466"/>
      <c r="M16" s="466"/>
      <c r="N16" s="466"/>
      <c r="O16" s="466"/>
      <c r="P16" s="466"/>
      <c r="Q16" s="466"/>
      <c r="R16" s="466"/>
      <c r="S16" s="466"/>
      <c r="T16" s="466"/>
      <c r="U16" s="466"/>
      <c r="V16" s="467"/>
      <c r="W16" s="467"/>
      <c r="X16" s="467"/>
      <c r="Y16" s="467"/>
      <c r="Z16" s="467"/>
      <c r="AA16" s="466"/>
      <c r="AB16" s="466"/>
      <c r="AC16" s="466"/>
      <c r="AD16" s="465"/>
    </row>
    <row r="17" spans="3:30" ht="12.75" customHeight="1">
      <c r="C17" s="463"/>
      <c r="D17" s="466"/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66"/>
      <c r="V17" s="467"/>
      <c r="W17" s="467"/>
      <c r="X17" s="467"/>
      <c r="Y17" s="467"/>
      <c r="Z17" s="467"/>
      <c r="AA17" s="466"/>
      <c r="AB17" s="466"/>
      <c r="AC17" s="466"/>
      <c r="AD17" s="465"/>
    </row>
    <row r="18" spans="3:30" ht="12.75" customHeight="1">
      <c r="C18" s="463"/>
      <c r="D18" s="466"/>
      <c r="E18" s="466"/>
      <c r="F18" s="466"/>
      <c r="G18" s="466"/>
      <c r="H18" s="466"/>
      <c r="I18" s="466"/>
      <c r="J18" s="466"/>
      <c r="K18" s="466"/>
      <c r="L18" s="466"/>
      <c r="M18" s="466"/>
      <c r="N18" s="466"/>
      <c r="O18" s="466"/>
      <c r="P18" s="466"/>
      <c r="Q18" s="466"/>
      <c r="R18" s="466"/>
      <c r="S18" s="466"/>
      <c r="T18" s="466"/>
      <c r="U18" s="466"/>
      <c r="V18" s="467"/>
      <c r="W18" s="467"/>
      <c r="X18" s="467"/>
      <c r="Y18" s="467"/>
      <c r="Z18" s="467"/>
      <c r="AA18" s="466"/>
      <c r="AB18" s="466"/>
      <c r="AC18" s="466"/>
      <c r="AD18" s="465"/>
    </row>
    <row r="19" spans="3:30" ht="12.75" customHeight="1">
      <c r="C19" s="463"/>
      <c r="D19" s="466"/>
      <c r="E19" s="466"/>
      <c r="F19" s="466"/>
      <c r="G19" s="466"/>
      <c r="H19" s="466"/>
      <c r="I19" s="466"/>
      <c r="J19" s="466"/>
      <c r="K19" s="466"/>
      <c r="L19" s="466"/>
      <c r="M19" s="466"/>
      <c r="N19" s="466"/>
      <c r="O19" s="466"/>
      <c r="P19" s="466"/>
      <c r="Q19" s="466"/>
      <c r="R19" s="466"/>
      <c r="S19" s="466"/>
      <c r="T19" s="466"/>
      <c r="U19" s="466"/>
      <c r="V19" s="467"/>
      <c r="W19" s="467"/>
      <c r="X19" s="467"/>
      <c r="Y19" s="467"/>
      <c r="Z19" s="467"/>
      <c r="AA19" s="466"/>
      <c r="AB19" s="466"/>
      <c r="AC19" s="466"/>
      <c r="AD19" s="465"/>
    </row>
    <row r="20" spans="3:30" ht="12.75" customHeight="1">
      <c r="C20" s="463"/>
      <c r="D20" s="466"/>
      <c r="E20" s="466"/>
      <c r="F20" s="466"/>
      <c r="G20" s="469"/>
      <c r="H20" s="466"/>
      <c r="I20" s="466"/>
      <c r="J20" s="466"/>
      <c r="K20" s="466"/>
      <c r="L20" s="466"/>
      <c r="M20" s="466"/>
      <c r="N20" s="466"/>
      <c r="O20" s="466"/>
      <c r="P20" s="466"/>
      <c r="Q20" s="466"/>
      <c r="R20" s="466"/>
      <c r="S20" s="466"/>
      <c r="T20" s="466"/>
      <c r="U20" s="466"/>
      <c r="V20" s="467"/>
      <c r="W20" s="467"/>
      <c r="X20" s="467"/>
      <c r="Y20" s="467"/>
      <c r="Z20" s="467"/>
      <c r="AA20" s="466"/>
      <c r="AB20" s="466"/>
      <c r="AC20" s="466"/>
      <c r="AD20" s="465"/>
    </row>
    <row r="21" spans="3:30" ht="12.75" customHeight="1">
      <c r="C21" s="463"/>
      <c r="D21" s="466"/>
      <c r="E21" s="466"/>
      <c r="F21" s="466"/>
      <c r="G21" s="466"/>
      <c r="H21" s="466"/>
      <c r="I21" s="466"/>
      <c r="J21" s="466"/>
      <c r="K21" s="466"/>
      <c r="L21" s="466"/>
      <c r="M21" s="466"/>
      <c r="N21" s="466"/>
      <c r="O21" s="466"/>
      <c r="P21" s="466"/>
      <c r="Q21" s="466"/>
      <c r="R21" s="466"/>
      <c r="S21" s="466"/>
      <c r="T21" s="466"/>
      <c r="U21" s="466"/>
      <c r="V21" s="467"/>
      <c r="W21" s="467"/>
      <c r="X21" s="467"/>
      <c r="Y21" s="467"/>
      <c r="Z21" s="467"/>
      <c r="AA21" s="466"/>
      <c r="AB21" s="466"/>
      <c r="AC21" s="466"/>
      <c r="AD21" s="465"/>
    </row>
    <row r="22" spans="3:30" ht="12.75" customHeight="1">
      <c r="C22" s="463"/>
      <c r="D22" s="466"/>
      <c r="E22" s="466"/>
      <c r="F22" s="466"/>
      <c r="G22" s="466"/>
      <c r="H22" s="466"/>
      <c r="I22" s="466"/>
      <c r="J22" s="466"/>
      <c r="K22" s="466"/>
      <c r="L22" s="466"/>
      <c r="M22" s="466"/>
      <c r="N22" s="466"/>
      <c r="O22" s="466"/>
      <c r="P22" s="466"/>
      <c r="Q22" s="466"/>
      <c r="R22" s="466"/>
      <c r="S22" s="466"/>
      <c r="T22" s="466"/>
      <c r="U22" s="466"/>
      <c r="V22" s="467"/>
      <c r="W22" s="467"/>
      <c r="X22" s="467"/>
      <c r="Y22" s="467"/>
      <c r="Z22" s="467"/>
      <c r="AA22" s="466"/>
      <c r="AB22" s="466"/>
      <c r="AC22" s="466"/>
      <c r="AD22" s="465"/>
    </row>
    <row r="23" spans="3:30" ht="12.75" customHeight="1">
      <c r="C23" s="463"/>
      <c r="D23" s="466"/>
      <c r="E23" s="466"/>
      <c r="F23" s="466"/>
      <c r="G23" s="466"/>
      <c r="H23" s="466"/>
      <c r="I23" s="466"/>
      <c r="J23" s="466"/>
      <c r="K23" s="466"/>
      <c r="L23" s="466"/>
      <c r="M23" s="466"/>
      <c r="N23" s="466"/>
      <c r="O23" s="466"/>
      <c r="P23" s="466"/>
      <c r="Q23" s="466"/>
      <c r="R23" s="466"/>
      <c r="S23" s="466"/>
      <c r="T23" s="466"/>
      <c r="U23" s="466"/>
      <c r="V23" s="467"/>
      <c r="W23" s="467"/>
      <c r="X23" s="467"/>
      <c r="Y23" s="467"/>
      <c r="Z23" s="467"/>
      <c r="AA23" s="466"/>
      <c r="AB23" s="466"/>
      <c r="AC23" s="466"/>
      <c r="AD23" s="465"/>
    </row>
    <row r="24" spans="3:30" ht="12.75" customHeight="1">
      <c r="C24" s="463"/>
      <c r="D24" s="466"/>
      <c r="E24" s="466"/>
      <c r="F24" s="466"/>
      <c r="G24" s="466"/>
      <c r="H24" s="466"/>
      <c r="I24" s="466"/>
      <c r="J24" s="466"/>
      <c r="K24" s="466"/>
      <c r="L24" s="466"/>
      <c r="M24" s="466"/>
      <c r="N24" s="466"/>
      <c r="O24" s="466"/>
      <c r="P24" s="466"/>
      <c r="Q24" s="466"/>
      <c r="R24" s="466"/>
      <c r="S24" s="466"/>
      <c r="T24" s="466"/>
      <c r="U24" s="466"/>
      <c r="V24" s="467"/>
      <c r="W24" s="467"/>
      <c r="X24" s="467"/>
      <c r="Y24" s="467"/>
      <c r="Z24" s="467"/>
      <c r="AA24" s="466"/>
      <c r="AB24" s="466"/>
      <c r="AC24" s="466"/>
      <c r="AD24" s="465"/>
    </row>
    <row r="25" spans="3:30" ht="12.75" customHeight="1">
      <c r="C25" s="463"/>
      <c r="D25" s="466"/>
      <c r="E25" s="466"/>
      <c r="F25" s="466"/>
      <c r="G25" s="466"/>
      <c r="H25" s="466"/>
      <c r="I25" s="466"/>
      <c r="J25" s="466"/>
      <c r="K25" s="466"/>
      <c r="L25" s="466"/>
      <c r="M25" s="466"/>
      <c r="N25" s="466"/>
      <c r="O25" s="466"/>
      <c r="P25" s="466"/>
      <c r="Q25" s="466"/>
      <c r="R25" s="466"/>
      <c r="S25" s="466"/>
      <c r="T25" s="466"/>
      <c r="U25" s="466"/>
      <c r="V25" s="467"/>
      <c r="W25" s="467"/>
      <c r="X25" s="467"/>
      <c r="Y25" s="467"/>
      <c r="Z25" s="467"/>
      <c r="AA25" s="466"/>
      <c r="AB25" s="466"/>
      <c r="AC25" s="466"/>
      <c r="AD25" s="465"/>
    </row>
    <row r="26" spans="3:30" ht="12.75" customHeight="1">
      <c r="C26" s="463"/>
      <c r="D26" s="466"/>
      <c r="E26" s="466"/>
      <c r="F26" s="466"/>
      <c r="G26" s="466"/>
      <c r="H26" s="466"/>
      <c r="I26" s="466"/>
      <c r="J26" s="466"/>
      <c r="K26" s="466"/>
      <c r="L26" s="466"/>
      <c r="M26" s="466"/>
      <c r="N26" s="466"/>
      <c r="O26" s="466"/>
      <c r="P26" s="466"/>
      <c r="Q26" s="466"/>
      <c r="R26" s="466"/>
      <c r="S26" s="466"/>
      <c r="T26" s="466"/>
      <c r="U26" s="466"/>
      <c r="V26" s="467"/>
      <c r="W26" s="467"/>
      <c r="X26" s="467"/>
      <c r="Y26" s="467"/>
      <c r="Z26" s="467"/>
      <c r="AA26" s="466"/>
      <c r="AB26" s="466"/>
      <c r="AC26" s="466"/>
      <c r="AD26" s="465"/>
    </row>
    <row r="27" spans="3:30" ht="12.75" customHeight="1">
      <c r="C27" s="463"/>
      <c r="D27" s="466"/>
      <c r="E27" s="466"/>
      <c r="F27" s="466"/>
      <c r="G27" s="466"/>
      <c r="H27" s="466"/>
      <c r="I27" s="466"/>
      <c r="J27" s="466"/>
      <c r="K27" s="466"/>
      <c r="L27" s="466"/>
      <c r="M27" s="466"/>
      <c r="N27" s="466"/>
      <c r="O27" s="466"/>
      <c r="P27" s="466"/>
      <c r="Q27" s="466"/>
      <c r="R27" s="466"/>
      <c r="S27" s="466"/>
      <c r="T27" s="466"/>
      <c r="U27" s="466"/>
      <c r="V27" s="467"/>
      <c r="W27" s="467"/>
      <c r="X27" s="467"/>
      <c r="Y27" s="467"/>
      <c r="Z27" s="467"/>
      <c r="AA27" s="466"/>
      <c r="AB27" s="466"/>
      <c r="AC27" s="466"/>
      <c r="AD27" s="465"/>
    </row>
    <row r="28" spans="3:30" ht="12.75" customHeight="1">
      <c r="C28" s="463"/>
      <c r="D28" s="466"/>
      <c r="E28" s="466"/>
      <c r="F28" s="466"/>
      <c r="G28" s="466"/>
      <c r="H28" s="466"/>
      <c r="I28" s="466"/>
      <c r="J28" s="466"/>
      <c r="K28" s="466"/>
      <c r="L28" s="466"/>
      <c r="M28" s="466"/>
      <c r="N28" s="466"/>
      <c r="O28" s="466"/>
      <c r="P28" s="466"/>
      <c r="Q28" s="466"/>
      <c r="R28" s="466"/>
      <c r="S28" s="466"/>
      <c r="T28" s="466"/>
      <c r="U28" s="466"/>
      <c r="V28" s="467"/>
      <c r="W28" s="467"/>
      <c r="X28" s="467"/>
      <c r="Y28" s="467"/>
      <c r="Z28" s="467"/>
      <c r="AA28" s="466"/>
      <c r="AB28" s="466"/>
      <c r="AC28" s="466"/>
      <c r="AD28" s="465"/>
    </row>
    <row r="29" spans="3:30" ht="12.75" customHeight="1">
      <c r="C29" s="463"/>
      <c r="D29" s="466"/>
      <c r="E29" s="466"/>
      <c r="F29" s="466"/>
      <c r="G29" s="466"/>
      <c r="H29" s="466"/>
      <c r="I29" s="466"/>
      <c r="J29" s="466"/>
      <c r="K29" s="466"/>
      <c r="L29" s="466"/>
      <c r="M29" s="466"/>
      <c r="N29" s="466"/>
      <c r="O29" s="466"/>
      <c r="P29" s="466"/>
      <c r="Q29" s="466"/>
      <c r="R29" s="466"/>
      <c r="S29" s="466"/>
      <c r="T29" s="466"/>
      <c r="U29" s="466"/>
      <c r="V29" s="467"/>
      <c r="W29" s="467"/>
      <c r="X29" s="467"/>
      <c r="Y29" s="467"/>
      <c r="Z29" s="467"/>
      <c r="AA29" s="466"/>
      <c r="AB29" s="466"/>
      <c r="AC29" s="466"/>
      <c r="AD29" s="465"/>
    </row>
    <row r="30" spans="3:30" ht="12.75" customHeight="1">
      <c r="C30" s="463"/>
      <c r="D30" s="466"/>
      <c r="E30" s="466"/>
      <c r="F30" s="466"/>
      <c r="G30" s="466"/>
      <c r="H30" s="466"/>
      <c r="I30" s="466"/>
      <c r="J30" s="466"/>
      <c r="K30" s="466"/>
      <c r="L30" s="466"/>
      <c r="M30" s="466"/>
      <c r="N30" s="466"/>
      <c r="O30" s="466"/>
      <c r="P30" s="466"/>
      <c r="Q30" s="466"/>
      <c r="R30" s="466"/>
      <c r="S30" s="466"/>
      <c r="T30" s="466"/>
      <c r="U30" s="466"/>
      <c r="V30" s="467"/>
      <c r="W30" s="467"/>
      <c r="X30" s="467"/>
      <c r="Y30" s="467"/>
      <c r="Z30" s="467"/>
      <c r="AA30" s="466"/>
      <c r="AB30" s="466"/>
      <c r="AC30" s="466"/>
      <c r="AD30" s="465"/>
    </row>
    <row r="31" spans="3:30" ht="12.75" customHeight="1">
      <c r="C31" s="463"/>
      <c r="D31" s="466"/>
      <c r="E31" s="466"/>
      <c r="F31" s="466"/>
      <c r="G31" s="466"/>
      <c r="H31" s="466"/>
      <c r="I31" s="466"/>
      <c r="J31" s="466"/>
      <c r="K31" s="466"/>
      <c r="L31" s="466"/>
      <c r="M31" s="466"/>
      <c r="N31" s="466"/>
      <c r="O31" s="466"/>
      <c r="P31" s="466"/>
      <c r="Q31" s="466"/>
      <c r="R31" s="466"/>
      <c r="S31" s="466"/>
      <c r="T31" s="466"/>
      <c r="U31" s="466"/>
      <c r="V31" s="467"/>
      <c r="W31" s="467"/>
      <c r="X31" s="467"/>
      <c r="Y31" s="467"/>
      <c r="Z31" s="467"/>
      <c r="AA31" s="466"/>
      <c r="AB31" s="466"/>
      <c r="AC31" s="466"/>
      <c r="AD31" s="465"/>
    </row>
    <row r="32" spans="3:30" ht="12.75" customHeight="1">
      <c r="C32" s="463"/>
      <c r="D32" s="466"/>
      <c r="E32" s="466"/>
      <c r="F32" s="466"/>
      <c r="G32" s="466"/>
      <c r="H32" s="466"/>
      <c r="I32" s="466"/>
      <c r="J32" s="466"/>
      <c r="K32" s="466"/>
      <c r="L32" s="466"/>
      <c r="M32" s="466"/>
      <c r="N32" s="466"/>
      <c r="O32" s="466"/>
      <c r="P32" s="466"/>
      <c r="Q32" s="466"/>
      <c r="R32" s="466"/>
      <c r="S32" s="466"/>
      <c r="T32" s="466"/>
      <c r="U32" s="466"/>
      <c r="V32" s="467"/>
      <c r="W32" s="467"/>
      <c r="X32" s="467"/>
      <c r="Y32" s="467"/>
      <c r="Z32" s="467"/>
      <c r="AA32" s="466"/>
      <c r="AB32" s="466"/>
      <c r="AC32" s="466"/>
      <c r="AD32" s="465"/>
    </row>
    <row r="33" spans="3:30" ht="12.75" customHeight="1">
      <c r="C33" s="463"/>
      <c r="D33" s="466"/>
      <c r="E33" s="466"/>
      <c r="F33" s="466"/>
      <c r="G33" s="466"/>
      <c r="H33" s="466"/>
      <c r="I33" s="466"/>
      <c r="J33" s="466"/>
      <c r="K33" s="466"/>
      <c r="L33" s="466"/>
      <c r="M33" s="466"/>
      <c r="N33" s="466"/>
      <c r="O33" s="466"/>
      <c r="P33" s="466"/>
      <c r="Q33" s="466"/>
      <c r="R33" s="466"/>
      <c r="S33" s="466"/>
      <c r="T33" s="466"/>
      <c r="U33" s="466"/>
      <c r="V33" s="467"/>
      <c r="W33" s="467"/>
      <c r="X33" s="467"/>
      <c r="Y33" s="467"/>
      <c r="Z33" s="467"/>
      <c r="AA33" s="466"/>
      <c r="AB33" s="466"/>
      <c r="AC33" s="466"/>
      <c r="AD33" s="465"/>
    </row>
    <row r="34" spans="3:30" ht="12.75" customHeight="1">
      <c r="C34" s="463"/>
      <c r="D34" s="466"/>
      <c r="E34" s="466"/>
      <c r="F34" s="466"/>
      <c r="G34" s="466"/>
      <c r="H34" s="466"/>
      <c r="I34" s="466"/>
      <c r="J34" s="466"/>
      <c r="K34" s="466"/>
      <c r="L34" s="466"/>
      <c r="M34" s="466"/>
      <c r="N34" s="466"/>
      <c r="O34" s="466"/>
      <c r="P34" s="466"/>
      <c r="Q34" s="466"/>
      <c r="R34" s="466"/>
      <c r="S34" s="466"/>
      <c r="T34" s="466"/>
      <c r="U34" s="466"/>
      <c r="V34" s="467"/>
      <c r="W34" s="467"/>
      <c r="X34" s="467"/>
      <c r="Y34" s="467"/>
      <c r="Z34" s="467"/>
      <c r="AA34" s="466"/>
      <c r="AB34" s="466"/>
      <c r="AC34" s="466"/>
      <c r="AD34" s="465"/>
    </row>
    <row r="35" spans="3:30" ht="12.75" customHeight="1">
      <c r="C35" s="463"/>
      <c r="D35" s="466"/>
      <c r="E35" s="466"/>
      <c r="F35" s="466"/>
      <c r="G35" s="466"/>
      <c r="H35" s="466"/>
      <c r="I35" s="466"/>
      <c r="J35" s="466"/>
      <c r="K35" s="466"/>
      <c r="L35" s="466"/>
      <c r="M35" s="466"/>
      <c r="N35" s="466"/>
      <c r="O35" s="466"/>
      <c r="P35" s="466"/>
      <c r="Q35" s="466"/>
      <c r="R35" s="466"/>
      <c r="S35" s="466"/>
      <c r="T35" s="466"/>
      <c r="U35" s="466"/>
      <c r="V35" s="467"/>
      <c r="W35" s="467"/>
      <c r="X35" s="467"/>
      <c r="Y35" s="467"/>
      <c r="Z35" s="467"/>
      <c r="AA35" s="466"/>
      <c r="AB35" s="466"/>
      <c r="AC35" s="466"/>
      <c r="AD35" s="465"/>
    </row>
    <row r="36" spans="3:30" ht="12.75" customHeight="1">
      <c r="C36" s="463"/>
      <c r="D36" s="466"/>
      <c r="E36" s="466"/>
      <c r="F36" s="466"/>
      <c r="G36" s="466"/>
      <c r="H36" s="466"/>
      <c r="I36" s="466"/>
      <c r="J36" s="466"/>
      <c r="K36" s="466"/>
      <c r="L36" s="466"/>
      <c r="M36" s="466"/>
      <c r="N36" s="466"/>
      <c r="O36" s="466"/>
      <c r="P36" s="466"/>
      <c r="Q36" s="466"/>
      <c r="R36" s="466"/>
      <c r="S36" s="466"/>
      <c r="T36" s="466"/>
      <c r="U36" s="466"/>
      <c r="V36" s="467"/>
      <c r="W36" s="467"/>
      <c r="X36" s="467"/>
      <c r="Y36" s="467"/>
      <c r="Z36" s="467"/>
      <c r="AA36" s="466"/>
      <c r="AB36" s="466"/>
      <c r="AC36" s="466"/>
      <c r="AD36" s="465"/>
    </row>
    <row r="37" spans="3:30" ht="12.75" customHeight="1">
      <c r="C37" s="463"/>
      <c r="D37" s="466"/>
      <c r="E37" s="466"/>
      <c r="F37" s="466"/>
      <c r="G37" s="466"/>
      <c r="H37" s="466"/>
      <c r="I37" s="466"/>
      <c r="J37" s="466"/>
      <c r="K37" s="466"/>
      <c r="L37" s="466"/>
      <c r="M37" s="466"/>
      <c r="N37" s="466"/>
      <c r="O37" s="466"/>
      <c r="P37" s="466"/>
      <c r="Q37" s="466"/>
      <c r="R37" s="466"/>
      <c r="S37" s="466"/>
      <c r="T37" s="466"/>
      <c r="U37" s="466"/>
      <c r="V37" s="467"/>
      <c r="W37" s="467"/>
      <c r="X37" s="467"/>
      <c r="Y37" s="467"/>
      <c r="Z37" s="467"/>
      <c r="AA37" s="466"/>
      <c r="AB37" s="466"/>
      <c r="AC37" s="466"/>
      <c r="AD37" s="465"/>
    </row>
    <row r="38" spans="3:30" ht="12.75" customHeight="1">
      <c r="C38" s="463"/>
      <c r="D38" s="466"/>
      <c r="E38" s="466"/>
      <c r="F38" s="466"/>
      <c r="G38" s="466"/>
      <c r="H38" s="466"/>
      <c r="I38" s="466"/>
      <c r="J38" s="466"/>
      <c r="K38" s="466"/>
      <c r="L38" s="466"/>
      <c r="M38" s="466"/>
      <c r="N38" s="466"/>
      <c r="O38" s="466"/>
      <c r="P38" s="466"/>
      <c r="Q38" s="466"/>
      <c r="R38" s="466"/>
      <c r="S38" s="466"/>
      <c r="T38" s="466"/>
      <c r="U38" s="466"/>
      <c r="V38" s="467"/>
      <c r="W38" s="467"/>
      <c r="X38" s="467"/>
      <c r="Y38" s="467"/>
      <c r="Z38" s="467"/>
      <c r="AA38" s="466"/>
      <c r="AB38" s="466"/>
      <c r="AC38" s="466"/>
      <c r="AD38" s="465"/>
    </row>
    <row r="39" spans="3:30" ht="12.75" customHeight="1">
      <c r="C39" s="463"/>
      <c r="D39" s="466"/>
      <c r="E39" s="466"/>
      <c r="F39" s="466"/>
      <c r="G39" s="466"/>
      <c r="H39" s="466"/>
      <c r="I39" s="466"/>
      <c r="J39" s="466"/>
      <c r="K39" s="466"/>
      <c r="L39" s="466"/>
      <c r="M39" s="466"/>
      <c r="N39" s="466"/>
      <c r="O39" s="466"/>
      <c r="P39" s="466"/>
      <c r="Q39" s="466"/>
      <c r="R39" s="466"/>
      <c r="S39" s="466"/>
      <c r="T39" s="466"/>
      <c r="U39" s="466"/>
      <c r="V39" s="467"/>
      <c r="W39" s="467"/>
      <c r="X39" s="467"/>
      <c r="Y39" s="467"/>
      <c r="Z39" s="467"/>
      <c r="AA39" s="466"/>
      <c r="AB39" s="466"/>
      <c r="AC39" s="466"/>
      <c r="AD39" s="465"/>
    </row>
    <row r="40" spans="3:30" ht="12.75" customHeight="1">
      <c r="C40" s="463"/>
      <c r="D40" s="466"/>
      <c r="E40" s="466"/>
      <c r="F40" s="466"/>
      <c r="G40" s="466"/>
      <c r="H40" s="466"/>
      <c r="I40" s="466"/>
      <c r="J40" s="466"/>
      <c r="K40" s="466"/>
      <c r="L40" s="466"/>
      <c r="M40" s="466"/>
      <c r="N40" s="466"/>
      <c r="O40" s="466"/>
      <c r="P40" s="466"/>
      <c r="Q40" s="466"/>
      <c r="R40" s="466"/>
      <c r="S40" s="466"/>
      <c r="T40" s="466"/>
      <c r="U40" s="466"/>
      <c r="V40" s="467"/>
      <c r="W40" s="467"/>
      <c r="X40" s="467"/>
      <c r="Y40" s="467"/>
      <c r="Z40" s="467"/>
      <c r="AA40" s="466"/>
      <c r="AB40" s="466"/>
      <c r="AC40" s="466"/>
      <c r="AD40" s="465"/>
    </row>
    <row r="41" spans="3:30" ht="12.75" customHeight="1">
      <c r="C41" s="463"/>
      <c r="D41" s="466"/>
      <c r="E41" s="466"/>
      <c r="F41" s="466"/>
      <c r="G41" s="466"/>
      <c r="H41" s="466"/>
      <c r="I41" s="466"/>
      <c r="J41" s="466"/>
      <c r="K41" s="466"/>
      <c r="L41" s="466"/>
      <c r="M41" s="466"/>
      <c r="N41" s="466"/>
      <c r="O41" s="466"/>
      <c r="P41" s="466"/>
      <c r="Q41" s="466"/>
      <c r="R41" s="466"/>
      <c r="S41" s="466"/>
      <c r="T41" s="466"/>
      <c r="U41" s="466"/>
      <c r="V41" s="467"/>
      <c r="W41" s="467"/>
      <c r="X41" s="467"/>
      <c r="Y41" s="467"/>
      <c r="Z41" s="467"/>
      <c r="AA41" s="466"/>
      <c r="AB41" s="466"/>
      <c r="AC41" s="466"/>
      <c r="AD41" s="465"/>
    </row>
    <row r="42" spans="3:30" ht="12.75" customHeight="1">
      <c r="C42" s="463"/>
      <c r="D42" s="466"/>
      <c r="E42" s="466"/>
      <c r="F42" s="466"/>
      <c r="G42" s="466"/>
      <c r="H42" s="466"/>
      <c r="I42" s="466"/>
      <c r="J42" s="466"/>
      <c r="K42" s="466"/>
      <c r="L42" s="466"/>
      <c r="M42" s="466"/>
      <c r="N42" s="466"/>
      <c r="O42" s="466"/>
      <c r="P42" s="466"/>
      <c r="Q42" s="466"/>
      <c r="R42" s="466"/>
      <c r="S42" s="466"/>
      <c r="T42" s="466"/>
      <c r="U42" s="466"/>
      <c r="V42" s="466"/>
      <c r="W42" s="466"/>
      <c r="X42" s="466"/>
      <c r="Y42" s="466"/>
      <c r="Z42" s="466"/>
      <c r="AA42" s="466"/>
      <c r="AB42" s="466"/>
      <c r="AC42" s="466"/>
      <c r="AD42" s="465"/>
    </row>
    <row r="43" spans="3:30" ht="12.75" customHeight="1">
      <c r="C43" s="463"/>
      <c r="D43" s="466"/>
      <c r="E43" s="466"/>
      <c r="F43" s="466"/>
      <c r="G43" s="466"/>
      <c r="H43" s="466"/>
      <c r="I43" s="466"/>
      <c r="J43" s="466"/>
      <c r="K43" s="466"/>
      <c r="L43" s="466"/>
      <c r="M43" s="466"/>
      <c r="N43" s="466"/>
      <c r="O43" s="466"/>
      <c r="P43" s="466"/>
      <c r="Q43" s="466"/>
      <c r="R43" s="466"/>
      <c r="S43" s="466"/>
      <c r="T43" s="466"/>
      <c r="U43" s="466"/>
      <c r="V43" s="466"/>
      <c r="W43" s="466"/>
      <c r="X43" s="466"/>
      <c r="Y43" s="466"/>
      <c r="Z43" s="466"/>
      <c r="AA43" s="466"/>
      <c r="AB43" s="466"/>
      <c r="AC43" s="466"/>
      <c r="AD43" s="465"/>
    </row>
    <row r="44" spans="3:30">
      <c r="C44" s="463"/>
      <c r="D44" s="466"/>
      <c r="E44" s="466"/>
      <c r="F44" s="466"/>
      <c r="G44" s="466"/>
      <c r="H44" s="466"/>
      <c r="I44" s="466"/>
      <c r="J44" s="466"/>
      <c r="K44" s="466"/>
      <c r="L44" s="466"/>
      <c r="M44" s="466"/>
      <c r="N44" s="466"/>
      <c r="O44" s="466"/>
      <c r="P44" s="466"/>
      <c r="Q44" s="466"/>
      <c r="R44" s="466"/>
      <c r="S44" s="466"/>
      <c r="T44" s="466"/>
      <c r="U44" s="466"/>
      <c r="V44" s="466"/>
      <c r="W44" s="466"/>
      <c r="X44" s="466"/>
      <c r="Y44" s="466"/>
      <c r="Z44" s="466"/>
      <c r="AA44" s="466"/>
      <c r="AB44" s="466"/>
      <c r="AC44" s="466"/>
      <c r="AD44" s="465"/>
    </row>
    <row r="45" spans="3:30">
      <c r="C45" s="463"/>
      <c r="D45" s="466"/>
      <c r="E45" s="466"/>
      <c r="F45" s="466"/>
      <c r="G45" s="466"/>
      <c r="H45" s="466"/>
      <c r="I45" s="466"/>
      <c r="J45" s="466"/>
      <c r="K45" s="466"/>
      <c r="L45" s="466"/>
      <c r="M45" s="466"/>
      <c r="N45" s="466"/>
      <c r="O45" s="466"/>
      <c r="P45" s="466"/>
      <c r="Q45" s="466"/>
      <c r="R45" s="466"/>
      <c r="S45" s="466"/>
      <c r="T45" s="466"/>
      <c r="U45" s="466"/>
      <c r="V45" s="466"/>
      <c r="W45" s="466"/>
      <c r="X45" s="466"/>
      <c r="Y45" s="466"/>
      <c r="Z45" s="466"/>
      <c r="AA45" s="466"/>
      <c r="AB45" s="466"/>
      <c r="AC45" s="466"/>
      <c r="AD45" s="465"/>
    </row>
    <row r="46" spans="3:30">
      <c r="C46" s="463"/>
      <c r="D46" s="466"/>
      <c r="E46" s="466"/>
      <c r="F46" s="466"/>
      <c r="G46" s="466"/>
      <c r="H46" s="466"/>
      <c r="I46" s="466"/>
      <c r="J46" s="466"/>
      <c r="K46" s="466"/>
      <c r="L46" s="466"/>
      <c r="M46" s="466"/>
      <c r="N46" s="466"/>
      <c r="O46" s="466"/>
      <c r="P46" s="466"/>
      <c r="Q46" s="466"/>
      <c r="R46" s="466"/>
      <c r="S46" s="466"/>
      <c r="T46" s="466"/>
      <c r="U46" s="466"/>
      <c r="V46" s="466"/>
      <c r="W46" s="466"/>
      <c r="X46" s="466"/>
      <c r="Y46" s="466"/>
      <c r="Z46" s="466"/>
      <c r="AA46" s="466"/>
      <c r="AB46" s="466"/>
      <c r="AC46" s="466"/>
      <c r="AD46" s="465"/>
    </row>
    <row r="47" spans="3:30">
      <c r="C47" s="463"/>
      <c r="D47" s="466"/>
      <c r="E47" s="466"/>
      <c r="F47" s="466"/>
      <c r="G47" s="466"/>
      <c r="H47" s="466"/>
      <c r="I47" s="466"/>
      <c r="J47" s="466"/>
      <c r="K47" s="466"/>
      <c r="L47" s="466"/>
      <c r="M47" s="466"/>
      <c r="N47" s="466"/>
      <c r="O47" s="466"/>
      <c r="P47" s="466"/>
      <c r="Q47" s="466"/>
      <c r="R47" s="466"/>
      <c r="S47" s="466"/>
      <c r="T47" s="466"/>
      <c r="U47" s="466"/>
      <c r="V47" s="466"/>
      <c r="W47" s="466"/>
      <c r="X47" s="466"/>
      <c r="Y47" s="466"/>
      <c r="Z47" s="466"/>
      <c r="AA47" s="466"/>
      <c r="AB47" s="466"/>
      <c r="AC47" s="466"/>
      <c r="AD47" s="465"/>
    </row>
    <row r="48" spans="3:30">
      <c r="C48" s="463"/>
      <c r="D48" s="466"/>
      <c r="E48" s="466"/>
      <c r="F48" s="466"/>
      <c r="G48" s="466"/>
      <c r="H48" s="466"/>
      <c r="I48" s="466"/>
      <c r="J48" s="466"/>
      <c r="K48" s="466"/>
      <c r="L48" s="466"/>
      <c r="M48" s="466"/>
      <c r="N48" s="466"/>
      <c r="O48" s="466"/>
      <c r="P48" s="466"/>
      <c r="Q48" s="466"/>
      <c r="R48" s="466"/>
      <c r="S48" s="466"/>
      <c r="T48" s="466"/>
      <c r="U48" s="466"/>
      <c r="V48" s="466"/>
      <c r="W48" s="466"/>
      <c r="X48" s="466"/>
      <c r="Y48" s="466"/>
      <c r="Z48" s="466"/>
      <c r="AA48" s="466"/>
      <c r="AB48" s="466"/>
      <c r="AC48" s="466"/>
      <c r="AD48" s="465"/>
    </row>
    <row r="49" spans="2:30">
      <c r="C49" s="463"/>
      <c r="D49" s="466"/>
      <c r="E49" s="466"/>
      <c r="F49" s="466"/>
      <c r="G49" s="466"/>
      <c r="H49" s="466"/>
      <c r="I49" s="466"/>
      <c r="J49" s="466"/>
      <c r="K49" s="466"/>
      <c r="L49" s="466"/>
      <c r="M49" s="466"/>
      <c r="N49" s="466"/>
      <c r="O49" s="466"/>
      <c r="P49" s="466"/>
      <c r="Q49" s="466"/>
      <c r="R49" s="466"/>
      <c r="S49" s="466"/>
      <c r="T49" s="466"/>
      <c r="U49" s="466"/>
      <c r="V49" s="466"/>
      <c r="W49" s="466"/>
      <c r="X49" s="466"/>
      <c r="Y49" s="466"/>
      <c r="Z49" s="466"/>
      <c r="AA49" s="466"/>
      <c r="AB49" s="466"/>
      <c r="AC49" s="466"/>
      <c r="AD49" s="465"/>
    </row>
    <row r="50" spans="2:30">
      <c r="C50" s="463"/>
      <c r="D50" s="466"/>
      <c r="E50" s="466"/>
      <c r="F50" s="466"/>
      <c r="G50" s="466"/>
      <c r="H50" s="466"/>
      <c r="I50" s="466"/>
      <c r="J50" s="466"/>
      <c r="K50" s="466"/>
      <c r="L50" s="466"/>
      <c r="M50" s="466"/>
      <c r="N50" s="466"/>
      <c r="O50" s="466"/>
      <c r="P50" s="466"/>
      <c r="Q50" s="466"/>
      <c r="R50" s="466"/>
      <c r="S50" s="466"/>
      <c r="T50" s="466"/>
      <c r="U50" s="466"/>
      <c r="V50" s="466"/>
      <c r="W50" s="466"/>
      <c r="X50" s="466"/>
      <c r="Y50" s="466"/>
      <c r="Z50" s="466"/>
      <c r="AA50" s="466"/>
      <c r="AB50" s="466"/>
      <c r="AC50" s="466"/>
      <c r="AD50" s="465"/>
    </row>
    <row r="51" spans="2:30">
      <c r="C51" s="463"/>
      <c r="D51" s="466"/>
      <c r="E51" s="466"/>
      <c r="F51" s="466"/>
      <c r="G51" s="466"/>
      <c r="H51" s="466"/>
      <c r="I51" s="466"/>
      <c r="J51" s="466"/>
      <c r="K51" s="466"/>
      <c r="L51" s="466"/>
      <c r="M51" s="466"/>
      <c r="N51" s="466"/>
      <c r="O51" s="466"/>
      <c r="P51" s="466"/>
      <c r="Q51" s="466"/>
      <c r="R51" s="466"/>
      <c r="S51" s="466"/>
      <c r="T51" s="466"/>
      <c r="U51" s="466"/>
      <c r="V51" s="466"/>
      <c r="W51" s="466"/>
      <c r="X51" s="466"/>
      <c r="Y51" s="466"/>
      <c r="Z51" s="466"/>
      <c r="AA51" s="466"/>
      <c r="AB51" s="466"/>
      <c r="AC51" s="466"/>
      <c r="AD51" s="465"/>
    </row>
    <row r="52" spans="2:30">
      <c r="C52" s="463"/>
      <c r="D52" s="466"/>
      <c r="E52" s="466"/>
      <c r="F52" s="466"/>
      <c r="G52" s="466"/>
      <c r="H52" s="466"/>
      <c r="I52" s="466"/>
      <c r="J52" s="466"/>
      <c r="K52" s="466"/>
      <c r="L52" s="466"/>
      <c r="M52" s="466"/>
      <c r="N52" s="466"/>
      <c r="O52" s="466"/>
      <c r="P52" s="466"/>
      <c r="Q52" s="466"/>
      <c r="R52" s="466"/>
      <c r="S52" s="466"/>
      <c r="T52" s="466"/>
      <c r="U52" s="466"/>
      <c r="V52" s="466"/>
      <c r="W52" s="466"/>
      <c r="X52" s="466"/>
      <c r="Y52" s="466"/>
      <c r="Z52" s="466"/>
      <c r="AA52" s="466"/>
      <c r="AB52" s="466"/>
      <c r="AC52" s="466"/>
      <c r="AD52" s="465"/>
    </row>
    <row r="53" spans="2:30">
      <c r="C53" s="463"/>
      <c r="D53" s="466"/>
      <c r="E53" s="466"/>
      <c r="F53" s="466"/>
      <c r="G53" s="466"/>
      <c r="H53" s="466"/>
      <c r="I53" s="466"/>
      <c r="J53" s="466"/>
      <c r="K53" s="466"/>
      <c r="L53" s="466"/>
      <c r="M53" s="466"/>
      <c r="N53" s="466"/>
      <c r="O53" s="466"/>
      <c r="P53" s="466"/>
      <c r="Q53" s="466"/>
      <c r="R53" s="466"/>
      <c r="S53" s="466"/>
      <c r="T53" s="466"/>
      <c r="U53" s="466"/>
      <c r="V53" s="466"/>
      <c r="W53" s="466"/>
      <c r="X53" s="466"/>
      <c r="Y53" s="466"/>
      <c r="Z53" s="466"/>
      <c r="AA53" s="466"/>
      <c r="AB53" s="466"/>
      <c r="AC53" s="466"/>
      <c r="AD53" s="465"/>
    </row>
    <row r="54" spans="2:30">
      <c r="C54" s="463"/>
      <c r="D54" s="466"/>
      <c r="E54" s="466"/>
      <c r="F54" s="466"/>
      <c r="G54" s="466"/>
      <c r="H54" s="466"/>
      <c r="I54" s="466"/>
      <c r="J54" s="466"/>
      <c r="K54" s="466"/>
      <c r="L54" s="466"/>
      <c r="M54" s="466"/>
      <c r="N54" s="466"/>
      <c r="O54" s="466"/>
      <c r="P54" s="466"/>
      <c r="Q54" s="466"/>
      <c r="R54" s="466"/>
      <c r="S54" s="466"/>
      <c r="T54" s="466"/>
      <c r="U54" s="466"/>
      <c r="V54" s="466"/>
      <c r="W54" s="466"/>
      <c r="X54" s="466"/>
      <c r="Y54" s="466"/>
      <c r="Z54" s="466"/>
      <c r="AA54" s="466"/>
      <c r="AB54" s="466"/>
      <c r="AC54" s="466"/>
      <c r="AD54" s="465"/>
    </row>
    <row r="55" spans="2:30">
      <c r="C55" s="463"/>
      <c r="D55" s="466"/>
      <c r="E55" s="466"/>
      <c r="F55" s="466"/>
      <c r="G55" s="466"/>
      <c r="H55" s="466"/>
      <c r="I55" s="466"/>
      <c r="J55" s="466"/>
      <c r="K55" s="466"/>
      <c r="L55" s="466"/>
      <c r="M55" s="466"/>
      <c r="N55" s="466"/>
      <c r="O55" s="469"/>
      <c r="P55" s="466"/>
      <c r="Q55" s="466"/>
      <c r="R55" s="466"/>
      <c r="S55" s="466"/>
      <c r="T55" s="466"/>
      <c r="U55" s="466"/>
      <c r="V55" s="466"/>
      <c r="W55" s="466"/>
      <c r="X55" s="466"/>
      <c r="Y55" s="466"/>
      <c r="Z55" s="466"/>
      <c r="AA55" s="466"/>
      <c r="AB55" s="466"/>
      <c r="AC55" s="466"/>
      <c r="AD55" s="465"/>
    </row>
    <row r="56" spans="2:30">
      <c r="C56" s="463"/>
      <c r="D56" s="466"/>
      <c r="E56" s="466"/>
      <c r="F56" s="466"/>
      <c r="G56" s="466"/>
      <c r="H56" s="466"/>
      <c r="I56" s="466"/>
      <c r="J56" s="466"/>
      <c r="K56" s="466"/>
      <c r="L56" s="466"/>
      <c r="M56" s="466"/>
      <c r="N56" s="466"/>
      <c r="O56" s="470"/>
      <c r="P56" s="466"/>
      <c r="Q56" s="466"/>
      <c r="R56" s="466"/>
      <c r="S56" s="466"/>
      <c r="T56" s="466"/>
      <c r="U56" s="466"/>
      <c r="V56" s="466"/>
      <c r="W56" s="466"/>
      <c r="X56" s="466"/>
      <c r="Y56" s="466"/>
      <c r="Z56" s="466"/>
      <c r="AA56" s="466"/>
      <c r="AB56" s="466"/>
      <c r="AC56" s="466"/>
      <c r="AD56" s="465"/>
    </row>
    <row r="57" spans="2:30">
      <c r="C57" s="463"/>
      <c r="D57" s="466"/>
      <c r="E57" s="466"/>
      <c r="F57" s="466"/>
      <c r="G57" s="466"/>
      <c r="H57" s="466"/>
      <c r="I57" s="466"/>
      <c r="J57" s="466"/>
      <c r="K57" s="466"/>
      <c r="L57" s="466"/>
      <c r="M57" s="466"/>
      <c r="N57" s="466"/>
      <c r="O57" s="466"/>
      <c r="P57" s="466"/>
      <c r="Q57" s="466"/>
      <c r="R57" s="466"/>
      <c r="S57" s="466"/>
      <c r="T57" s="466"/>
      <c r="U57" s="466"/>
      <c r="V57" s="466"/>
      <c r="W57" s="466"/>
      <c r="X57" s="466"/>
      <c r="Y57" s="466"/>
      <c r="Z57" s="466"/>
      <c r="AA57" s="466"/>
      <c r="AB57" s="466"/>
      <c r="AC57" s="466"/>
      <c r="AD57" s="465"/>
    </row>
    <row r="58" spans="2:30">
      <c r="C58" s="463"/>
      <c r="D58" s="466"/>
      <c r="E58" s="466"/>
      <c r="F58" s="466"/>
      <c r="G58" s="466"/>
      <c r="H58" s="466"/>
      <c r="I58" s="466"/>
      <c r="J58" s="466"/>
      <c r="K58" s="466"/>
      <c r="L58" s="466"/>
      <c r="M58" s="466"/>
      <c r="N58" s="466"/>
      <c r="O58" s="466"/>
      <c r="P58" s="466"/>
      <c r="Q58" s="466"/>
      <c r="R58" s="466"/>
      <c r="S58" s="466"/>
      <c r="T58" s="466"/>
      <c r="U58" s="466"/>
      <c r="V58" s="466"/>
      <c r="W58" s="466"/>
      <c r="X58" s="466"/>
      <c r="Y58" s="466"/>
      <c r="Z58" s="466"/>
      <c r="AA58" s="466"/>
      <c r="AB58" s="466"/>
      <c r="AC58" s="466"/>
      <c r="AD58" s="465"/>
    </row>
    <row r="59" spans="2:30">
      <c r="B59" s="466"/>
      <c r="C59" s="463"/>
      <c r="D59" s="466"/>
      <c r="E59" s="466"/>
      <c r="F59" s="466"/>
      <c r="G59" s="466"/>
      <c r="H59" s="466"/>
      <c r="I59" s="466"/>
      <c r="J59" s="466"/>
      <c r="K59" s="466"/>
      <c r="L59" s="466"/>
      <c r="M59" s="466"/>
      <c r="N59" s="466"/>
      <c r="O59" s="466"/>
      <c r="P59" s="466"/>
      <c r="Q59" s="469"/>
      <c r="R59" s="469"/>
      <c r="S59" s="471"/>
      <c r="T59" s="471"/>
      <c r="U59" s="471"/>
      <c r="V59" s="471"/>
      <c r="W59" s="471"/>
      <c r="X59" s="471"/>
      <c r="Y59" s="471"/>
      <c r="Z59" s="471"/>
      <c r="AA59" s="471"/>
      <c r="AB59" s="471"/>
      <c r="AC59" s="471"/>
      <c r="AD59" s="472"/>
    </row>
    <row r="60" spans="2:30">
      <c r="B60" s="466"/>
      <c r="C60" s="463"/>
      <c r="D60" s="466"/>
      <c r="E60" s="466"/>
      <c r="F60" s="466"/>
      <c r="G60" s="466"/>
      <c r="H60" s="466"/>
      <c r="I60" s="466"/>
      <c r="J60" s="466"/>
      <c r="K60" s="466"/>
      <c r="L60" s="466"/>
      <c r="M60" s="466"/>
      <c r="N60" s="466"/>
      <c r="O60" s="466"/>
      <c r="P60" s="466"/>
      <c r="Q60" s="469"/>
      <c r="R60" s="469"/>
      <c r="S60" s="471"/>
      <c r="T60" s="473"/>
      <c r="U60" s="471"/>
      <c r="V60" s="471"/>
      <c r="W60" s="471"/>
      <c r="X60" s="471"/>
      <c r="Y60" s="471"/>
      <c r="Z60" s="471"/>
      <c r="AA60" s="473"/>
      <c r="AB60" s="473"/>
      <c r="AC60" s="473"/>
      <c r="AD60" s="474"/>
    </row>
    <row r="61" spans="2:30">
      <c r="B61" s="466"/>
      <c r="C61" s="463"/>
      <c r="D61" s="466"/>
      <c r="E61" s="466"/>
      <c r="F61" s="466"/>
      <c r="G61" s="466"/>
      <c r="H61" s="466"/>
      <c r="I61" s="466"/>
      <c r="J61" s="466"/>
      <c r="K61" s="466"/>
      <c r="L61" s="466"/>
      <c r="M61" s="466"/>
      <c r="N61" s="466"/>
      <c r="O61" s="466"/>
      <c r="P61" s="466"/>
      <c r="Q61" s="466"/>
      <c r="R61" s="466"/>
      <c r="S61" s="471"/>
      <c r="T61" s="473"/>
      <c r="U61" s="471"/>
      <c r="V61" s="471"/>
      <c r="W61" s="471"/>
      <c r="X61" s="471"/>
      <c r="Y61" s="471"/>
      <c r="Z61" s="471"/>
      <c r="AA61" s="473"/>
      <c r="AB61" s="471"/>
      <c r="AC61" s="471"/>
      <c r="AD61" s="472"/>
    </row>
    <row r="62" spans="2:30">
      <c r="B62" s="466"/>
      <c r="C62" s="463"/>
      <c r="D62" s="466"/>
      <c r="E62" s="466"/>
      <c r="F62" s="466"/>
      <c r="G62" s="466"/>
      <c r="H62" s="466"/>
      <c r="I62" s="466"/>
      <c r="J62" s="466"/>
      <c r="K62" s="466"/>
      <c r="L62" s="466"/>
      <c r="M62" s="466"/>
      <c r="N62" s="466"/>
      <c r="O62" s="466"/>
      <c r="P62" s="466"/>
      <c r="Q62" s="466"/>
      <c r="R62" s="466"/>
      <c r="S62" s="471"/>
      <c r="T62" s="473"/>
      <c r="U62" s="471"/>
      <c r="V62" s="471"/>
      <c r="W62" s="471"/>
      <c r="X62" s="471"/>
      <c r="Y62" s="471"/>
      <c r="Z62" s="471"/>
      <c r="AA62" s="471"/>
      <c r="AB62" s="471"/>
      <c r="AC62" s="471"/>
      <c r="AD62" s="472"/>
    </row>
    <row r="63" spans="2:30">
      <c r="B63" s="466"/>
      <c r="C63" s="463"/>
      <c r="D63" s="466"/>
      <c r="E63" s="466"/>
      <c r="F63" s="466"/>
      <c r="G63" s="466"/>
      <c r="H63" s="466"/>
      <c r="I63" s="466"/>
      <c r="J63" s="466"/>
      <c r="K63" s="466"/>
      <c r="L63" s="466"/>
      <c r="M63" s="466"/>
      <c r="N63" s="466"/>
      <c r="O63" s="466"/>
      <c r="P63" s="466"/>
      <c r="Q63" s="466"/>
      <c r="R63" s="466"/>
      <c r="S63" s="475"/>
      <c r="T63" s="475"/>
      <c r="U63" s="475"/>
      <c r="V63" s="475"/>
      <c r="W63" s="475"/>
      <c r="X63" s="475"/>
      <c r="Y63" s="475"/>
      <c r="Z63" s="475"/>
      <c r="AA63" s="475"/>
      <c r="AB63" s="475"/>
      <c r="AC63" s="475"/>
      <c r="AD63" s="476"/>
    </row>
    <row r="64" spans="2:30">
      <c r="B64" s="466"/>
      <c r="C64" s="463"/>
      <c r="D64" s="466"/>
      <c r="E64" s="466"/>
      <c r="F64" s="466"/>
      <c r="G64" s="466"/>
      <c r="H64" s="466"/>
      <c r="I64" s="466"/>
      <c r="J64" s="466"/>
      <c r="K64" s="466"/>
      <c r="L64" s="466"/>
      <c r="M64" s="466"/>
      <c r="N64" s="466"/>
      <c r="O64" s="466"/>
      <c r="P64" s="466"/>
      <c r="Q64" s="466"/>
      <c r="R64" s="466"/>
      <c r="S64" s="471"/>
      <c r="T64" s="471"/>
      <c r="U64" s="471"/>
      <c r="V64" s="471"/>
      <c r="W64" s="471"/>
      <c r="X64" s="471"/>
      <c r="Y64" s="471"/>
      <c r="Z64" s="471"/>
      <c r="AA64" s="471"/>
      <c r="AB64" s="471"/>
      <c r="AC64" s="471"/>
      <c r="AD64" s="472"/>
    </row>
    <row r="65" spans="2:30">
      <c r="B65" s="466"/>
      <c r="C65" s="463"/>
      <c r="D65" s="466"/>
      <c r="E65" s="466"/>
      <c r="F65" s="466"/>
      <c r="G65" s="466"/>
      <c r="H65" s="466"/>
      <c r="I65" s="466"/>
      <c r="J65" s="466"/>
      <c r="K65" s="466"/>
      <c r="L65" s="466"/>
      <c r="M65" s="466"/>
      <c r="N65" s="466"/>
      <c r="O65" s="466"/>
      <c r="P65" s="466"/>
      <c r="Q65" s="466"/>
      <c r="R65" s="466"/>
      <c r="S65" s="471"/>
      <c r="T65" s="471"/>
      <c r="U65" s="471"/>
      <c r="V65" s="471"/>
      <c r="W65" s="471"/>
      <c r="X65" s="471"/>
      <c r="Y65" s="471"/>
      <c r="Z65" s="471"/>
      <c r="AA65" s="471"/>
      <c r="AB65" s="471"/>
      <c r="AC65" s="471"/>
      <c r="AD65" s="472"/>
    </row>
    <row r="66" spans="2:30">
      <c r="B66" s="466"/>
      <c r="C66" s="463"/>
      <c r="D66" s="466"/>
      <c r="E66" s="466"/>
      <c r="F66" s="466"/>
      <c r="G66" s="466"/>
      <c r="H66" s="466"/>
      <c r="I66" s="466"/>
      <c r="J66" s="466"/>
      <c r="K66" s="466"/>
      <c r="L66" s="466"/>
      <c r="M66" s="466"/>
      <c r="N66" s="466"/>
      <c r="O66" s="466"/>
      <c r="P66" s="466"/>
      <c r="Q66" s="466"/>
      <c r="R66" s="466"/>
      <c r="S66" s="471"/>
      <c r="T66" s="471"/>
      <c r="U66" s="471"/>
      <c r="V66" s="471"/>
      <c r="W66" s="471"/>
      <c r="X66" s="471"/>
      <c r="Y66" s="471"/>
      <c r="Z66" s="471"/>
      <c r="AA66" s="471"/>
      <c r="AB66" s="471"/>
      <c r="AC66" s="471"/>
      <c r="AD66" s="472"/>
    </row>
    <row r="67" spans="2:30">
      <c r="C67" s="463"/>
      <c r="D67" s="466"/>
      <c r="E67" s="466"/>
      <c r="F67" s="466"/>
      <c r="G67" s="466"/>
      <c r="H67" s="466"/>
      <c r="I67" s="466"/>
      <c r="J67" s="466"/>
      <c r="K67" s="466"/>
      <c r="L67" s="466"/>
      <c r="M67" s="466"/>
      <c r="N67" s="466"/>
      <c r="O67" s="466"/>
      <c r="P67" s="466"/>
      <c r="Q67" s="466"/>
      <c r="R67" s="466"/>
      <c r="S67" s="471"/>
      <c r="T67" s="473"/>
      <c r="U67" s="471"/>
      <c r="V67" s="471"/>
      <c r="W67" s="471"/>
      <c r="X67" s="471"/>
      <c r="Y67" s="471"/>
      <c r="Z67" s="471"/>
      <c r="AA67" s="471"/>
      <c r="AB67" s="471"/>
      <c r="AC67" s="471"/>
      <c r="AD67" s="472"/>
    </row>
    <row r="68" spans="2:30" ht="13.5" thickBot="1">
      <c r="C68" s="477"/>
      <c r="D68" s="478"/>
      <c r="E68" s="478"/>
      <c r="F68" s="478"/>
      <c r="G68" s="478"/>
      <c r="H68" s="478"/>
      <c r="I68" s="478"/>
      <c r="J68" s="478"/>
      <c r="K68" s="478"/>
      <c r="L68" s="478"/>
      <c r="M68" s="478"/>
      <c r="N68" s="478"/>
      <c r="O68" s="478"/>
      <c r="P68" s="478"/>
      <c r="Q68" s="478"/>
      <c r="R68" s="478"/>
      <c r="S68" s="479"/>
      <c r="T68" s="480"/>
      <c r="U68" s="479"/>
      <c r="V68" s="479"/>
      <c r="W68" s="479"/>
      <c r="X68" s="479"/>
      <c r="Y68" s="479"/>
      <c r="Z68" s="479"/>
      <c r="AA68" s="479"/>
      <c r="AB68" s="479"/>
      <c r="AC68" s="479"/>
      <c r="AD68" s="481"/>
    </row>
    <row r="69" spans="2:30">
      <c r="S69" s="482"/>
      <c r="T69" s="483"/>
      <c r="U69" s="482"/>
      <c r="V69" s="482"/>
      <c r="W69" s="482"/>
      <c r="X69" s="482"/>
      <c r="Y69" s="482"/>
      <c r="Z69" s="482"/>
      <c r="AA69" s="482"/>
      <c r="AB69" s="482"/>
      <c r="AC69" s="482"/>
      <c r="AD69" s="482"/>
    </row>
    <row r="70" spans="2:30">
      <c r="S70" s="482"/>
      <c r="T70" s="483"/>
      <c r="U70" s="482"/>
      <c r="V70" s="482"/>
      <c r="W70" s="482"/>
      <c r="X70" s="482"/>
      <c r="Y70" s="482"/>
      <c r="Z70" s="482"/>
      <c r="AA70" s="482"/>
      <c r="AB70" s="482"/>
      <c r="AC70" s="482"/>
      <c r="AD70" s="482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5">
        <v>1</v>
      </c>
    </row>
    <row r="2" spans="1:11" ht="48" customHeight="1">
      <c r="A2" s="365">
        <v>3</v>
      </c>
    </row>
    <row r="4" spans="1:11" ht="48" customHeight="1">
      <c r="C4" s="365">
        <v>1</v>
      </c>
    </row>
    <row r="5" spans="1:11" ht="48" customHeight="1">
      <c r="C5" s="365">
        <v>3</v>
      </c>
    </row>
    <row r="7" spans="1:11" ht="48" customHeight="1">
      <c r="E7" s="365">
        <v>1</v>
      </c>
    </row>
    <row r="8" spans="1:11" ht="48" customHeight="1">
      <c r="E8" s="365">
        <v>3</v>
      </c>
    </row>
    <row r="10" spans="1:11" ht="48" customHeight="1">
      <c r="G10" s="365">
        <v>3</v>
      </c>
    </row>
    <row r="11" spans="1:11" ht="48" customHeight="1">
      <c r="G11" s="365">
        <v>1</v>
      </c>
    </row>
    <row r="13" spans="1:11" ht="48" customHeight="1">
      <c r="I13" s="365">
        <v>3</v>
      </c>
    </row>
    <row r="14" spans="1:11" ht="48" customHeight="1">
      <c r="I14" s="365">
        <v>1</v>
      </c>
    </row>
    <row r="16" spans="1:11" ht="48" customHeight="1">
      <c r="K16" s="365">
        <v>3</v>
      </c>
    </row>
    <row r="17" spans="11:21" ht="48" customHeight="1">
      <c r="K17" s="365">
        <v>1</v>
      </c>
    </row>
    <row r="19" spans="11:21" ht="48" customHeight="1">
      <c r="M19" s="365">
        <v>3</v>
      </c>
    </row>
    <row r="20" spans="11:21" ht="48" customHeight="1">
      <c r="M20" s="365">
        <v>1</v>
      </c>
    </row>
    <row r="22" spans="11:21" ht="48" customHeight="1">
      <c r="O22" s="365">
        <v>3</v>
      </c>
    </row>
    <row r="23" spans="11:21" ht="48" customHeight="1">
      <c r="O23" s="365">
        <v>1</v>
      </c>
    </row>
    <row r="25" spans="11:21" ht="57" customHeight="1">
      <c r="Q25" s="365">
        <v>3</v>
      </c>
    </row>
    <row r="26" spans="11:21" ht="57" customHeight="1">
      <c r="Q26" s="365">
        <v>1</v>
      </c>
    </row>
    <row r="28" spans="11:21" ht="57" customHeight="1">
      <c r="S28" s="365">
        <v>3</v>
      </c>
    </row>
    <row r="29" spans="11:21" ht="57" customHeight="1">
      <c r="S29" s="365">
        <v>1</v>
      </c>
    </row>
    <row r="31" spans="11:21" ht="57" customHeight="1">
      <c r="U31" s="365">
        <v>3</v>
      </c>
    </row>
    <row r="32" spans="11:21" ht="57" customHeight="1">
      <c r="U32" s="36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2023-11-16T06:45:51Z</cp:lastPrinted>
  <dcterms:created xsi:type="dcterms:W3CDTF">2011-02-06T11:57:38Z</dcterms:created>
  <dcterms:modified xsi:type="dcterms:W3CDTF">2024-02-13T02:13:19Z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