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31263354-602E-4495-A718-66AC848C423F}" xr6:coauthVersionLast="47" xr6:coauthVersionMax="47" xr10:uidLastSave="{00000000-0000-0000-0000-000000000000}"/>
  <bookViews>
    <workbookView xWindow="-120" yWindow="-120" windowWidth="15600" windowHeight="11160" tabRatio="859" firstSheet="2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RAB!$A$1:$K$132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G42" i="11"/>
  <c r="D42" i="11"/>
  <c r="E42" i="11"/>
  <c r="D43" i="11"/>
  <c r="E43" i="11"/>
  <c r="D44" i="11"/>
  <c r="E44" i="11"/>
  <c r="G110" i="11"/>
  <c r="D110" i="11"/>
  <c r="I110" i="11" s="1"/>
  <c r="E110" i="11"/>
  <c r="G40" i="11"/>
  <c r="G41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D40" i="11"/>
  <c r="I40" i="11" s="1"/>
  <c r="E40" i="11"/>
  <c r="D41" i="11"/>
  <c r="H41" i="11" s="1"/>
  <c r="E41" i="11"/>
  <c r="I42" i="11"/>
  <c r="D45" i="11"/>
  <c r="H45" i="11" s="1"/>
  <c r="E45" i="11"/>
  <c r="D46" i="11"/>
  <c r="E46" i="11"/>
  <c r="D47" i="11"/>
  <c r="H47" i="11" s="1"/>
  <c r="E47" i="11"/>
  <c r="D48" i="11"/>
  <c r="E48" i="11"/>
  <c r="D49" i="11"/>
  <c r="H49" i="11" s="1"/>
  <c r="E49" i="11"/>
  <c r="D50" i="11"/>
  <c r="I50" i="11" s="1"/>
  <c r="E50" i="11"/>
  <c r="D51" i="11"/>
  <c r="H51" i="11" s="1"/>
  <c r="E51" i="11"/>
  <c r="D52" i="11"/>
  <c r="E52" i="11"/>
  <c r="D53" i="11"/>
  <c r="H53" i="11" s="1"/>
  <c r="E53" i="11"/>
  <c r="D54" i="11"/>
  <c r="E54" i="11"/>
  <c r="D55" i="11"/>
  <c r="H55" i="11" s="1"/>
  <c r="E55" i="11"/>
  <c r="I44" i="11" l="1"/>
  <c r="I52" i="11"/>
  <c r="I48" i="11"/>
  <c r="H43" i="11"/>
  <c r="I46" i="11"/>
  <c r="I54" i="11"/>
  <c r="J110" i="11"/>
  <c r="H110" i="11"/>
  <c r="I55" i="11"/>
  <c r="J54" i="11"/>
  <c r="H54" i="11"/>
  <c r="I53" i="11"/>
  <c r="J52" i="11"/>
  <c r="H52" i="11"/>
  <c r="I51" i="11"/>
  <c r="J50" i="11"/>
  <c r="H50" i="11"/>
  <c r="I49" i="11"/>
  <c r="J48" i="11"/>
  <c r="H48" i="11"/>
  <c r="I47" i="11"/>
  <c r="J46" i="11"/>
  <c r="H46" i="11"/>
  <c r="I45" i="11"/>
  <c r="J44" i="11"/>
  <c r="H44" i="11"/>
  <c r="I43" i="11"/>
  <c r="J42" i="11"/>
  <c r="H42" i="11"/>
  <c r="I41" i="11"/>
  <c r="J40" i="11"/>
  <c r="H40" i="11"/>
  <c r="J55" i="11"/>
  <c r="J53" i="11"/>
  <c r="J51" i="11"/>
  <c r="J49" i="11"/>
  <c r="J47" i="11"/>
  <c r="J45" i="11"/>
  <c r="J43" i="11"/>
  <c r="J41" i="11"/>
  <c r="K110" i="11" l="1"/>
  <c r="K44" i="11"/>
  <c r="K48" i="11"/>
  <c r="K52" i="11"/>
  <c r="K40" i="11"/>
  <c r="K43" i="11"/>
  <c r="K47" i="11"/>
  <c r="K51" i="11"/>
  <c r="K55" i="11"/>
  <c r="K41" i="11"/>
  <c r="K45" i="11"/>
  <c r="K49" i="11"/>
  <c r="K53" i="11"/>
  <c r="K42" i="11"/>
  <c r="K46" i="11"/>
  <c r="K50" i="11"/>
  <c r="K54" i="11"/>
  <c r="D24" i="11" l="1"/>
  <c r="F61" i="11"/>
  <c r="F60" i="11"/>
  <c r="F59" i="11"/>
  <c r="F58" i="11"/>
  <c r="G56" i="11"/>
  <c r="G57" i="11"/>
  <c r="G58" i="11"/>
  <c r="G59" i="11"/>
  <c r="G60" i="11"/>
  <c r="G61" i="11"/>
  <c r="D56" i="11"/>
  <c r="H56" i="11" s="1"/>
  <c r="E56" i="11"/>
  <c r="D57" i="11"/>
  <c r="H57" i="11" s="1"/>
  <c r="E57" i="11"/>
  <c r="D58" i="11"/>
  <c r="J58" i="11" s="1"/>
  <c r="E58" i="11"/>
  <c r="D59" i="11"/>
  <c r="E59" i="11"/>
  <c r="D60" i="11"/>
  <c r="H60" i="11" s="1"/>
  <c r="E60" i="11"/>
  <c r="D61" i="11"/>
  <c r="H61" i="11" s="1"/>
  <c r="E61" i="11"/>
  <c r="I59" i="11" l="1"/>
  <c r="I58" i="11"/>
  <c r="J61" i="11"/>
  <c r="H59" i="11"/>
  <c r="J57" i="11"/>
  <c r="I61" i="11"/>
  <c r="J60" i="11"/>
  <c r="H58" i="11"/>
  <c r="I57" i="11"/>
  <c r="J56" i="11"/>
  <c r="I60" i="11"/>
  <c r="J59" i="11"/>
  <c r="I56" i="11"/>
  <c r="K58" i="11" l="1"/>
  <c r="K61" i="11"/>
  <c r="K56" i="11"/>
  <c r="K60" i="11"/>
  <c r="K57" i="11"/>
  <c r="K59" i="11"/>
  <c r="G98" i="11" l="1"/>
  <c r="G99" i="11"/>
  <c r="G100" i="11"/>
  <c r="G101" i="11"/>
  <c r="G102" i="11"/>
  <c r="F102" i="11"/>
  <c r="F100" i="11"/>
  <c r="F99" i="11"/>
  <c r="F98" i="11"/>
  <c r="D16" i="11"/>
  <c r="D17" i="11"/>
  <c r="F109" i="11" l="1"/>
  <c r="F108" i="11"/>
  <c r="F107" i="11"/>
  <c r="F106" i="11"/>
  <c r="F105" i="11"/>
  <c r="D102" i="11"/>
  <c r="H102" i="11" s="1"/>
  <c r="E102" i="11"/>
  <c r="G96" i="11"/>
  <c r="G97" i="11"/>
  <c r="G103" i="11"/>
  <c r="G104" i="11"/>
  <c r="G105" i="11"/>
  <c r="G106" i="11"/>
  <c r="G107" i="11"/>
  <c r="G108" i="11"/>
  <c r="G109" i="11"/>
  <c r="G111" i="11"/>
  <c r="D96" i="11"/>
  <c r="H96" i="11" s="1"/>
  <c r="E96" i="11"/>
  <c r="D97" i="11"/>
  <c r="J97" i="11" s="1"/>
  <c r="E97" i="11"/>
  <c r="D98" i="11"/>
  <c r="I98" i="11" s="1"/>
  <c r="E98" i="11"/>
  <c r="D99" i="11"/>
  <c r="E99" i="11"/>
  <c r="D100" i="11"/>
  <c r="E100" i="11"/>
  <c r="D101" i="11"/>
  <c r="E101" i="11"/>
  <c r="D103" i="11"/>
  <c r="I103" i="11" s="1"/>
  <c r="E103" i="11"/>
  <c r="D104" i="11"/>
  <c r="H104" i="11" s="1"/>
  <c r="E104" i="11"/>
  <c r="D105" i="11"/>
  <c r="H105" i="11" s="1"/>
  <c r="E105" i="11"/>
  <c r="D106" i="11"/>
  <c r="J106" i="11" s="1"/>
  <c r="E106" i="11"/>
  <c r="D107" i="11"/>
  <c r="I107" i="11" s="1"/>
  <c r="E107" i="11"/>
  <c r="D108" i="11"/>
  <c r="H108" i="11" s="1"/>
  <c r="E108" i="11"/>
  <c r="D109" i="11"/>
  <c r="H109" i="11" s="1"/>
  <c r="E109" i="11"/>
  <c r="D111" i="11"/>
  <c r="E111" i="11"/>
  <c r="F72" i="11"/>
  <c r="F71" i="11"/>
  <c r="F70" i="11"/>
  <c r="F69" i="11"/>
  <c r="F68" i="11"/>
  <c r="F67" i="11"/>
  <c r="F66" i="11"/>
  <c r="F65" i="11"/>
  <c r="F64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5" i="11"/>
  <c r="G16" i="11"/>
  <c r="G17" i="11"/>
  <c r="G18" i="11"/>
  <c r="J111" i="11" l="1"/>
  <c r="J102" i="11"/>
  <c r="I102" i="11"/>
  <c r="H100" i="11"/>
  <c r="J101" i="11"/>
  <c r="H99" i="11"/>
  <c r="J105" i="11"/>
  <c r="H103" i="11"/>
  <c r="H97" i="11"/>
  <c r="I106" i="11"/>
  <c r="J100" i="11"/>
  <c r="H98" i="11"/>
  <c r="H106" i="11"/>
  <c r="J104" i="11"/>
  <c r="I101" i="11"/>
  <c r="J96" i="11"/>
  <c r="H107" i="11"/>
  <c r="H101" i="11"/>
  <c r="J99" i="11"/>
  <c r="I97" i="11"/>
  <c r="I111" i="11"/>
  <c r="J109" i="11"/>
  <c r="H111" i="11"/>
  <c r="I109" i="11"/>
  <c r="J108" i="11"/>
  <c r="I105" i="11"/>
  <c r="I100" i="11"/>
  <c r="I96" i="11"/>
  <c r="I108" i="11"/>
  <c r="K108" i="11" s="1"/>
  <c r="J107" i="11"/>
  <c r="I104" i="11"/>
  <c r="J103" i="11"/>
  <c r="I99" i="11"/>
  <c r="J98" i="11"/>
  <c r="K105" i="11" l="1"/>
  <c r="K102" i="11"/>
  <c r="K101" i="11"/>
  <c r="K99" i="11"/>
  <c r="K109" i="11"/>
  <c r="K107" i="11"/>
  <c r="K106" i="11"/>
  <c r="K104" i="11"/>
  <c r="K100" i="11"/>
  <c r="K98" i="11"/>
  <c r="K103" i="11"/>
  <c r="K96" i="11"/>
  <c r="K111" i="11"/>
  <c r="K97" i="11"/>
  <c r="D8" i="59" l="1"/>
  <c r="E16" i="11"/>
  <c r="E17" i="11"/>
  <c r="E18" i="11"/>
  <c r="G62" i="11"/>
  <c r="G63" i="11"/>
  <c r="G64" i="11"/>
  <c r="G65" i="11"/>
  <c r="G66" i="11"/>
  <c r="G67" i="11"/>
  <c r="G68" i="11"/>
  <c r="G69" i="11"/>
  <c r="G70" i="11"/>
  <c r="G71" i="11"/>
  <c r="D62" i="11"/>
  <c r="J62" i="11" s="1"/>
  <c r="E62" i="11"/>
  <c r="D63" i="11"/>
  <c r="E63" i="11"/>
  <c r="D64" i="11"/>
  <c r="H64" i="11" s="1"/>
  <c r="E64" i="11"/>
  <c r="D65" i="11"/>
  <c r="H65" i="11" s="1"/>
  <c r="E65" i="11"/>
  <c r="D66" i="11"/>
  <c r="E66" i="11"/>
  <c r="D67" i="11"/>
  <c r="E67" i="11"/>
  <c r="D68" i="11"/>
  <c r="H68" i="11" s="1"/>
  <c r="E68" i="11"/>
  <c r="D69" i="11"/>
  <c r="H69" i="11" s="1"/>
  <c r="E69" i="11"/>
  <c r="D70" i="11"/>
  <c r="J70" i="11" s="1"/>
  <c r="E70" i="11"/>
  <c r="D71" i="11"/>
  <c r="E71" i="11"/>
  <c r="I71" i="11" l="1"/>
  <c r="I67" i="11"/>
  <c r="H17" i="11"/>
  <c r="I17" i="11"/>
  <c r="J17" i="11"/>
  <c r="J66" i="11"/>
  <c r="I63" i="11"/>
  <c r="H71" i="11"/>
  <c r="I70" i="11"/>
  <c r="J69" i="11"/>
  <c r="H67" i="11"/>
  <c r="I66" i="11"/>
  <c r="J65" i="11"/>
  <c r="H63" i="11"/>
  <c r="I62" i="11"/>
  <c r="H70" i="11"/>
  <c r="I69" i="11"/>
  <c r="J68" i="11"/>
  <c r="H66" i="11"/>
  <c r="I65" i="11"/>
  <c r="J64" i="11"/>
  <c r="H62" i="11"/>
  <c r="J71" i="11"/>
  <c r="I68" i="11"/>
  <c r="J67" i="11"/>
  <c r="I64" i="11"/>
  <c r="J63" i="11"/>
  <c r="K68" i="11" l="1"/>
  <c r="K17" i="11"/>
  <c r="K65" i="11"/>
  <c r="K70" i="11"/>
  <c r="K69" i="11"/>
  <c r="K66" i="11"/>
  <c r="K64" i="11"/>
  <c r="K62" i="11"/>
  <c r="K71" i="11"/>
  <c r="K67" i="11"/>
  <c r="K63" i="11"/>
  <c r="D95" i="11" l="1"/>
  <c r="H95" i="11" s="1"/>
  <c r="D112" i="11"/>
  <c r="J112" i="11" s="1"/>
  <c r="G95" i="11"/>
  <c r="D15" i="11"/>
  <c r="D18" i="11"/>
  <c r="D19" i="11"/>
  <c r="H19" i="11" s="1"/>
  <c r="D20" i="11"/>
  <c r="H20" i="11" s="1"/>
  <c r="G19" i="11"/>
  <c r="G20" i="11"/>
  <c r="G21" i="11"/>
  <c r="K6" i="60"/>
  <c r="M113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93" i="11"/>
  <c r="E93" i="11"/>
  <c r="D93" i="11"/>
  <c r="G92" i="11"/>
  <c r="E92" i="11"/>
  <c r="D92" i="11"/>
  <c r="H92" i="11" s="1"/>
  <c r="G91" i="11"/>
  <c r="E91" i="11"/>
  <c r="D91" i="11"/>
  <c r="G90" i="11"/>
  <c r="E90" i="11"/>
  <c r="D90" i="11"/>
  <c r="J90" i="11" s="1"/>
  <c r="G89" i="11"/>
  <c r="E89" i="11"/>
  <c r="D89" i="11"/>
  <c r="I89" i="11" s="1"/>
  <c r="G88" i="11"/>
  <c r="E88" i="11"/>
  <c r="D88" i="11"/>
  <c r="G87" i="11"/>
  <c r="E87" i="11"/>
  <c r="D87" i="11"/>
  <c r="H87" i="11" s="1"/>
  <c r="G86" i="11"/>
  <c r="E86" i="11"/>
  <c r="D86" i="11"/>
  <c r="G85" i="11"/>
  <c r="E85" i="11"/>
  <c r="D85" i="11"/>
  <c r="G84" i="11"/>
  <c r="E84" i="11"/>
  <c r="D84" i="11"/>
  <c r="G83" i="11"/>
  <c r="E83" i="11"/>
  <c r="D83" i="11"/>
  <c r="J83" i="11" s="1"/>
  <c r="G82" i="11"/>
  <c r="E82" i="11"/>
  <c r="D82" i="11"/>
  <c r="J82" i="11" s="1"/>
  <c r="G81" i="11"/>
  <c r="E81" i="11"/>
  <c r="D81" i="11"/>
  <c r="G80" i="11"/>
  <c r="E80" i="11"/>
  <c r="D80" i="11"/>
  <c r="G79" i="11"/>
  <c r="E79" i="11"/>
  <c r="D79" i="11"/>
  <c r="G78" i="11"/>
  <c r="E78" i="11"/>
  <c r="D78" i="11"/>
  <c r="G77" i="11"/>
  <c r="E77" i="11"/>
  <c r="D77" i="11"/>
  <c r="J77" i="11" s="1"/>
  <c r="G76" i="11"/>
  <c r="E76" i="11"/>
  <c r="D76" i="11"/>
  <c r="G75" i="11"/>
  <c r="E75" i="11"/>
  <c r="D75" i="11"/>
  <c r="G74" i="11"/>
  <c r="E74" i="11"/>
  <c r="D74" i="11"/>
  <c r="G73" i="11"/>
  <c r="E73" i="11"/>
  <c r="D73" i="11"/>
  <c r="G72" i="11"/>
  <c r="E72" i="11"/>
  <c r="D72" i="11"/>
  <c r="M23" i="11"/>
  <c r="M72" i="11"/>
  <c r="D14" i="59"/>
  <c r="D5" i="60" s="1"/>
  <c r="K5" i="60" s="1"/>
  <c r="E39" i="11"/>
  <c r="D39" i="11"/>
  <c r="E38" i="11"/>
  <c r="D38" i="1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95" i="11"/>
  <c r="D94" i="11"/>
  <c r="E94" i="11"/>
  <c r="M95" i="11"/>
  <c r="E112" i="11"/>
  <c r="G112" i="11"/>
  <c r="D14" i="11"/>
  <c r="H14" i="11" s="1"/>
  <c r="E14" i="11"/>
  <c r="G14" i="11"/>
  <c r="K19" i="60"/>
  <c r="D19" i="60"/>
  <c r="M112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113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13" i="11"/>
  <c r="D114" i="11"/>
  <c r="E114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14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13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21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94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04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73" i="11" l="1"/>
  <c r="H26" i="11"/>
  <c r="J38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105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06" i="11"/>
  <c r="M107" i="11"/>
  <c r="M109" i="11"/>
  <c r="M108" i="11"/>
  <c r="E776" i="41"/>
  <c r="E272" i="29"/>
  <c r="F717" i="41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94" i="11"/>
  <c r="I94" i="11"/>
  <c r="F806" i="41"/>
  <c r="E1081" i="41"/>
  <c r="E1027" i="41"/>
  <c r="F861" i="41"/>
  <c r="E861" i="41"/>
  <c r="E230" i="29"/>
  <c r="E346" i="29"/>
  <c r="E274" i="29"/>
  <c r="F274" i="29"/>
  <c r="H114" i="11"/>
  <c r="J114" i="11"/>
  <c r="I37" i="11"/>
  <c r="J35" i="11"/>
  <c r="H33" i="11"/>
  <c r="I34" i="11"/>
  <c r="E340" i="29"/>
  <c r="H28" i="11"/>
  <c r="I33" i="11"/>
  <c r="I77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77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E59" i="39"/>
  <c r="E290" i="29"/>
  <c r="I28" i="11"/>
  <c r="F323" i="29"/>
  <c r="E260" i="29"/>
  <c r="E236" i="29"/>
  <c r="E73" i="39"/>
  <c r="E341" i="29"/>
  <c r="F341" i="29"/>
  <c r="F299" i="29"/>
  <c r="H39" i="11"/>
  <c r="J39" i="11"/>
  <c r="J93" i="11"/>
  <c r="H93" i="11"/>
  <c r="I93" i="11"/>
  <c r="F300" i="29"/>
  <c r="E284" i="29"/>
  <c r="M71" i="11"/>
  <c r="J19" i="11"/>
  <c r="F233" i="29"/>
  <c r="E58" i="39"/>
  <c r="F319" i="29"/>
  <c r="F310" i="29"/>
  <c r="I39" i="11"/>
  <c r="I36" i="11"/>
  <c r="I31" i="11"/>
  <c r="I35" i="11"/>
  <c r="H94" i="11"/>
  <c r="J22" i="11"/>
  <c r="J20" i="11"/>
  <c r="M103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72" i="11"/>
  <c r="H72" i="11"/>
  <c r="H76" i="11"/>
  <c r="J76" i="11"/>
  <c r="I76" i="11"/>
  <c r="J80" i="11"/>
  <c r="I80" i="11"/>
  <c r="H80" i="11"/>
  <c r="J84" i="11"/>
  <c r="H84" i="11"/>
  <c r="I88" i="11"/>
  <c r="J88" i="11"/>
  <c r="H88" i="11"/>
  <c r="J25" i="11"/>
  <c r="H25" i="11"/>
  <c r="I72" i="11"/>
  <c r="I75" i="11"/>
  <c r="H75" i="11"/>
  <c r="J75" i="11"/>
  <c r="I79" i="11"/>
  <c r="J79" i="11"/>
  <c r="H79" i="11"/>
  <c r="H83" i="11"/>
  <c r="I83" i="11"/>
  <c r="I87" i="11"/>
  <c r="J87" i="11"/>
  <c r="I91" i="11"/>
  <c r="H91" i="11"/>
  <c r="J91" i="11"/>
  <c r="I114" i="11"/>
  <c r="I32" i="11"/>
  <c r="J24" i="11"/>
  <c r="H24" i="11"/>
  <c r="I24" i="11"/>
  <c r="J74" i="11"/>
  <c r="H74" i="11"/>
  <c r="I74" i="11"/>
  <c r="J78" i="11"/>
  <c r="H78" i="11"/>
  <c r="I78" i="11"/>
  <c r="I82" i="11"/>
  <c r="H82" i="11"/>
  <c r="J86" i="11"/>
  <c r="H86" i="11"/>
  <c r="I86" i="11"/>
  <c r="H90" i="11"/>
  <c r="I90" i="11"/>
  <c r="I84" i="11"/>
  <c r="H73" i="11"/>
  <c r="J73" i="11"/>
  <c r="I81" i="11"/>
  <c r="H81" i="11"/>
  <c r="J81" i="11"/>
  <c r="J85" i="11"/>
  <c r="H85" i="11"/>
  <c r="I85" i="11"/>
  <c r="J89" i="11"/>
  <c r="H89" i="11"/>
  <c r="I92" i="11"/>
  <c r="I112" i="11"/>
  <c r="J95" i="11"/>
  <c r="H31" i="11"/>
  <c r="J92" i="11"/>
  <c r="I19" i="11"/>
  <c r="H112" i="11"/>
  <c r="I95" i="11"/>
  <c r="H38" i="11"/>
  <c r="I23" i="11"/>
  <c r="F781" i="41" l="1"/>
  <c r="F291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96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95" i="1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87" i="11"/>
  <c r="M87" i="11" s="1"/>
  <c r="K77" i="11"/>
  <c r="M77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111" i="11"/>
  <c r="K114" i="11"/>
  <c r="K93" i="11"/>
  <c r="M93" i="11" s="1"/>
  <c r="K39" i="11"/>
  <c r="M39" i="11" s="1"/>
  <c r="K94" i="11"/>
  <c r="M94" i="11" s="1"/>
  <c r="K23" i="11"/>
  <c r="F350" i="29"/>
  <c r="K90" i="11"/>
  <c r="M90" i="11" s="1"/>
  <c r="K92" i="11"/>
  <c r="M92" i="11" s="1"/>
  <c r="K73" i="11"/>
  <c r="M73" i="11" s="1"/>
  <c r="K32" i="11"/>
  <c r="M32" i="11" s="1"/>
  <c r="K83" i="11"/>
  <c r="M83" i="11" s="1"/>
  <c r="K76" i="11"/>
  <c r="M76" i="11" s="1"/>
  <c r="K21" i="11"/>
  <c r="M21" i="11" s="1"/>
  <c r="K31" i="11"/>
  <c r="M31" i="11" s="1"/>
  <c r="K81" i="11"/>
  <c r="M81" i="11" s="1"/>
  <c r="K112" i="11"/>
  <c r="K78" i="11"/>
  <c r="M78" i="11" s="1"/>
  <c r="K24" i="11"/>
  <c r="M24" i="11" s="1"/>
  <c r="H113" i="11"/>
  <c r="H116" i="11" s="1"/>
  <c r="F312" i="29"/>
  <c r="F339" i="29"/>
  <c r="F226" i="29"/>
  <c r="F345" i="29"/>
  <c r="F239" i="29"/>
  <c r="I113" i="11"/>
  <c r="I116" i="11" s="1"/>
  <c r="J113" i="11"/>
  <c r="J116" i="11" s="1"/>
  <c r="K82" i="11"/>
  <c r="M82" i="11" s="1"/>
  <c r="K91" i="11"/>
  <c r="M91" i="11" s="1"/>
  <c r="K84" i="11"/>
  <c r="M84" i="11" s="1"/>
  <c r="K72" i="11"/>
  <c r="K85" i="11"/>
  <c r="M85" i="11" s="1"/>
  <c r="K88" i="11"/>
  <c r="M88" i="11" s="1"/>
  <c r="K89" i="11"/>
  <c r="M89" i="11" s="1"/>
  <c r="K86" i="11"/>
  <c r="M86" i="11" s="1"/>
  <c r="K74" i="11"/>
  <c r="M74" i="11" s="1"/>
  <c r="K79" i="11"/>
  <c r="M79" i="11" s="1"/>
  <c r="K75" i="11"/>
  <c r="M75" i="11" s="1"/>
  <c r="K80" i="11"/>
  <c r="M80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17" i="11"/>
  <c r="J118" i="11" s="1"/>
  <c r="H117" i="11"/>
  <c r="H118" i="11" s="1"/>
  <c r="I117" i="11"/>
  <c r="I118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3" i="39"/>
  <c r="E23" i="39" s="1"/>
  <c r="G23" i="39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D106" i="2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13" i="11"/>
  <c r="K116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28" i="39" l="1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17" i="11"/>
  <c r="K118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132" i="29" l="1"/>
  <c r="H33" i="39"/>
  <c r="H92" i="29"/>
  <c r="J21" i="39"/>
  <c r="H21" i="39"/>
  <c r="J148" i="29"/>
  <c r="K148" i="29" s="1"/>
  <c r="H29" i="39"/>
  <c r="K29" i="39" s="1"/>
  <c r="H85" i="29"/>
  <c r="K85" i="29" s="1"/>
  <c r="I22" i="39"/>
  <c r="K30" i="39"/>
  <c r="H122" i="29"/>
  <c r="J20" i="29"/>
  <c r="J18" i="29"/>
  <c r="I17" i="39"/>
  <c r="I20" i="29"/>
  <c r="J92" i="29"/>
  <c r="J35" i="29"/>
  <c r="I122" i="29"/>
  <c r="I132" i="29"/>
  <c r="K132" i="29" s="1"/>
  <c r="J33" i="39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K35" i="29" s="1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19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33" i="39" l="1"/>
  <c r="K92" i="29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<sst xmlns="http://schemas.openxmlformats.org/spreadsheetml/2006/main" count="4792" uniqueCount="1646">
  <si>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</si>
  <si>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</si>
  <si>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</si>
  <si>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</si>
  <si>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</si>
  <si>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</si>
  <si>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</si>
  <si>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</si>
  <si>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</si>
  <si>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</si>
  <si>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</si>
  <si>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</si>
  <si>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</si>
  <si>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</si>
  <si>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</si>
  <si>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</si>
  <si>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</si>
  <si>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</si>
  <si>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</si>
  <si>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</si>
  <si>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</si>
  <si>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</si>
  <si>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</si>
  <si>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</si>
  <si>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</si>
  <si>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</si>
  <si>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</si>
  <si>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</si>
  <si>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</si>
  <si>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</si>
  <si>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</si>
  <si>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</si>
  <si>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</si>
  <si>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</si>
  <si>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</si>
  <si>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</si>
  <si>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</si>
  <si>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</si>
  <si>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</si>
  <si>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</si>
  <si>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</si>
  <si>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</si>
  <si>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</si>
  <si>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</si>
  <si>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</si>
  <si>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</si>
  <si>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</si>
  <si>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</si>
  <si>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</si>
  <si>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</si>
  <si>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</si>
  <si>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</si>
  <si>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</si>
  <si>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</si>
  <si>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</si>
  <si>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</si>
  <si>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</si>
  <si>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</si>
  <si>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</si>
  <si>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</si>
  <si>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</si>
  <si>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</si>
  <si>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</si>
  <si>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</si>
  <si>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</si>
  <si>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</si>
  <si>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</si>
  <si>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</si>
  <si>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</si>
  <si>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</si>
  <si>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</si>
  <si>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</si>
  <si>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</si>
  <si>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</si>
  <si>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</si>
  <si>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</si>
  <si>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</si>
  <si>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</si>
  <si>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</si>
  <si>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</si>
  <si>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</si>
  <si>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</si>
  <si>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</si>
  <si>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</si>
  <si>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</si>
  <si>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</si>
  <si>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</si>
  <si>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</si>
  <si>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</si>
  <si>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</si>
  <si>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</si>
  <si>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</si>
  <si>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</si>
  <si>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</si>
  <si>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</si>
  <si>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</si>
  <si>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</si>
  <si>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</si>
  <si>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</si>
  <si>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</si>
  <si>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</si>
  <si>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</si>
  <si>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</si>
  <si>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</si>
  <si>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</si>
  <si>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</si>
  <si>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</si>
  <si>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</si>
  <si>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</si>
  <si>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</si>
  <si>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</si>
  <si>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</si>
  <si>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</si>
  <si>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</si>
  <si>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</si>
  <si>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</si>
  <si>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</si>
  <si>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</si>
  <si>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</si>
  <si>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</si>
  <si>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</si>
  <si>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</si>
  <si>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</si>
  <si>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</si>
  <si>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</si>
  <si>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</si>
  <si>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</si>
  <si>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</si>
  <si>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</si>
  <si>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</si>
  <si>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</si>
  <si>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</si>
  <si>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</si>
  <si>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</si>
  <si>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</si>
  <si>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</si>
  <si>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</si>
  <si>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</si>
  <si>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</si>
  <si>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</si>
  <si>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</si>
  <si>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</si>
  <si>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</si>
  <si>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</si>
  <si>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</si>
  <si>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</si>
  <si>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</si>
  <si>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</si>
  <si>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</si>
  <si>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</si>
  <si>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</si>
  <si>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</si>
  <si>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</si>
  <si>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</si>
  <si>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</si>
  <si>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</si>
  <si>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</si>
  <si>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</si>
  <si>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</si>
  <si>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</si>
  <si>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</si>
  <si>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</si>
  <si>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</si>
  <si>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</si>
  <si>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</si>
  <si>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</si>
  <si>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</si>
  <si>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</si>
  <si>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</si>
  <si>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</si>
  <si>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</si>
  <si>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</si>
  <si>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</si>
  <si>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</si>
  <si>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</si>
  <si>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</si>
  <si>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</si>
  <si>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</si>
  <si>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</si>
  <si>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</si>
  <si>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</si>
  <si>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</si>
  <si>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</si>
  <si>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</si>
  <si>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</si>
  <si>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</si>
  <si>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</si>
  <si>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</si>
  <si>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</si>
  <si>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</si>
  <si>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</si>
  <si>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</si>
  <si>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</si>
  <si>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</si>
  <si>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</si>
  <si>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</si>
  <si>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</si>
  <si>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</si>
  <si>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</si>
  <si>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</si>
  <si>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</si>
  <si>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</si>
  <si>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</si>
  <si>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</si>
  <si>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</si>
  <si>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</si>
  <si>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</si>
  <si>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</si>
  <si>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</si>
  <si>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</si>
  <si>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</si>
  <si>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</si>
  <si>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</si>
  <si>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</si>
  <si>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</si>
  <si>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</si>
  <si>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</si>
  <si>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</si>
  <si>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</si>
  <si>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</si>
  <si>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</si>
  <si>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</si>
  <si>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</si>
  <si>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</si>
  <si>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</si>
  <si>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</si>
  <si>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</si>
  <si>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</si>
  <si>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</si>
  <si>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</si>
  <si>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</si>
  <si>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</si>
  <si>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</si>
  <si>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</si>
  <si>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</si>
  <si>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</si>
  <si>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</si>
  <si>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</si>
  <si>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</si>
  <si>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</si>
  <si>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</si>
  <si>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</si>
  <si>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</si>
  <si>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</si>
  <si>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</si>
  <si>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</si>
  <si>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</si>
  <si>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</si>
  <si>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</si>
  <si>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</si>
  <si>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</si>
  <si>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</si>
  <si>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</si>
  <si>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</si>
  <si>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</si>
  <si>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</si>
  <si>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</si>
  <si>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</si>
  <si>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</si>
  <si>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</si>
  <si>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</si>
  <si>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</si>
  <si>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</si>
  <si>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</si>
  <si>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</si>
  <si>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</si>
  <si>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</si>
  <si>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</si>
  <si>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</si>
  <si>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</si>
  <si>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</si>
  <si>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</si>
  <si>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</si>
  <si>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</si>
  <si>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</si>
  <si>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</si>
  <si>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</si>
  <si>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</si>
  <si>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</si>
  <si>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</si>
  <si>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</si>
  <si>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</si>
  <si>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</si>
  <si>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</si>
  <si>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</si>
  <si>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</si>
  <si>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</si>
  <si>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</si>
  <si>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</si>
  <si>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</si>
  <si>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</si>
  <si>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</si>
  <si>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</si>
  <si>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</si>
  <si>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</si>
  <si>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</si>
  <si>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</si>
  <si>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</si>
  <si>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</si>
  <si>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</si>
  <si>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</si>
  <si>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</si>
  <si>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</si>
  <si>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</si>
  <si>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</si>
  <si>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</si>
  <si>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</si>
  <si>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</si>
  <si>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</si>
  <si>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</si>
  <si>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</si>
  <si>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</si>
  <si>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</si>
  <si>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</si>
  <si>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</si>
  <si>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</si>
  <si>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</si>
  <si>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</si>
  <si>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</si>
  <si>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</si>
  <si>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</si>
  <si>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</si>
  <si>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</si>
  <si>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</si>
  <si>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</si>
  <si>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</si>
  <si>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</si>
  <si>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</si>
  <si>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</si>
  <si>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</si>
  <si>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</si>
  <si>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</si>
  <si>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</si>
  <si>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</si>
  <si>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</si>
  <si>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</si>
  <si>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</si>
  <si>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</si>
  <si>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</si>
  <si>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</si>
  <si>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</si>
  <si>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</si>
  <si>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</si>
  <si>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</si>
  <si>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</si>
  <si>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</si>
  <si>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</si>
  <si>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</si>
  <si>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</si>
  <si>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</si>
  <si>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</si>
  <si>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</si>
  <si>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</si>
  <si>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</si>
  <si>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</si>
  <si>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</si>
  <si>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</si>
  <si>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</si>
  <si>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</si>
  <si>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</si>
  <si>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</si>
  <si>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</si>
  <si>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</si>
  <si>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</si>
  <si>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</si>
  <si>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</si>
  <si>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</si>
  <si>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</si>
  <si>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</si>
  <si>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</si>
  <si>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</si>
  <si>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</si>
  <si>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</si>
  <si>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</si>
  <si>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</si>
  <si>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</si>
  <si>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</si>
  <si>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</si>
  <si>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</si>
  <si>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</si>
  <si>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</si>
  <si>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</si>
  <si>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</si>
  <si>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</si>
  <si>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</si>
  <si>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</si>
  <si>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</si>
  <si>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</si>
  <si>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</si>
  <si>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</si>
  <si>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</si>
  <si>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</si>
  <si>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</si>
  <si>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</si>
  <si>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</si>
  <si>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</si>
  <si>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</si>
  <si>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</si>
  <si>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</si>
  <si>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</si>
  <si>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</si>
  <si>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</si>
  <si>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</si>
  <si>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</si>
  <si>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</si>
  <si>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</si>
  <si>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</si>
  <si>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</si>
  <si>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</si>
  <si>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</si>
  <si>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</si>
  <si>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</si>
  <si>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</si>
  <si>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</si>
  <si>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</si>
  <si>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</si>
  <si>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</si>
  <si>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</si>
  <si>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</si>
  <si>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</si>
  <si>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</si>
  <si>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</si>
  <si>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</si>
  <si>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</si>
  <si>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</si>
  <si>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</si>
  <si>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</si>
  <si>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</si>
  <si>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</si>
  <si>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</si>
  <si>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</si>
  <si>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</si>
  <si>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</si>
  <si>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</si>
  <si>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</si>
  <si>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</si>
  <si>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</si>
  <si>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</si>
  <si>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</si>
  <si>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</si>
  <si>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</si>
  <si>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</si>
  <si>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</si>
  <si>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</si>
  <si>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</si>
  <si>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</si>
  <si>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</si>
  <si>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</si>
  <si>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</si>
  <si>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</si>
  <si>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</si>
  <si>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</si>
  <si>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</si>
  <si>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</si>
  <si>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</si>
  <si>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</si>
  <si>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</si>
  <si>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</si>
  <si>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</si>
  <si>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</si>
  <si>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</si>
  <si>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</si>
  <si>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</si>
  <si>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</si>
  <si>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</si>
  <si>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</si>
  <si>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</si>
  <si>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</si>
  <si>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</si>
  <si>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</si>
  <si>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</si>
  <si>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</si>
  <si>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</si>
  <si>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</si>
  <si>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</si>
  <si>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</si>
  <si>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</si>
  <si>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</si>
  <si>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</si>
  <si>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</si>
  <si>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</si>
  <si>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</si>
  <si>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</si>
  <si>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</si>
  <si>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</si>
  <si>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</si>
  <si>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</si>
  <si>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</si>
  <si>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</si>
  <si>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</si>
  <si>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</si>
  <si>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</si>
  <si>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</si>
  <si>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</si>
  <si>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</si>
  <si>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</si>
  <si>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</si>
  <si>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</si>
  <si>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</si>
  <si>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</si>
  <si>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</si>
  <si>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</si>
  <si>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</si>
  <si>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</si>
  <si>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</si>
  <si>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</si>
  <si>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</si>
  <si>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</si>
  <si>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</si>
  <si>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</si>
  <si>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</si>
  <si>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</si>
  <si>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</si>
  <si>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</si>
  <si>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</si>
  <si>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</si>
  <si>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</si>
  <si>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</si>
  <si>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</si>
  <si>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</si>
  <si>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</si>
  <si>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</si>
  <si>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</si>
  <si>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</si>
  <si>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</si>
  <si>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</si>
  <si>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</si>
  <si>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</si>
  <si>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</si>
  <si>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</si>
  <si>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</si>
  <si>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</si>
  <si>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</si>
  <si>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</si>
  <si>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</si>
  <si>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</si>
  <si>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</si>
  <si>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</si>
  <si>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</si>
  <si>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</si>
  <si>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</si>
  <si>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</si>
  <si>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</si>
  <si>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</si>
  <si>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</si>
  <si>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</si>
  <si>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</si>
  <si>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</si>
  <si>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</si>
  <si>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</si>
  <si>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</si>
  <si>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</si>
  <si>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</si>
  <si>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</si>
  <si>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</si>
  <si>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</si>
  <si>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</si>
  <si>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</si>
  <si>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</si>
  <si>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</si>
  <si>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</si>
  <si>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</si>
  <si>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</si>
  <si>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</si>
  <si>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</si>
  <si>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</si>
  <si>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</si>
  <si>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</si>
  <si>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</si>
  <si>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</si>
  <si>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</si>
  <si>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</si>
  <si>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</si>
  <si>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</si>
  <si>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</si>
  <si>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</si>
  <si>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</si>
  <si>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</si>
  <si>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</si>
  <si>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</si>
  <si>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</si>
  <si>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</si>
  <si>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</si>
  <si>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</si>
  <si>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</si>
  <si>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</si>
  <si>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</si>
  <si>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</si>
  <si>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</si>
  <si>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</si>
  <si>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</si>
  <si>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</si>
  <si>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</si>
  <si>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</si>
  <si>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</si>
  <si>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</si>
  <si>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</si>
  <si>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</si>
  <si>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</si>
  <si>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</si>
  <si>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</si>
  <si>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</si>
  <si>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</si>
  <si>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</si>
  <si>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</si>
  <si>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</si>
  <si>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</si>
  <si>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</si>
  <si>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</si>
  <si>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</si>
  <si>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</si>
  <si>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</si>
  <si>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</si>
  <si>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</si>
  <si>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</si>
  <si>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</si>
  <si>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</si>
  <si>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</si>
  <si>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</si>
  <si>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</si>
  <si>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</si>
  <si>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</si>
  <si>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</si>
  <si>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</si>
  <si>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</si>
  <si>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</si>
  <si>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</si>
  <si>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</si>
  <si>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</si>
  <si>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</si>
  <si>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</si>
  <si>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</si>
  <si>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</si>
  <si>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</si>
  <si>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</si>
  <si>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</si>
  <si>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</si>
  <si>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</si>
  <si>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</si>
  <si>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</si>
  <si>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</si>
  <si>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</si>
  <si>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</si>
  <si>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</si>
  <si>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</si>
  <si>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</si>
  <si>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</si>
  <si>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</si>
  <si>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</si>
  <si>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</si>
  <si>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</si>
  <si>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</si>
  <si>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</si>
  <si>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</si>
  <si>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</si>
  <si>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</si>
  <si>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</si>
  <si>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</si>
  <si>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</si>
  <si>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</si>
  <si>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</si>
  <si>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</si>
  <si>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</si>
  <si>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</si>
  <si>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</si>
  <si>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</si>
  <si>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</si>
  <si>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</si>
  <si>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</si>
  <si>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</si>
  <si>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</si>
  <si>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</si>
  <si>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</si>
  <si>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</si>
  <si>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</si>
  <si>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</si>
  <si>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</si>
  <si>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</si>
  <si>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</si>
  <si>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</si>
  <si>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</si>
  <si>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</si>
  <si>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</si>
  <si>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</si>
  <si>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</si>
  <si>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</si>
  <si>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</si>
  <si>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</si>
  <si>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</si>
  <si>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</si>
  <si>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</si>
  <si>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</si>
  <si>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</si>
  <si>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</si>
  <si>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</si>
  <si>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</si>
  <si>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</si>
  <si>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</si>
  <si>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</si>
  <si>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</si>
  <si>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</si>
  <si>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</si>
  <si>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</si>
  <si>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</si>
  <si>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</si>
  <si>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</si>
  <si>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</si>
  <si>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</si>
  <si>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</si>
  <si>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</si>
  <si>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</si>
  <si>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</si>
  <si>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</si>
  <si>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</si>
  <si>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</si>
  <si>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</si>
  <si>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</si>
  <si>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</si>
  <si>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</si>
  <si>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</si>
  <si>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</si>
  <si>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</si>
  <si>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</si>
  <si>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</si>
  <si>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</si>
  <si>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</si>
  <si>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</si>
  <si>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</si>
  <si>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</si>
  <si>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</si>
  <si>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</si>
  <si>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</si>
  <si>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</si>
  <si>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</si>
  <si>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</si>
  <si>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</si>
  <si>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</si>
  <si>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</si>
  <si>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</si>
  <si>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</si>
  <si>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</si>
  <si>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</si>
  <si>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</si>
  <si>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</si>
  <si>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</si>
  <si>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</si>
  <si>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</si>
  <si>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</si>
  <si>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</si>
  <si>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</si>
  <si>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</si>
  <si>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</si>
  <si>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</si>
  <si>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</si>
  <si>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</si>
  <si>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</si>
  <si>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</si>
  <si>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</si>
  <si>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</si>
  <si>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</si>
  <si>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</si>
  <si>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</si>
  <si>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</si>
  <si>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</si>
  <si>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</si>
  <si>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</si>
  <si>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</si>
  <si>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</si>
  <si>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</si>
  <si>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</si>
  <si>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</si>
  <si>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</si>
  <si>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</si>
  <si>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</si>
  <si>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</si>
  <si>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</si>
  <si>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</si>
  <si>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</si>
  <si>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</si>
  <si>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</si>
  <si>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</si>
  <si>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</si>
  <si>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</si>
  <si>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</si>
  <si>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</si>
  <si>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</si>
  <si>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</si>
  <si>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</si>
  <si>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</si>
  <si>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</si>
  <si>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</si>
  <si>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</si>
  <si>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</si>
  <si>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</si>
  <si>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</si>
  <si>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</si>
  <si>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</si>
  <si>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</si>
  <si>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</si>
  <si>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</si>
  <si>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</si>
  <si>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</si>
  <si>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</si>
  <si>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</si>
  <si>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</si>
  <si>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</si>
  <si>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</si>
  <si>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</si>
  <si>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</si>
  <si>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</si>
  <si>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</si>
  <si>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</si>
  <si>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</si>
  <si>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</si>
  <si>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</si>
  <si>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</si>
  <si>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</si>
  <si>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</si>
  <si>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</si>
  <si>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</si>
  <si>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</si>
  <si>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</si>
  <si>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</si>
  <si>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</si>
  <si>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</si>
  <si>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</si>
  <si>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</si>
  <si>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</si>
  <si>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</si>
  <si>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</si>
  <si>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</si>
  <si>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</si>
  <si>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</si>
  <si>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</si>
  <si>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</si>
  <si>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</si>
  <si>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</si>
  <si>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</si>
  <si>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</si>
  <si>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</si>
  <si>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</si>
  <si>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</si>
  <si>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</si>
  <si>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</si>
  <si>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</si>
  <si>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</si>
  <si>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</si>
  <si>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</si>
  <si>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</si>
  <si>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</si>
  <si>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</si>
  <si>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</si>
  <si>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</si>
  <si>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</si>
  <si>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</si>
  <si>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</si>
  <si>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</si>
  <si>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</si>
  <si>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</si>
  <si>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</si>
  <si>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</si>
  <si>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</si>
  <si>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</si>
  <si>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</si>
  <si>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</si>
  <si>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</si>
  <si>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</si>
  <si>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</si>
  <si>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</si>
  <si>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</si>
  <si>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</si>
  <si>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</si>
  <si>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</si>
  <si>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</si>
  <si>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</si>
  <si>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</si>
  <si>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</si>
  <si>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</si>
  <si>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</si>
  <si>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</si>
  <si>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</si>
  <si>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</si>
  <si>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</si>
  <si>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</si>
  <si>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</si>
  <si>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</si>
  <si>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</si>
  <si>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</si>
  <si>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</si>
  <si>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</si>
  <si>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</si>
  <si>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</si>
  <si>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</si>
  <si>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</si>
  <si>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</si>
  <si>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</si>
  <si>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</si>
  <si>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</si>
  <si>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</si>
  <si>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</si>
  <si>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</si>
  <si>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</si>
  <si>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</si>
  <si>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</si>
  <si>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</si>
  <si>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</si>
  <si>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</si>
  <si>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</si>
  <si>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</si>
  <si>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</si>
  <si>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</si>
  <si>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</si>
  <si>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</si>
  <si>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</si>
  <si>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</si>
  <si>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</si>
  <si>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</si>
  <si>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</si>
  <si>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</si>
  <si>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</si>
  <si>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</si>
  <si>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</si>
  <si>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</si>
  <si>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</si>
  <si>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</si>
  <si>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</si>
  <si>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</si>
  <si>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</si>
  <si>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</si>
  <si>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</si>
  <si>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</si>
  <si>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</si>
  <si>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</si>
  <si>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</si>
  <si>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</si>
  <si>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</si>
  <si>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</si>
  <si>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</si>
  <si>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</si>
  <si>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</si>
  <si>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</si>
  <si>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</si>
  <si>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</si>
  <si>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</si>
  <si>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</si>
  <si>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</si>
  <si>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</si>
  <si>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</si>
  <si>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</si>
  <si>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</si>
  <si>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</si>
  <si>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</si>
  <si>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</si>
  <si>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</si>
  <si>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</si>
  <si>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</si>
  <si>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</si>
  <si>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</si>
  <si>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</si>
  <si>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</si>
  <si>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</si>
  <si>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</si>
  <si>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</si>
  <si>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</si>
  <si>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</si>
  <si>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</si>
  <si>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</si>
  <si>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</si>
  <si>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</si>
  <si>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</si>
  <si>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</si>
  <si>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</si>
  <si>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</si>
  <si>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</si>
  <si>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</si>
  <si>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</si>
  <si>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</si>
  <si>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</si>
  <si>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</si>
  <si>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</si>
  <si>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</si>
  <si>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</si>
  <si>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</si>
  <si>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</si>
  <si>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</si>
  <si>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</si>
  <si>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</si>
  <si>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</si>
  <si>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</si>
  <si>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</si>
  <si>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</si>
  <si>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</si>
  <si>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</si>
  <si>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</si>
  <si>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</si>
  <si>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</si>
  <si>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</si>
  <si>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</si>
  <si>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</si>
  <si>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</si>
  <si>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</si>
  <si>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</si>
  <si>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</si>
  <si>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</si>
  <si>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</si>
  <si>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</si>
  <si>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</si>
  <si>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</si>
  <si>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</si>
  <si>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</si>
  <si>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</si>
  <si>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</si>
  <si>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</si>
  <si>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</si>
  <si>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</si>
  <si>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</si>
  <si>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</si>
  <si>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</si>
  <si>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</si>
  <si>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</si>
  <si>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</si>
  <si>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</si>
  <si>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</si>
  <si>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</si>
  <si>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</si>
  <si>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</si>
  <si>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</si>
  <si>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</si>
  <si>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</si>
  <si>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</si>
  <si>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</si>
  <si>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</si>
  <si>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</si>
  <si>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</si>
  <si>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</si>
  <si>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</si>
  <si>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</si>
  <si>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</si>
  <si>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</si>
  <si>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</si>
  <si>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</si>
  <si>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</si>
  <si>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</si>
  <si>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</si>
  <si>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</si>
  <si>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</si>
  <si>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</si>
  <si>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</si>
  <si>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</si>
  <si>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</si>
  <si>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</si>
  <si>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</si>
  <si>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</si>
  <si>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</si>
  <si>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</si>
  <si>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</si>
  <si>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</si>
  <si>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</si>
  <si>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</si>
  <si>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</si>
  <si>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</si>
  <si>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</si>
  <si>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</si>
  <si>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</si>
  <si>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</si>
  <si>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</si>
  <si>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</si>
  <si>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</si>
  <si>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</si>
  <si>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</si>
  <si>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</si>
  <si>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</si>
  <si>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</si>
  <si>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</si>
  <si>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</si>
  <si>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</si>
  <si>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</si>
  <si>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</si>
  <si>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</si>
  <si>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</si>
  <si>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</si>
  <si>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</si>
  <si>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</si>
  <si>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</si>
  <si>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</si>
  <si>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</si>
  <si>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</si>
  <si>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</si>
  <si>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</si>
  <si>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</si>
  <si>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</si>
  <si>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</si>
  <si>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</si>
  <si>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</si>
  <si>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</si>
  <si>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</si>
  <si>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</si>
  <si>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</si>
  <si>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</si>
  <si>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</si>
  <si>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</si>
  <si>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</si>
  <si>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</si>
  <si>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</si>
  <si>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</si>
  <si>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</si>
  <si>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</si>
  <si>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</si>
  <si>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</si>
  <si>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</si>
  <si>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</si>
  <si>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</si>
  <si>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</si>
  <si>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</si>
  <si>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</si>
  <si>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</si>
  <si>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</si>
  <si>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</si>
  <si>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</si>
  <si>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</si>
  <si>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</si>
  <si>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</si>
  <si>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</si>
  <si>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</si>
  <si>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</si>
  <si>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</si>
  <si>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</si>
  <si>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</si>
  <si>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</si>
  <si>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</si>
  <si>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</si>
  <si>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</si>
  <si>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</si>
  <si>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</si>
  <si>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</si>
  <si>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</si>
  <si>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</si>
  <si>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</si>
  <si>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</si>
  <si>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</si>
  <si>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</si>
  <si>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</si>
  <si>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</si>
  <si>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</si>
  <si>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</si>
  <si>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</si>
  <si>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</si>
  <si>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</si>
  <si>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</si>
  <si>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</si>
  <si>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</si>
  <si>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</si>
  <si>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</si>
  <si>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</si>
  <si>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</si>
  <si>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</si>
  <si>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</si>
  <si>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</si>
  <si>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</si>
  <si>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</si>
  <si>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</si>
  <si>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</si>
  <si>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</si>
  <si>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</si>
  <si>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</si>
  <si>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</si>
  <si>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</si>
  <si>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</si>
  <si>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</si>
  <si>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</si>
  <si>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</si>
  <si>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</si>
  <si>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</si>
  <si>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</si>
  <si>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</si>
  <si>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</si>
  <si>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</si>
  <si>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</si>
  <si>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</si>
  <si>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</si>
  <si>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</si>
  <si>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</si>
  <si>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</si>
  <si>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</si>
  <si>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</si>
  <si>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</si>
  <si>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</si>
  <si>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</si>
  <si>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</si>
  <si>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</si>
  <si>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</si>
  <si>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</si>
  <si>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</si>
  <si>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</si>
  <si>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</si>
  <si>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</si>
  <si>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</si>
  <si>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</si>
  <si>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</si>
  <si>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</si>
  <si>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</si>
  <si>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</si>
  <si>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</si>
  <si>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</si>
  <si>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</si>
  <si>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</si>
  <si>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</si>
  <si>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</si>
  <si>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</si>
  <si>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</si>
  <si>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</si>
  <si>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</si>
  <si>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</si>
  <si>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</si>
  <si>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</si>
  <si>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</si>
  <si>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</si>
  <si>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</si>
  <si>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</si>
  <si>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</si>
  <si>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</si>
  <si>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</si>
  <si>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</si>
  <si>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</si>
  <si>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</si>
  <si>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</si>
  <si>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</si>
  <si>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</si>
  <si>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</si>
  <si>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</si>
  <si>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</si>
  <si>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</si>
  <si>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</si>
  <si>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</si>
  <si>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</si>
  <si>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</si>
  <si>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</si>
  <si>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</si>
  <si>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</si>
  <si>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</si>
  <si>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</si>
  <si>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</si>
  <si>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</si>
  <si>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</si>
  <si>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</si>
  <si>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</si>
  <si>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</si>
  <si>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</si>
  <si>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</si>
  <si>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</si>
  <si>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</si>
  <si>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</si>
  <si>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</si>
  <si>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</si>
  <si>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</si>
  <si>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</si>
  <si>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</si>
  <si>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</si>
  <si>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</si>
  <si>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</si>
  <si>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</si>
  <si>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</si>
  <si>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</si>
  <si>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</si>
  <si>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</si>
  <si>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</si>
  <si>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</si>
  <si>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</si>
  <si>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</si>
  <si>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</si>
  <si>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</si>
  <si>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</si>
  <si>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</si>
  <si>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</si>
  <si>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</si>
  <si>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</si>
  <si>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</si>
  <si>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</si>
  <si>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</si>
  <si>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</si>
  <si>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</si>
  <si>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</si>
  <si>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</si>
  <si>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</si>
  <si>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</si>
  <si>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</si>
  <si>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</si>
  <si>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</si>
  <si>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</si>
  <si>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</si>
  <si>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</si>
  <si>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</si>
  <si>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</si>
  <si>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</si>
  <si>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</si>
  <si>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</si>
  <si>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</si>
  <si>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</si>
  <si>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</si>
  <si>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</si>
  <si>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</si>
  <si>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</si>
  <si>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</si>
  <si>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</si>
  <si>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</si>
  <si>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</si>
  <si>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</si>
  <si>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</si>
  <si>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</si>
  <si>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</si>
  <si>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</si>
  <si>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</si>
  <si>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</si>
  <si>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</si>
  <si>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</si>
  <si>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</si>
  <si>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</si>
  <si>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</si>
  <si>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</si>
  <si>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</si>
  <si>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</si>
  <si>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</si>
  <si>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</si>
  <si>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</si>
  <si>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</si>
  <si>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</si>
  <si>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</si>
  <si>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</si>
  <si>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</si>
  <si>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</si>
  <si>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</si>
  <si>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</si>
  <si>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</si>
  <si>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</si>
  <si>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</si>
  <si>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</si>
  <si>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</si>
  <si>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</si>
  <si>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</si>
  <si>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</si>
  <si>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</si>
  <si>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</si>
  <si>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</si>
  <si>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</si>
  <si>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</si>
  <si>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</si>
  <si>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</si>
  <si>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</si>
  <si>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</si>
  <si>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</si>
  <si>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</si>
  <si>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</si>
  <si>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</si>
  <si>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</si>
  <si>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</si>
  <si>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</si>
  <si>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</si>
  <si>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</si>
  <si>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</si>
  <si>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</si>
  <si>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</si>
  <si>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</si>
  <si>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</si>
  <si>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</si>
  <si>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</si>
  <si>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</si>
  <si>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</si>
  <si>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</si>
  <si>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</si>
  <si>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</si>
  <si>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</si>
  <si>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</si>
  <si>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</si>
  <si>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</si>
  <si>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</si>
  <si>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</si>
  <si>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</si>
  <si>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</si>
  <si>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</si>
  <si>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</si>
  <si>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</si>
  <si>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</si>
  <si>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</si>
  <si>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</si>
  <si>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</si>
  <si>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</si>
  <si>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</si>
  <si>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</si>
  <si>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</si>
  <si>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</si>
  <si>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</si>
  <si>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</si>
  <si>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</si>
  <si>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</si>
  <si>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</si>
  <si>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</si>
  <si>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</si>
  <si>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</si>
  <si>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</si>
  <si>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</si>
  <si>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</si>
  <si>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</si>
  <si>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</si>
  <si>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</si>
  <si>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</si>
  <si>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</si>
  <si>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</si>
  <si>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</si>
  <si>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</si>
  <si>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</si>
  <si>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</si>
  <si>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</si>
  <si>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</si>
  <si>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</si>
  <si>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</si>
  <si>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</si>
  <si>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</si>
  <si>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</si>
  <si>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</si>
  <si>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</si>
  <si>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</si>
  <si>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</si>
  <si>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</si>
  <si>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</si>
  <si>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</si>
  <si>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</si>
  <si>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</si>
  <si>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</si>
  <si>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</si>
  <si>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</si>
  <si>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</si>
  <si>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</si>
  <si>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</si>
  <si>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</si>
  <si>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</si>
  <si>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</si>
  <si>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</si>
  <si>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</si>
  <si>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</si>
  <si>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</si>
  <si>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</si>
  <si>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</si>
  <si>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</si>
  <si>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</si>
  <si>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</si>
  <si>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</si>
  <si>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</si>
  <si>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</si>
  <si>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</si>
  <si>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</si>
  <si>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</si>
  <si>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</si>
  <si>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</si>
  <si>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</si>
  <si>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</si>
  <si>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</si>
  <si>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</si>
  <si>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</si>
  <si>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</si>
  <si>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</si>
  <si>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</si>
  <si>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</si>
  <si>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</si>
  <si>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</si>
  <si>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</si>
  <si>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</si>
  <si>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</si>
  <si>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</si>
  <si>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</si>
  <si>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</si>
  <si>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</si>
  <si>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</si>
  <si>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</si>
  <si>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</si>
  <si>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</si>
  <si>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</si>
  <si>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</si>
  <si>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</si>
  <si>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</si>
  <si>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</si>
  <si>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</si>
  <si>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</si>
  <si>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</si>
  <si>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</si>
  <si>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</si>
  <si>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</si>
  <si>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</si>
  <si>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</si>
  <si>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</si>
  <si>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</si>
  <si>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</si>
  <si>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</si>
  <si>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</si>
  <si>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</si>
  <si>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</si>
  <si>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</si>
  <si>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</si>
  <si>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</si>
  <si>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</si>
  <si>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</si>
  <si>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</si>
  <si>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</si>
  <si>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</si>
  <si>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</si>
  <si>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</si>
  <si>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</si>
  <si>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</si>
  <si>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</si>
  <si>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</si>
  <si>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</si>
  <si>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</si>
  <si>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</si>
  <si>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</si>
  <si>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</si>
  <si>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</si>
  <si>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</si>
  <si>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</si>
  <si>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</si>
  <si>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</si>
  <si>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</si>
  <si>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</si>
  <si>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</si>
  <si>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</si>
  <si>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</si>
  <si>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</si>
  <si>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</si>
  <si>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</si>
  <si>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</si>
  <si>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</si>
  <si>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</si>
  <si>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</si>
  <si>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</si>
  <si>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</si>
  <si>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</si>
  <si>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</si>
  <si>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</si>
  <si>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</si>
  <si>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</si>
  <si>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</si>
  <si>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</si>
  <si>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</si>
  <si>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</si>
  <si>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</si>
  <si>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</si>
  <si>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</si>
  <si>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</si>
  <si>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</si>
  <si>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</si>
  <si>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</si>
  <si>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</si>
  <si>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</si>
  <si>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</si>
  <si>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</si>
  <si>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</si>
  <si>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</si>
  <si>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</si>
  <si>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</si>
  <si>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</si>
  <si>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</si>
  <si>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</si>
  <si>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</si>
  <si>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</si>
  <si>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</si>
  <si>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</si>
  <si>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</si>
  <si>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</si>
  <si>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</si>
  <si>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</si>
  <si>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</si>
  <si>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</si>
  <si>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</si>
  <si>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</si>
  <si>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</si>
  <si>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</si>
  <si>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</si>
  <si>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</si>
  <si>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</si>
  <si>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</si>
  <si>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</si>
  <si>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</si>
  <si>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</si>
  <si>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</si>
  <si>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</si>
  <si>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</si>
  <si>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</si>
  <si>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</si>
  <si>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</si>
  <si>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</si>
  <si>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</si>
  <si>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</si>
  <si>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</si>
  <si>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</si>
  <si>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</si>
  <si>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</si>
  <si>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</si>
  <si>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</si>
  <si>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</si>
  <si>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</si>
  <si>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</si>
  <si>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</si>
  <si>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</si>
  <si>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</si>
  <si>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</si>
  <si>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</si>
  <si>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</si>
  <si>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</si>
  <si>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</si>
  <si>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</si>
  <si>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</si>
  <si>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</si>
  <si>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</si>
  <si>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</si>
  <si>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</si>
  <si>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</si>
  <si>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</si>
  <si>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</si>
  <si>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</si>
  <si>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</si>
  <si>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</si>
  <si>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</si>
  <si>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</si>
  <si>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</si>
  <si>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</si>
  <si>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</si>
  <si>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</si>
  <si>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</si>
  <si>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</si>
  <si>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</si>
  <si>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</si>
  <si>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</si>
  <si>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</t>
  </si>
  <si>
    <t>Trafo 3 Fasa 50 KVA 1 Tiang (G312-A)</t>
  </si>
  <si>
    <t>BTG</t>
  </si>
  <si>
    <t>CM2-12</t>
  </si>
  <si>
    <t>SR APP 1P</t>
  </si>
  <si>
    <t>C12-350</t>
  </si>
  <si>
    <t>SR APP 33 KVA</t>
  </si>
  <si>
    <t>PD ALFAMART HAYAM WURUK 17,6-33KVA</t>
  </si>
  <si>
    <t>-7.093460, 110.917829</t>
  </si>
  <si>
    <t>ALFAMART HAYAM WURUK</t>
  </si>
  <si>
    <t>JL HAYAM WURUK</t>
  </si>
  <si>
    <t>CC1-A</t>
  </si>
  <si>
    <t>Daya 33.000 VA</t>
  </si>
  <si>
    <t>K2-671A/23/A</t>
  </si>
  <si>
    <t>PWI03</t>
  </si>
  <si>
    <t>K2-671A/24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</si>
</sst>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4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2" fillId="0" borderId="21" xfId="0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4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49" fillId="0" borderId="0" xfId="1614" quotePrefix="1" applyFont="1" applyAlignment="1">
      <alignment horizontal="left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1.8034113008407147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125882</xdr:colOff>
      <xdr:row>10</xdr:row>
      <xdr:rowOff>116419</xdr:rowOff>
    </xdr:from>
    <xdr:to>
      <xdr:col>11</xdr:col>
      <xdr:colOff>349250</xdr:colOff>
      <xdr:row>33</xdr:row>
      <xdr:rowOff>10586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2317191" y="3163860"/>
          <a:ext cx="3312584" cy="223368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175025</xdr:colOff>
      <xdr:row>20</xdr:row>
      <xdr:rowOff>51520</xdr:rowOff>
    </xdr:from>
    <xdr:to>
      <xdr:col>12</xdr:col>
      <xdr:colOff>319577</xdr:colOff>
      <xdr:row>21</xdr:row>
      <xdr:rowOff>47952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4291942" y="3046603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182373</xdr:colOff>
      <xdr:row>13</xdr:row>
      <xdr:rowOff>45986</xdr:rowOff>
    </xdr:from>
    <xdr:to>
      <xdr:col>12</xdr:col>
      <xdr:colOff>326925</xdr:colOff>
      <xdr:row>14</xdr:row>
      <xdr:rowOff>42419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4299290" y="2003903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194572</xdr:colOff>
      <xdr:row>19</xdr:row>
      <xdr:rowOff>6487</xdr:rowOff>
    </xdr:from>
    <xdr:to>
      <xdr:col>16</xdr:col>
      <xdr:colOff>263914</xdr:colOff>
      <xdr:row>24</xdr:row>
      <xdr:rowOff>108171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5067901" y="2858992"/>
          <a:ext cx="842517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317500</xdr:colOff>
      <xdr:row>10</xdr:row>
      <xdr:rowOff>95250</xdr:rowOff>
    </xdr:from>
    <xdr:to>
      <xdr:col>12</xdr:col>
      <xdr:colOff>349250</xdr:colOff>
      <xdr:row>33</xdr:row>
      <xdr:rowOff>105833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>
          <a:off x="4434417" y="1598083"/>
          <a:ext cx="31750" cy="34290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178205</xdr:colOff>
      <xdr:row>20</xdr:row>
      <xdr:rowOff>120724</xdr:rowOff>
    </xdr:from>
    <xdr:to>
      <xdr:col>14</xdr:col>
      <xdr:colOff>343940</xdr:colOff>
      <xdr:row>21</xdr:row>
      <xdr:rowOff>120723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5057122" y="3115807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275166</xdr:colOff>
      <xdr:row>21</xdr:row>
      <xdr:rowOff>0</xdr:rowOff>
    </xdr:from>
    <xdr:to>
      <xdr:col>14</xdr:col>
      <xdr:colOff>178205</xdr:colOff>
      <xdr:row>21</xdr:row>
      <xdr:rowOff>46640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endCxn id="202" idx="1"/>
        </xdr:cNvCxnSpPr>
      </xdr:nvCxnSpPr>
      <xdr:spPr bwMode="auto">
        <a:xfrm>
          <a:off x="4392083" y="3143250"/>
          <a:ext cx="665039" cy="466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355660</xdr:colOff>
      <xdr:row>19</xdr:row>
      <xdr:rowOff>139714</xdr:rowOff>
    </xdr:from>
    <xdr:to>
      <xdr:col>13</xdr:col>
      <xdr:colOff>205663</xdr:colOff>
      <xdr:row>20</xdr:row>
      <xdr:rowOff>75819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4472577" y="2986631"/>
          <a:ext cx="231003" cy="8427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221136</xdr:colOff>
      <xdr:row>18</xdr:row>
      <xdr:rowOff>61853</xdr:rowOff>
    </xdr:from>
    <xdr:to>
      <xdr:col>14</xdr:col>
      <xdr:colOff>240546</xdr:colOff>
      <xdr:row>19</xdr:row>
      <xdr:rowOff>103287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4338053" y="2760603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169333</xdr:colOff>
      <xdr:row>11</xdr:row>
      <xdr:rowOff>52917</xdr:rowOff>
    </xdr:from>
    <xdr:to>
      <xdr:col>12</xdr:col>
      <xdr:colOff>190500</xdr:colOff>
      <xdr:row>33</xdr:row>
      <xdr:rowOff>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 flipH="1" flipV="1">
          <a:off x="4286250" y="1703917"/>
          <a:ext cx="21167" cy="32173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154440</xdr:colOff>
      <xdr:row>18</xdr:row>
      <xdr:rowOff>88517</xdr:rowOff>
    </xdr:from>
    <xdr:to>
      <xdr:col>12</xdr:col>
      <xdr:colOff>233998</xdr:colOff>
      <xdr:row>19</xdr:row>
      <xdr:rowOff>24172</xdr:rowOff>
    </xdr:to>
    <xdr:grpSp>
      <xdr:nvGrpSpPr>
        <xdr:cNvPr id="228" name="Group 73">
          <a:extLst>
            <a:ext uri="{FF2B5EF4-FFF2-40B4-BE49-F238E27FC236}">
              <a16:creationId xmlns:a16="http://schemas.microsoft.com/office/drawing/2014/main" id="{53230C4E-9ECD-47F8-9426-9173DDF2B6B9}"/>
            </a:ext>
          </a:extLst>
        </xdr:cNvPr>
        <xdr:cNvGrpSpPr/>
      </xdr:nvGrpSpPr>
      <xdr:grpSpPr>
        <a:xfrm rot="4183314">
          <a:off x="4269225" y="2789399"/>
          <a:ext cx="83822" cy="79558"/>
          <a:chOff x="12175074" y="2285812"/>
          <a:chExt cx="107252" cy="65186"/>
        </a:xfrm>
      </xdr:grpSpPr>
      <xdr:cxnSp macro="">
        <xdr:nvCxnSpPr>
          <xdr:cNvPr id="229" name="Straight Connector 74">
            <a:extLst>
              <a:ext uri="{FF2B5EF4-FFF2-40B4-BE49-F238E27FC236}">
                <a16:creationId xmlns:a16="http://schemas.microsoft.com/office/drawing/2014/main" id="{28E8803B-E4AF-B714-E73F-E73D3A4452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5">
            <a:extLst>
              <a:ext uri="{FF2B5EF4-FFF2-40B4-BE49-F238E27FC236}">
                <a16:creationId xmlns:a16="http://schemas.microsoft.com/office/drawing/2014/main" id="{942633BE-DFCE-C59D-F872-7EDFEAC8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6">
            <a:extLst>
              <a:ext uri="{FF2B5EF4-FFF2-40B4-BE49-F238E27FC236}">
                <a16:creationId xmlns:a16="http://schemas.microsoft.com/office/drawing/2014/main" id="{BD68FEAF-0DA9-A568-BF96-EE2B2CFD02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281725</xdr:colOff>
      <xdr:row>20</xdr:row>
      <xdr:rowOff>99737</xdr:rowOff>
    </xdr:from>
    <xdr:to>
      <xdr:col>13</xdr:col>
      <xdr:colOff>345170</xdr:colOff>
      <xdr:row>21</xdr:row>
      <xdr:rowOff>90705</xdr:rowOff>
    </xdr:to>
    <xdr:grpSp>
      <xdr:nvGrpSpPr>
        <xdr:cNvPr id="235" name="Grup 244">
          <a:extLst>
            <a:ext uri="{FF2B5EF4-FFF2-40B4-BE49-F238E27FC236}">
              <a16:creationId xmlns:a16="http://schemas.microsoft.com/office/drawing/2014/main" id="{B66D183A-7F28-4C87-BAB7-7E0644F83F82}"/>
            </a:ext>
          </a:extLst>
        </xdr:cNvPr>
        <xdr:cNvGrpSpPr/>
      </xdr:nvGrpSpPr>
      <xdr:grpSpPr>
        <a:xfrm rot="17824637">
          <a:off x="4741797" y="3132665"/>
          <a:ext cx="139135" cy="63445"/>
          <a:chOff x="13302191" y="2320613"/>
          <a:chExt cx="139135" cy="57233"/>
        </a:xfrm>
      </xdr:grpSpPr>
      <xdr:cxnSp macro="">
        <xdr:nvCxnSpPr>
          <xdr:cNvPr id="236" name="Straight Connector 81">
            <a:extLst>
              <a:ext uri="{FF2B5EF4-FFF2-40B4-BE49-F238E27FC236}">
                <a16:creationId xmlns:a16="http://schemas.microsoft.com/office/drawing/2014/main" id="{0DC5D771-CA30-371E-4ABB-F9E4DC6EA03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2">
            <a:extLst>
              <a:ext uri="{FF2B5EF4-FFF2-40B4-BE49-F238E27FC236}">
                <a16:creationId xmlns:a16="http://schemas.microsoft.com/office/drawing/2014/main" id="{75A6D8CF-FFB8-E2FA-A4BD-DBF1DB4C890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3">
            <a:extLst>
              <a:ext uri="{FF2B5EF4-FFF2-40B4-BE49-F238E27FC236}">
                <a16:creationId xmlns:a16="http://schemas.microsoft.com/office/drawing/2014/main" id="{87C0B9BC-59E1-6762-E1D9-AFDCD8381D9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84">
            <a:extLst>
              <a:ext uri="{FF2B5EF4-FFF2-40B4-BE49-F238E27FC236}">
                <a16:creationId xmlns:a16="http://schemas.microsoft.com/office/drawing/2014/main" id="{B0AF8A0A-5292-B117-F8F1-AA6814FF43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37271</xdr:colOff>
      <xdr:row>20</xdr:row>
      <xdr:rowOff>139425</xdr:rowOff>
    </xdr:from>
    <xdr:to>
      <xdr:col>18</xdr:col>
      <xdr:colOff>132521</xdr:colOff>
      <xdr:row>23</xdr:row>
      <xdr:rowOff>100873</xdr:rowOff>
    </xdr:to>
    <xdr:sp macro="" textlink="">
      <xdr:nvSpPr>
        <xdr:cNvPr id="240" name="TextBox 157">
          <a:extLst>
            <a:ext uri="{FF2B5EF4-FFF2-40B4-BE49-F238E27FC236}">
              <a16:creationId xmlns:a16="http://schemas.microsoft.com/office/drawing/2014/main" id="{E0CB0D68-F677-45F3-9ADF-42A5A5BA4162}"/>
            </a:ext>
          </a:extLst>
        </xdr:cNvPr>
        <xdr:cNvSpPr txBox="1"/>
      </xdr:nvSpPr>
      <xdr:spPr>
        <a:xfrm>
          <a:off x="5297188" y="3134508"/>
          <a:ext cx="1238250" cy="4059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45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33132</xdr:colOff>
      <xdr:row>17</xdr:row>
      <xdr:rowOff>134361</xdr:rowOff>
    </xdr:from>
    <xdr:to>
      <xdr:col>12</xdr:col>
      <xdr:colOff>105834</xdr:colOff>
      <xdr:row>23</xdr:row>
      <xdr:rowOff>127000</xdr:rowOff>
    </xdr:to>
    <xdr:sp macro="" textlink="">
      <xdr:nvSpPr>
        <xdr:cNvPr id="241" name="TextBox 157">
          <a:extLst>
            <a:ext uri="{FF2B5EF4-FFF2-40B4-BE49-F238E27FC236}">
              <a16:creationId xmlns:a16="http://schemas.microsoft.com/office/drawing/2014/main" id="{35BD0F78-7AB5-41F1-945F-1F19C3932CA0}"/>
            </a:ext>
          </a:extLst>
        </xdr:cNvPr>
        <xdr:cNvSpPr txBox="1"/>
      </xdr:nvSpPr>
      <xdr:spPr>
        <a:xfrm>
          <a:off x="3007049" y="2684944"/>
          <a:ext cx="1215702" cy="88163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K2-671A/23/A</a:t>
          </a: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50KVA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190501</xdr:colOff>
      <xdr:row>31</xdr:row>
      <xdr:rowOff>0</xdr:rowOff>
    </xdr:from>
    <xdr:to>
      <xdr:col>12</xdr:col>
      <xdr:colOff>335053</xdr:colOff>
      <xdr:row>31</xdr:row>
      <xdr:rowOff>144599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723DC24C-AF65-4544-81DF-8B8A4E82DD18}"/>
            </a:ext>
          </a:extLst>
        </xdr:cNvPr>
        <xdr:cNvGrpSpPr/>
      </xdr:nvGrpSpPr>
      <xdr:grpSpPr>
        <a:xfrm>
          <a:off x="4307418" y="4624917"/>
          <a:ext cx="144552" cy="144599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EF5290A1-2741-49D8-7673-65012C6DAF2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2CDE6933-0370-2DC6-C148-7C12D5349EB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446ADE10-3CA8-AC25-CBFA-62BFF329273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169333</xdr:colOff>
      <xdr:row>27</xdr:row>
      <xdr:rowOff>84666</xdr:rowOff>
    </xdr:from>
    <xdr:to>
      <xdr:col>12</xdr:col>
      <xdr:colOff>248891</xdr:colOff>
      <xdr:row>28</xdr:row>
      <xdr:rowOff>20321</xdr:rowOff>
    </xdr:to>
    <xdr:grpSp>
      <xdr:nvGrpSpPr>
        <xdr:cNvPr id="200" name="Group 73">
          <a:extLst>
            <a:ext uri="{FF2B5EF4-FFF2-40B4-BE49-F238E27FC236}">
              <a16:creationId xmlns:a16="http://schemas.microsoft.com/office/drawing/2014/main" id="{179CDB8C-D04B-4572-93F1-888869BA5F29}"/>
            </a:ext>
          </a:extLst>
        </xdr:cNvPr>
        <xdr:cNvGrpSpPr/>
      </xdr:nvGrpSpPr>
      <xdr:grpSpPr>
        <a:xfrm rot="4183314">
          <a:off x="4284118" y="4119048"/>
          <a:ext cx="83822" cy="79558"/>
          <a:chOff x="12175074" y="2285812"/>
          <a:chExt cx="107252" cy="65186"/>
        </a:xfrm>
      </xdr:grpSpPr>
      <xdr:cxnSp macro="">
        <xdr:nvCxnSpPr>
          <xdr:cNvPr id="201" name="Straight Connector 74">
            <a:extLst>
              <a:ext uri="{FF2B5EF4-FFF2-40B4-BE49-F238E27FC236}">
                <a16:creationId xmlns:a16="http://schemas.microsoft.com/office/drawing/2014/main" id="{18480EF3-7D25-BA4C-608A-9C1BAA88BD6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75">
            <a:extLst>
              <a:ext uri="{FF2B5EF4-FFF2-40B4-BE49-F238E27FC236}">
                <a16:creationId xmlns:a16="http://schemas.microsoft.com/office/drawing/2014/main" id="{EC35CF3B-D565-A38A-DD1A-D71AF5F2A4F1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6">
            <a:extLst>
              <a:ext uri="{FF2B5EF4-FFF2-40B4-BE49-F238E27FC236}">
                <a16:creationId xmlns:a16="http://schemas.microsoft.com/office/drawing/2014/main" id="{623DF455-4EC9-A7F8-E5E8-3B1C64D7706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211667</xdr:colOff>
      <xdr:row>19</xdr:row>
      <xdr:rowOff>42333</xdr:rowOff>
    </xdr:from>
    <xdr:to>
      <xdr:col>14</xdr:col>
      <xdr:colOff>377402</xdr:colOff>
      <xdr:row>20</xdr:row>
      <xdr:rowOff>42333</xdr:rowOff>
    </xdr:to>
    <xdr:sp macro="" textlink="">
      <xdr:nvSpPr>
        <xdr:cNvPr id="221" name="Rectangle 146">
          <a:extLst>
            <a:ext uri="{FF2B5EF4-FFF2-40B4-BE49-F238E27FC236}">
              <a16:creationId xmlns:a16="http://schemas.microsoft.com/office/drawing/2014/main" id="{2B04C5E3-F38A-4164-A43F-EE031250E0B4}"/>
            </a:ext>
          </a:extLst>
        </xdr:cNvPr>
        <xdr:cNvSpPr/>
      </xdr:nvSpPr>
      <xdr:spPr>
        <a:xfrm>
          <a:off x="5090584" y="2889250"/>
          <a:ext cx="165735" cy="14816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21166</xdr:colOff>
      <xdr:row>30</xdr:row>
      <xdr:rowOff>148166</xdr:rowOff>
    </xdr:from>
    <xdr:to>
      <xdr:col>13</xdr:col>
      <xdr:colOff>271219</xdr:colOff>
      <xdr:row>31</xdr:row>
      <xdr:rowOff>85190</xdr:rowOff>
    </xdr:to>
    <xdr:grpSp>
      <xdr:nvGrpSpPr>
        <xdr:cNvPr id="194" name="Group 134">
          <a:extLst>
            <a:ext uri="{FF2B5EF4-FFF2-40B4-BE49-F238E27FC236}">
              <a16:creationId xmlns:a16="http://schemas.microsoft.com/office/drawing/2014/main" id="{508A9EF2-FE55-4E7A-9C0C-02BFFD1298AD}"/>
            </a:ext>
          </a:extLst>
        </xdr:cNvPr>
        <xdr:cNvGrpSpPr/>
      </xdr:nvGrpSpPr>
      <xdr:grpSpPr>
        <a:xfrm>
          <a:off x="4519083" y="4624916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5" name="Isosceles Triangle 118">
            <a:extLst>
              <a:ext uri="{FF2B5EF4-FFF2-40B4-BE49-F238E27FC236}">
                <a16:creationId xmlns:a16="http://schemas.microsoft.com/office/drawing/2014/main" id="{0586FD9F-12A0-AF98-6800-73CCB142724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19">
            <a:extLst>
              <a:ext uri="{FF2B5EF4-FFF2-40B4-BE49-F238E27FC236}">
                <a16:creationId xmlns:a16="http://schemas.microsoft.com/office/drawing/2014/main" id="{1C856F56-2EDA-4965-D49C-A3AE530AC911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7" name="Isosceles Triangle 120">
            <a:extLst>
              <a:ext uri="{FF2B5EF4-FFF2-40B4-BE49-F238E27FC236}">
                <a16:creationId xmlns:a16="http://schemas.microsoft.com/office/drawing/2014/main" id="{618207A9-9DEA-ED7C-9511-46FB3EF8B7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306917</xdr:colOff>
      <xdr:row>31</xdr:row>
      <xdr:rowOff>42333</xdr:rowOff>
    </xdr:from>
    <xdr:to>
      <xdr:col>14</xdr:col>
      <xdr:colOff>326327</xdr:colOff>
      <xdr:row>32</xdr:row>
      <xdr:rowOff>83768</xdr:rowOff>
    </xdr:to>
    <xdr:sp macro="" textlink="">
      <xdr:nvSpPr>
        <xdr:cNvPr id="198" name="TextBox 160">
          <a:extLst>
            <a:ext uri="{FF2B5EF4-FFF2-40B4-BE49-F238E27FC236}">
              <a16:creationId xmlns:a16="http://schemas.microsoft.com/office/drawing/2014/main" id="{463630B2-4450-4D63-A791-7E6EB3B78DFD}"/>
            </a:ext>
          </a:extLst>
        </xdr:cNvPr>
        <xdr:cNvSpPr txBox="1"/>
      </xdr:nvSpPr>
      <xdr:spPr>
        <a:xfrm>
          <a:off x="4423834" y="4667250"/>
          <a:ext cx="781410" cy="189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</a:t>
          </a:r>
          <a:r>
            <a:rPr lang="xx-YY" sz="800" baseline="0">
              <a:solidFill>
                <a:schemeClr val="tx1"/>
              </a:solidFill>
              <a:effectLst/>
            </a:rPr>
            <a:t>50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12</xdr:col>
      <xdr:colOff>305756</xdr:colOff>
      <xdr:row>14</xdr:row>
      <xdr:rowOff>21243</xdr:rowOff>
    </xdr:from>
    <xdr:to>
      <xdr:col>14</xdr:col>
      <xdr:colOff>269857</xdr:colOff>
      <xdr:row>19</xdr:row>
      <xdr:rowOff>46640</xdr:rowOff>
    </xdr:to>
    <xdr:cxnSp macro="">
      <xdr:nvCxnSpPr>
        <xdr:cNvPr id="219" name="Straight Connector 164">
          <a:extLst>
            <a:ext uri="{FF2B5EF4-FFF2-40B4-BE49-F238E27FC236}">
              <a16:creationId xmlns:a16="http://schemas.microsoft.com/office/drawing/2014/main" id="{578D1967-940F-41BC-B714-DC7F8BD1FCD9}"/>
            </a:ext>
          </a:extLst>
        </xdr:cNvPr>
        <xdr:cNvCxnSpPr>
          <a:cxnSpLocks/>
          <a:stCxn id="186" idx="5"/>
        </xdr:cNvCxnSpPr>
      </xdr:nvCxnSpPr>
      <xdr:spPr bwMode="auto">
        <a:xfrm>
          <a:off x="4422673" y="2127326"/>
          <a:ext cx="726101" cy="76623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275167</xdr:colOff>
      <xdr:row>16</xdr:row>
      <xdr:rowOff>74082</xdr:rowOff>
    </xdr:from>
    <xdr:to>
      <xdr:col>13</xdr:col>
      <xdr:colOff>358989</xdr:colOff>
      <xdr:row>17</xdr:row>
      <xdr:rowOff>4554</xdr:rowOff>
    </xdr:to>
    <xdr:grpSp>
      <xdr:nvGrpSpPr>
        <xdr:cNvPr id="222" name="Group 73">
          <a:extLst>
            <a:ext uri="{FF2B5EF4-FFF2-40B4-BE49-F238E27FC236}">
              <a16:creationId xmlns:a16="http://schemas.microsoft.com/office/drawing/2014/main" id="{FAF9B2D6-A2FF-4B43-8521-FA3B7732DD65}"/>
            </a:ext>
          </a:extLst>
        </xdr:cNvPr>
        <xdr:cNvGrpSpPr/>
      </xdr:nvGrpSpPr>
      <xdr:grpSpPr>
        <a:xfrm rot="21429191">
          <a:off x="4773084" y="2476499"/>
          <a:ext cx="83822" cy="78638"/>
          <a:chOff x="12175074" y="2285812"/>
          <a:chExt cx="107252" cy="65186"/>
        </a:xfrm>
      </xdr:grpSpPr>
      <xdr:cxnSp macro="">
        <xdr:nvCxnSpPr>
          <xdr:cNvPr id="223" name="Straight Connector 74">
            <a:extLst>
              <a:ext uri="{FF2B5EF4-FFF2-40B4-BE49-F238E27FC236}">
                <a16:creationId xmlns:a16="http://schemas.microsoft.com/office/drawing/2014/main" id="{AD69BA74-C662-0AF4-9967-29533A0F89E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75">
            <a:extLst>
              <a:ext uri="{FF2B5EF4-FFF2-40B4-BE49-F238E27FC236}">
                <a16:creationId xmlns:a16="http://schemas.microsoft.com/office/drawing/2014/main" id="{BF291028-DF35-4710-F224-0956FAA51CF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76">
            <a:extLst>
              <a:ext uri="{FF2B5EF4-FFF2-40B4-BE49-F238E27FC236}">
                <a16:creationId xmlns:a16="http://schemas.microsoft.com/office/drawing/2014/main" id="{37D8DF0C-3B73-0D73-DF5F-FA3DA10D7CD4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4</xdr:row>
      <xdr:rowOff>162126</xdr:rowOff>
    </xdr:from>
    <xdr:to>
      <xdr:col>27</xdr:col>
      <xdr:colOff>243192</xdr:colOff>
      <xdr:row>57</xdr:row>
      <xdr:rowOff>40531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B266CC-3364-87E6-2529-82913878E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7"/>
          <a:ext cx="14530692" cy="84711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8</xdr:row>
      <xdr:rowOff>0</xdr:rowOff>
    </xdr:from>
    <xdr:to>
      <xdr:col>29</xdr:col>
      <xdr:colOff>22151</xdr:colOff>
      <xdr:row>58</xdr:row>
      <xdr:rowOff>132907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3A5F8E-0E99-2218-473D-A0641CE59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218314"/>
          <a:ext cx="14907732" cy="78858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PL-2"/>
      <sheetName val="graf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x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master rab"/>
      <sheetName val="Format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TU"/>
      <sheetName val="UPDATE 25 JANUARI 2007"/>
      <sheetName val="Data"/>
      <sheetName val="MATERIAL juni 05"/>
      <sheetName val="Format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DTU"/>
      <sheetName val="Cover"/>
      <sheetName val="E3. ANALISA HS HAR TEK SUTM"/>
      <sheetName val="E6. ANALISA HS HAR"/>
      <sheetName val="JAN07"/>
      <sheetName val="Kontrak vs Realisasi Gas"/>
      <sheetName val="D2. ANALISA HS INSHAR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BERKAS"/>
      <sheetName val="Database"/>
      <sheetName val="DeVIASI"/>
      <sheetName val="KoMposisi"/>
      <sheetName val="data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Jasa"/>
      <sheetName val="Mat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LAMP_1L"/>
      <sheetName val="LAMP_4L"/>
      <sheetName val="LAMP_5L"/>
      <sheetName val="LAMP_7L"/>
      <sheetName val="12RB09_SE217_KDS_2011"/>
      <sheetName val="PMT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Data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7">
          <cell r="B7" t="str">
            <v>URAIAN PEKERJAAN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HB2"/>
      <sheetName val="Sensitivitas"/>
      <sheetName val="JAN07"/>
      <sheetName val="DTU"/>
      <sheetName val="entry REC  trip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1133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1134</v>
      </c>
      <c r="G7" s="529" t="s">
        <v>41</v>
      </c>
      <c r="H7" s="525" t="s">
        <v>1042</v>
      </c>
      <c r="I7" s="525" t="s">
        <v>1136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2</v>
      </c>
      <c r="G17" s="41">
        <f ca="1">IF(ISERROR(OFFSET('HARGA SATUAN'!$I$6,MATCH(C17,'HARGA SATUAN'!$C$7:$C$1495,0),0)),"",OFFSET('HARGA SATUAN'!$I$6,MATCH(C17,'HARGA SATUAN'!$C$7:$C$1495,0),0))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9</v>
      </c>
      <c r="G19" s="41">
        <f ca="1">IF(ISERROR(OFFSET('HARGA SATUAN'!$I$6,MATCH(C19,'HARGA SATUAN'!$C$7:$C$1495,0),0)),"",OFFSET('HARGA SATUAN'!$I$6,MATCH(C19,'HARGA SATUAN'!$C$7:$C$1495,0),0))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3x35+1x35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45</v>
      </c>
      <c r="G20" s="41">
        <f ca="1">IF(ISERROR(OFFSET('HARGA SATUAN'!$I$6,MATCH(C20,'HARGA SATUAN'!$C$7:$C$1495,0),0)),"",OFFSET('HARGA SATUAN'!$I$6,MATCH(C20,'HARGA SATUAN'!$C$7:$C$1495,0),0))</f>
        <v>30400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SATUAN'!$C$7:$C$1495,0),0)),"",OFFSET('HARGA SATUAN'!$D$6,MATCH(C21,'HARGA SATUAN'!$C$7:$C$1495,0),0))</f>
        <v>HDW</v>
      </c>
      <c r="E21" s="101" t="str">
        <f ca="1">IF(B21="+","Unit",IF(ISERROR(OFFSET('HARGA SATUAN'!$E$6,MATCH(C21,'HARGA SATUAN'!$C$7:$C$1495,0),0)),"",OFFSET('HARGA SATUAN'!$E$6,MATCH(C21,'HARGA SATUAN'!$C$7:$C$1495,0),0)))</f>
        <v>Unit</v>
      </c>
      <c r="F21" s="138">
        <f t="shared" ca="1" si="2"/>
        <v>1</v>
      </c>
      <c r="G21" s="41">
        <f ca="1">IF(ISERROR(OFFSET('HARGA SATUAN'!$I$6,MATCH(C21,'HARGA SATUAN'!$C$7:$C$1495,0),0)),"",OFFSET('HARGA SATUAN'!$I$6,MATCH(C21,'HARGA SATUAN'!$C$7:$C$1495,0),0))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SUMIFS(RAB!$F$14:$F$112,RAB!$C$14:$C$112,C714)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SUMIFS(RAB!$F$14:$F$112,RAB!$C$14:$C$112,C715)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SUMIFS(RAB!$F$14:$F$112,RAB!$C$14:$C$112,C716)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SUMIFS(RAB!$F$14:$F$112,RAB!$C$14:$C$112,C717)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SUMIFS(RAB!$F$14:$F$112,RAB!$C$14:$C$112,C718)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SUMIFS(RAB!$F$14:$F$112,RAB!$C$14:$C$112,C719)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SUMIFS(RAB!$F$14:$F$112,RAB!$C$14:$C$112,C720)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SUMIFS(RAB!$F$14:$F$112,RAB!$C$14:$C$112,C721)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SUMIFS(RAB!$F$14:$F$112,RAB!$C$14:$C$112,C722)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SUMIFS(RAB!$F$14:$F$112,RAB!$C$14:$C$112,C723)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SUMIFS(RAB!$F$14:$F$112,RAB!$C$14:$C$112,C724)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SUMIFS(RAB!$F$14:$F$112,RAB!$C$14:$C$112,C725)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SUMIFS(RAB!$F$14:$F$112,RAB!$C$14:$C$112,C726)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SUMIFS(RAB!$F$14:$F$112,RAB!$C$14:$C$112,C727)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SUMIFS(RAB!$F$14:$F$112,RAB!$C$14:$C$112,C728)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SUMIFS(RAB!$F$14:$F$112,RAB!$C$14:$C$112,C729)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SUMIFS(RAB!$F$14:$F$112,RAB!$C$14:$C$112,C730)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SUMIFS(RAB!$F$14:$F$112,RAB!$C$14:$C$112,C731)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SUMIFS(RAB!$F$14:$F$112,RAB!$C$14:$C$112,C732)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SUMIFS(RAB!$F$14:$F$112,RAB!$C$14:$C$112,C733)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SUMIFS(RAB!$F$14:$F$112,RAB!$C$14:$C$112,C734)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SUMIFS(RAB!$F$14:$F$112,RAB!$C$14:$C$112,C735)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SUMIFS(RAB!$F$14:$F$112,RAB!$C$14:$C$112,C736)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SUMIFS(RAB!$F$14:$F$112,RAB!$C$14:$C$112,C737)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SUMIFS(RAB!$F$14:$F$112,RAB!$C$14:$C$112,C738)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SUMIFS(RAB!$F$14:$F$112,RAB!$C$14:$C$112,C739)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SUMIFS(RAB!$F$14:$F$112,RAB!$C$14:$C$112,C740)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SUMIFS(RAB!$F$14:$F$112,RAB!$C$14:$C$112,C741)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SUMIFS(RAB!$F$14:$F$112,RAB!$C$14:$C$112,C742)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SUMIFS(RAB!$F$14:$F$112,RAB!$C$14:$C$112,C743)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SUMIFS(RAB!$F$14:$F$112,RAB!$C$14:$C$112,C744)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SUMIFS(RAB!$F$14:$F$112,RAB!$C$14:$C$112,C745)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SUMIFS(RAB!$F$14:$F$112,RAB!$C$14:$C$112,C746)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SUMIFS(RAB!$F$14:$F$112,RAB!$C$14:$C$112,C747)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SUMIFS(RAB!$F$14:$F$112,RAB!$C$14:$C$112,C748)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SUMIFS(RAB!$F$14:$F$112,RAB!$C$14:$C$112,C749)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SUMIFS(RAB!$F$14:$F$112,RAB!$C$14:$C$112,C750)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SUMIFS(RAB!$F$14:$F$112,RAB!$C$14:$C$112,C751)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SUMIFS(RAB!$F$14:$F$112,RAB!$C$14:$C$112,C752)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SUMIFS(RAB!$F$14:$F$112,RAB!$C$14:$C$112,C753)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SUMIFS(RAB!$F$14:$F$112,RAB!$C$14:$C$112,C754)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SUMIFS(RAB!$F$14:$F$112,RAB!$C$14:$C$112,C755)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SUMIFS(RAB!$F$14:$F$112,RAB!$C$14:$C$112,C756)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SUMIFS(RAB!$F$14:$F$112,RAB!$C$14:$C$112,C757)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SUMIFS(RAB!$F$14:$F$112,RAB!$C$14:$C$112,C758)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SUMIFS(RAB!$F$14:$F$112,RAB!$C$14:$C$112,C759)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SUMIFS(RAB!$F$14:$F$112,RAB!$C$14:$C$112,C760)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SUMIFS(RAB!$F$14:$F$112,RAB!$C$14:$C$112,C761)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SUMIFS(RAB!$F$14:$F$112,RAB!$C$14:$C$112,C762)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SUMIFS(RAB!$F$14:$F$112,RAB!$C$14:$C$112,C763)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SUMIFS(RAB!$F$14:$F$112,RAB!$C$14:$C$112,C764)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SUMIFS(RAB!$F$14:$F$112,RAB!$C$14:$C$112,C765)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SUMIFS(RAB!$F$14:$F$112,RAB!$C$14:$C$112,C766)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SUMIFS(RAB!$F$14:$F$112,RAB!$C$14:$C$112,C767)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SUMIFS(RAB!$F$14:$F$112,RAB!$C$14:$C$112,C768)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SUMIFS(RAB!$F$14:$F$112,RAB!$C$14:$C$112,C769)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SUMIFS(RAB!$F$14:$F$112,RAB!$C$14:$C$112,C770)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SUMIFS(RAB!$F$14:$F$112,RAB!$C$14:$C$112,C771)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SUMIFS(RAB!$F$14:$F$112,RAB!$C$14:$C$112,C772)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SUMIFS(RAB!$F$14:$F$112,RAB!$C$14:$C$112,C773)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SUMIFS(RAB!$F$14:$F$112,RAB!$C$14:$C$112,C774)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SUMIFS(RAB!$F$14:$F$112,RAB!$C$14:$C$112,C775)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SUMIFS(RAB!$F$14:$F$112,RAB!$C$14:$C$112,C776)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SUMIFS(RAB!$F$14:$F$112,RAB!$C$14:$C$112,C777)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SUMIFS(RAB!$F$14:$F$112,RAB!$C$14:$C$112,C778)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SUMIFS(RAB!$F$14:$F$112,RAB!$C$14:$C$112,C779)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SUMIFS(RAB!$F$14:$F$112,RAB!$C$14:$C$112,C780)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SUMIFS(RAB!$F$14:$F$112,RAB!$C$14:$C$112,C781)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SUMIFS(RAB!$F$14:$F$112,RAB!$C$14:$C$112,C782)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SUMIFS(RAB!$F$14:$F$112,RAB!$C$14:$C$112,C783)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SUMIFS(RAB!$F$14:$F$112,RAB!$C$14:$C$112,C784)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SUMIFS(RAB!$F$14:$F$112,RAB!$C$14:$C$112,C785)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SUMIFS(RAB!$F$14:$F$112,RAB!$C$14:$C$112,C786)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SUMIFS(RAB!$F$14:$F$112,RAB!$C$14:$C$112,C787)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SUMIFS(RAB!$F$14:$F$112,RAB!$C$14:$C$112,C788)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SUMIFS(RAB!$F$14:$F$112,RAB!$C$14:$C$112,C789)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SUMIFS(RAB!$F$14:$F$112,RAB!$C$14:$C$112,C790)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SUMIFS(RAB!$F$14:$F$112,RAB!$C$14:$C$112,C791)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SUMIFS(RAB!$F$14:$F$112,RAB!$C$14:$C$112,C792)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SUMIFS(RAB!$F$14:$F$112,RAB!$C$14:$C$112,C793)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SUMIFS(RAB!$F$14:$F$112,RAB!$C$14:$C$112,C794)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SUMIFS(RAB!$F$14:$F$112,RAB!$C$14:$C$112,C795)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SUMIFS(RAB!$F$14:$F$112,RAB!$C$14:$C$112,C796)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SUMIFS(RAB!$F$14:$F$112,RAB!$C$14:$C$112,C797)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SUMIFS(RAB!$F$14:$F$112,RAB!$C$14:$C$112,C798)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SUMIFS(RAB!$F$14:$F$112,RAB!$C$14:$C$112,C799)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SUMIFS(RAB!$F$14:$F$112,RAB!$C$14:$C$112,C800)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SUMIFS(RAB!$F$14:$F$112,RAB!$C$14:$C$112,C801)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SUMIFS(RAB!$F$14:$F$112,RAB!$C$14:$C$112,C802)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SUMIFS(RAB!$F$14:$F$112,RAB!$C$14:$C$112,C803)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SUMIFS(RAB!$F$14:$F$112,RAB!$C$14:$C$112,C804)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SUMIFS(RAB!$F$14:$F$112,RAB!$C$14:$C$112,C805)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SUMIFS(RAB!$F$14:$F$112,RAB!$C$14:$C$112,C806)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SUMIFS(RAB!$F$14:$F$112,RAB!$C$14:$C$112,C807)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SUMIFS(RAB!$F$14:$F$112,RAB!$C$14:$C$112,C808)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SUMIFS(RAB!$F$14:$F$112,RAB!$C$14:$C$112,C809)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SUMIFS(RAB!$F$14:$F$112,RAB!$C$14:$C$112,C810)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SUMIFS(RAB!$F$14:$F$112,RAB!$C$14:$C$112,C811)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SUMIFS(RAB!$F$14:$F$112,RAB!$C$14:$C$112,C812)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SUMIFS(RAB!$F$14:$F$112,RAB!$C$14:$C$112,C813)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SUMIFS(RAB!$F$14:$F$112,RAB!$C$14:$C$112,C814)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SUMIFS(RAB!$F$14:$F$112,RAB!$C$14:$C$112,C815)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SUMIFS(RAB!$F$14:$F$112,RAB!$C$14:$C$112,C816)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SUMIFS(RAB!$F$14:$F$112,RAB!$C$14:$C$112,C817)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SUMIFS(RAB!$F$14:$F$112,RAB!$C$14:$C$112,C818)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SUMIFS(RAB!$F$14:$F$112,RAB!$C$14:$C$112,C819)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SUMIFS(RAB!$F$14:$F$112,RAB!$C$14:$C$112,C820)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SUMIFS(RAB!$F$14:$F$112,RAB!$C$14:$C$112,C821)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SUMIFS(RAB!$F$14:$F$112,RAB!$C$14:$C$112,C822)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SUMIFS(RAB!$F$14:$F$112,RAB!$C$14:$C$112,C823)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SUMIFS(RAB!$F$14:$F$112,RAB!$C$14:$C$112,C824)</f>
        <v>2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SUMIFS(RAB!$F$14:$F$112,RAB!$C$14:$C$112,C825)</f>
        <v>1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SUMIFS(RAB!$F$14:$F$112,RAB!$C$14:$C$112,C826)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SUMIFS(RAB!$F$14:$F$112,RAB!$C$14:$C$112,C827)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SUMIFS(RAB!$F$14:$F$112,RAB!$C$14:$C$112,C828)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SUMIFS(RAB!$F$14:$F$112,RAB!$C$14:$C$112,C829)</f>
        <v>9</v>
      </c>
      <c r="E829" s="26">
        <f t="shared" ca="1" si="34"/>
        <v>1</v>
      </c>
      <c r="F829" s="26">
        <f ca="1">IF(D829=0,0,SUM($E$713:E829))</f>
        <v>8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SUMIFS(RAB!$F$14:$F$112,RAB!$C$14:$C$112,C830)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SUMIFS(RAB!$F$14:$F$112,RAB!$C$14:$C$112,C831)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SUMIFS(RAB!$F$14:$F$112,RAB!$C$14:$C$112,C832)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SUMIFS(RAB!$F$14:$F$112,RAB!$C$14:$C$112,C833)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SUMIFS(RAB!$F$14:$F$112,RAB!$C$14:$C$112,C834)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SUMIFS(RAB!$F$14:$F$112,RAB!$C$14:$C$112,C835)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SUMIFS(RAB!$F$14:$F$112,RAB!$C$14:$C$112,C836)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SUMIFS(RAB!$F$14:$F$112,RAB!$C$14:$C$112,C837)</f>
        <v>45</v>
      </c>
      <c r="E837" s="26">
        <f t="shared" ca="1" si="34"/>
        <v>1</v>
      </c>
      <c r="F837" s="26">
        <f ca="1">IF(D837=0,0,SUM($E$713:E837))</f>
        <v>9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SUMIFS(RAB!$F$14:$F$112,RAB!$C$14:$C$112,C838)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SUMIFS(RAB!$F$14:$F$112,RAB!$C$14:$C$112,C839)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SUMIFS(RAB!$F$14:$F$112,RAB!$C$14:$C$112,C840)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SUMIFS(RAB!$F$14:$F$112,RAB!$C$14:$C$112,C841)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SUMIFS(RAB!$F$14:$F$112,RAB!$C$14:$C$112,C842)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SUMIFS(RAB!$F$14:$F$112,RAB!$C$14:$C$112,C843)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SUMIFS(RAB!$F$14:$F$112,RAB!$C$14:$C$112,C844)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SUMIFS(RAB!$F$14:$F$112,RAB!$C$14:$C$112,C845)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SUMIFS(RAB!$F$14:$F$112,RAB!$C$14:$C$112,C846)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SUMIFS(RAB!$F$14:$F$112,RAB!$C$14:$C$112,C847)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SUMIFS(RAB!$F$14:$F$112,RAB!$C$14:$C$112,C848)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SUMIFS(RAB!$F$14:$F$112,RAB!$C$14:$C$112,C849)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SUMIFS(RAB!$F$14:$F$112,RAB!$C$14:$C$112,C850)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SUMIFS(RAB!$F$14:$F$112,RAB!$C$14:$C$112,C851)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SUMIFS(RAB!$F$14:$F$112,RAB!$C$14:$C$112,C852)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SUMIFS(RAB!$F$14:$F$112,RAB!$C$14:$C$112,C853)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SUMIFS(RAB!$F$14:$F$112,RAB!$C$14:$C$112,C854)</f>
        <v>1</v>
      </c>
      <c r="E854" s="26">
        <f t="shared" ca="1" si="35"/>
        <v>1</v>
      </c>
      <c r="F854" s="26">
        <f ca="1">IF(D854=0,0,SUM($E$713:E854))</f>
        <v>10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SUMIFS(RAB!$F$14:$F$112,RAB!$C$14:$C$112,C855)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SUMIFS(RAB!$F$14:$F$112,RAB!$C$14:$C$112,C856)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SUMIFS(RAB!$F$14:$F$112,RAB!$C$14:$C$112,C857)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SUMIFS(RAB!$F$14:$F$112,RAB!$C$14:$C$112,C858)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SUMIFS(RAB!$F$14:$F$112,RAB!$C$14:$C$112,C859)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SUMIFS(RAB!$F$14:$F$112,RAB!$C$14:$C$112,C860)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SUMIFS(RAB!$F$14:$F$112,RAB!$C$14:$C$112,C861)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SUMIFS(RAB!$F$14:$F$112,RAB!$C$14:$C$112,C862)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SUMIFS(RAB!$F$14:$F$112,RAB!$C$14:$C$112,C863)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SUMIFS(RAB!$F$14:$F$112,RAB!$C$14:$C$112,C864)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SUMIFS(RAB!$F$14:$F$112,RAB!$C$14:$C$112,C865)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SUMIFS(RAB!$F$14:$F$112,RAB!$C$14:$C$112,C866)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SUMIFS(RAB!$F$14:$F$112,RAB!$C$14:$C$112,C867)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SUMIFS(RAB!$F$14:$F$112,RAB!$C$14:$C$112,C868)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SUMIFS(RAB!$F$14:$F$112,RAB!$C$14:$C$112,C869)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SUMIFS(RAB!$F$14:$F$112,RAB!$C$14:$C$112,C870)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SUMIFS(RAB!$F$14:$F$112,RAB!$C$14:$C$112,C871)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SUMIFS(RAB!$F$14:$F$112,RAB!$C$14:$C$112,C872)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SUMIFS(RAB!$F$14:$F$112,RAB!$C$14:$C$112,C873)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SUMIFS(RAB!$F$14:$F$112,RAB!$C$14:$C$112,C874)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SUMIFS(RAB!$F$14:$F$112,RAB!$C$14:$C$112,C875)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SUMIFS(RAB!$F$14:$F$112,RAB!$C$14:$C$112,C876)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SUMIFS(RAB!$F$14:$F$112,RAB!$C$14:$C$112,C877)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SUMIFS(RAB!$F$14:$F$112,RAB!$C$14:$C$112,C878)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SUMIFS(RAB!$F$14:$F$112,RAB!$C$14:$C$112,C879)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SUMIFS(RAB!$F$14:$F$112,RAB!$C$14:$C$112,C880)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SUMIFS(RAB!$F$14:$F$112,RAB!$C$14:$C$112,C881)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SUMIFS(RAB!$F$14:$F$112,RAB!$C$14:$C$112,C882)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SUMIFS(RAB!$F$14:$F$112,RAB!$C$14:$C$112,C883)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SUMIFS(RAB!$F$14:$F$112,RAB!$C$14:$C$112,C884)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SUMIFS(RAB!$F$14:$F$112,RAB!$C$14:$C$112,C885)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SUMIFS(RAB!$F$14:$F$112,RAB!$C$14:$C$112,C886)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SUMIFS(RAB!$F$14:$F$112,RAB!$C$14:$C$112,C887)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SUMIFS(RAB!$F$14:$F$112,RAB!$C$14:$C$112,C888)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SUMIFS(RAB!$F$14:$F$112,RAB!$C$14:$C$112,C889)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SUMIFS(RAB!$F$14:$F$112,RAB!$C$14:$C$112,C890)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SUMIFS(RAB!$F$14:$F$112,RAB!$C$14:$C$112,C891)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SUMIFS(RAB!$F$14:$F$112,RAB!$C$14:$C$112,C892)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SUMIFS(RAB!$F$14:$F$112,RAB!$C$14:$C$112,C893)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SUMIFS(RAB!$F$14:$F$112,RAB!$C$14:$C$112,C894)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SUMIFS(RAB!$F$14:$F$112,RAB!$C$14:$C$112,C895)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SUMIFS(RAB!$F$14:$F$112,RAB!$C$14:$C$112,C896)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SUMIFS(RAB!$F$14:$F$112,RAB!$C$14:$C$112,C897)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SUMIFS(RAB!$F$14:$F$112,RAB!$C$14:$C$112,C898)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SUMIFS(RAB!$F$14:$F$112,RAB!$C$14:$C$112,C899)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SUMIFS(RAB!$F$14:$F$112,RAB!$C$14:$C$112,C900)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SUMIFS(RAB!$F$14:$F$112,RAB!$C$14:$C$112,C901)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SUMIFS(RAB!$F$14:$F$112,RAB!$C$14:$C$112,C902)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SUMIFS(RAB!$F$14:$F$112,RAB!$C$14:$C$112,C903)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SUMIFS(RAB!$F$14:$F$112,RAB!$C$14:$C$112,C904)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SUMIFS(RAB!$F$14:$F$112,RAB!$C$14:$C$112,C905)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SUMIFS(RAB!$F$14:$F$112,RAB!$C$14:$C$112,C906)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SUMIFS(RAB!$F$14:$F$112,RAB!$C$14:$C$112,C907)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SUMIFS(RAB!$F$14:$F$112,RAB!$C$14:$C$112,C908)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SUMIFS(RAB!$F$14:$F$112,RAB!$C$14:$C$112,C909)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SUMIFS(RAB!$F$14:$F$112,RAB!$C$14:$C$112,C910)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SUMIFS(RAB!$F$14:$F$112,RAB!$C$14:$C$112,C911)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SUMIFS(RAB!$F$14:$F$112,RAB!$C$14:$C$112,C912)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SUMIFS(RAB!$F$14:$F$112,RAB!$C$14:$C$112,C913)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SUMIFS(RAB!$F$14:$F$112,RAB!$C$14:$C$112,C914)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SUMIFS(RAB!$F$14:$F$112,RAB!$C$14:$C$112,C915)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SUMIFS(RAB!$F$14:$F$112,RAB!$C$14:$C$112,C916)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SUMIFS(RAB!$F$14:$F$112,RAB!$C$14:$C$112,C917)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SUMIFS(RAB!$F$14:$F$112,RAB!$C$14:$C$112,C918)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SUMIFS(RAB!$F$14:$F$112,RAB!$C$14:$C$112,C919)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SUMIFS(RAB!$F$14:$F$112,RAB!$C$14:$C$112,C920)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SUMIFS(RAB!$F$14:$F$112,RAB!$C$14:$C$112,C921)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SUMIFS(RAB!$F$14:$F$112,RAB!$C$14:$C$112,C922)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SUMIFS(RAB!$F$14:$F$112,RAB!$C$14:$C$112,C923)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SUMIFS(RAB!$F$14:$F$112,RAB!$C$14:$C$112,C924)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SUMIFS(RAB!$F$14:$F$112,RAB!$C$14:$C$112,C925)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SUMIFS(RAB!$F$14:$F$112,RAB!$C$14:$C$112,C926)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SUMIFS(RAB!$F$14:$F$112,RAB!$C$14:$C$112,C927)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SUMIFS(RAB!$F$14:$F$112,RAB!$C$14:$C$112,C928)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SUMIFS(RAB!$F$14:$F$112,RAB!$C$14:$C$112,C929)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SUMIFS(RAB!$F$14:$F$112,RAB!$C$14:$C$112,C930)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SUMIFS(RAB!$F$14:$F$112,RAB!$C$14:$C$112,C931)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SUMIFS(RAB!$F$14:$F$112,RAB!$C$14:$C$112,C932)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SUMIFS(RAB!$F$14:$F$112,RAB!$C$14:$C$112,C933)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SUMIFS(RAB!$F$14:$F$112,RAB!$C$14:$C$112,C934)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SUMIFS(RAB!$F$14:$F$112,RAB!$C$14:$C$112,C935)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SUMIFS(RAB!$F$14:$F$112,RAB!$C$14:$C$112,C936)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SUMIFS(RAB!$F$14:$F$112,RAB!$C$14:$C$112,C937)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SUMIFS(RAB!$F$14:$F$112,RAB!$C$14:$C$112,C938)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SUMIFS(RAB!$F$14:$F$112,RAB!$C$14:$C$112,C939)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SUMIFS(RAB!$F$14:$F$112,RAB!$C$14:$C$112,C940)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SUMIFS(RAB!$F$14:$F$112,RAB!$C$14:$C$112,C941)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SUMIFS(RAB!$F$14:$F$112,RAB!$C$14:$C$112,C942)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SUMIFS(RAB!$F$14:$F$112,RAB!$C$14:$C$112,C943)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SUMIFS(RAB!$F$14:$F$112,RAB!$C$14:$C$112,C944)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SUMIFS(RAB!$F$14:$F$112,RAB!$C$14:$C$112,C945)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SUMIFS(RAB!$F$14:$F$112,RAB!$C$14:$C$112,C946)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SUMIFS(RAB!$F$14:$F$112,RAB!$C$14:$C$112,C947)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SUMIFS(RAB!$F$14:$F$112,RAB!$C$14:$C$112,C948)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SUMIFS(RAB!$F$14:$F$112,RAB!$C$14:$C$112,C949)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SUMIFS(RAB!$F$14:$F$112,RAB!$C$14:$C$112,C950)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SUMIFS(RAB!$F$14:$F$112,RAB!$C$14:$C$112,C951)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SUMIFS(RAB!$F$14:$F$112,RAB!$C$14:$C$112,C952)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SUMIFS(RAB!$F$14:$F$112,RAB!$C$14:$C$112,C953)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SUMIFS(RAB!$F$14:$F$112,RAB!$C$14:$C$112,C954)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SUMIFS(RAB!$F$14:$F$112,RAB!$C$14:$C$112,C955)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SUMIFS(RAB!$F$14:$F$112,RAB!$C$14:$C$112,C956)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SUMIFS(RAB!$F$14:$F$112,RAB!$C$14:$C$112,C957)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SUMIFS(RAB!$F$14:$F$112,RAB!$C$14:$C$112,C958)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SUMIFS(RAB!$F$14:$F$112,RAB!$C$14:$C$112,C959)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SUMIFS(RAB!$F$14:$F$112,RAB!$C$14:$C$112,C960)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SUMIFS(RAB!$F$14:$F$112,RAB!$C$14:$C$112,C961)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SUMIFS(RAB!$F$14:$F$112,RAB!$C$14:$C$112,C962)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SUMIFS(RAB!$F$14:$F$112,RAB!$C$14:$C$112,C963)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SUMIFS(RAB!$F$14:$F$112,RAB!$C$14:$C$112,C964)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SUMIFS(RAB!$F$14:$F$112,RAB!$C$14:$C$112,C965)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SUMIFS(RAB!$F$14:$F$112,RAB!$C$14:$C$112,C966)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SUMIFS(RAB!$F$14:$F$112,RAB!$C$14:$C$112,C967)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SUMIFS(RAB!$F$14:$F$112,RAB!$C$14:$C$112,C968)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SUMIFS(RAB!$F$14:$F$112,RAB!$C$14:$C$112,C969)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SUMIFS(RAB!$F$14:$F$112,RAB!$C$14:$C$112,C970)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SUMIFS(RAB!$F$14:$F$112,RAB!$C$14:$C$112,C971)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SUMIFS(RAB!$F$14:$F$112,RAB!$C$14:$C$112,C972)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SUMIFS(RAB!$F$14:$F$112,RAB!$C$14:$C$112,C973)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SUMIFS(RAB!$F$14:$F$112,RAB!$C$14:$C$112,C974)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SUMIFS(RAB!$F$14:$F$112,RAB!$C$14:$C$112,C975)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SUMIFS(RAB!$F$14:$F$112,RAB!$C$14:$C$112,C976)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SUMIFS(RAB!$F$14:$F$112,RAB!$C$14:$C$112,C977)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SUMIFS(RAB!$F$14:$F$112,RAB!$C$14:$C$112,C978)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SUMIFS(RAB!$F$14:$F$112,RAB!$C$14:$C$112,C979)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SUMIFS(RAB!$F$14:$F$112,RAB!$C$14:$C$112,C980)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SUMIFS(RAB!$F$14:$F$112,RAB!$C$14:$C$112,C981)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SUMIFS(RAB!$F$14:$F$112,RAB!$C$14:$C$112,C982)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SUMIFS(RAB!$F$14:$F$112,RAB!$C$14:$C$112,C983)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SUMIFS(RAB!$F$14:$F$112,RAB!$C$14:$C$112,C984)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SUMIFS(RAB!$F$14:$F$112,RAB!$C$14:$C$112,C985)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SUMIFS(RAB!$F$14:$F$112,RAB!$C$14:$C$112,C986)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SUMIFS(RAB!$F$14:$F$112,RAB!$C$14:$C$112,C987)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SUMIFS(RAB!$F$14:$F$112,RAB!$C$14:$C$112,C988)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SUMIFS(RAB!$F$14:$F$112,RAB!$C$14:$C$112,C989)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SUMIFS(RAB!$F$14:$F$112,RAB!$C$14:$C$112,C990)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SUMIFS(RAB!$F$14:$F$112,RAB!$C$14:$C$112,C991)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SUMIFS(RAB!$F$14:$F$112,RAB!$C$14:$C$112,C992)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SUMIFS(RAB!$F$14:$F$112,RAB!$C$14:$C$112,C993)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SUMIFS(RAB!$F$14:$F$112,RAB!$C$14:$C$112,C994)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SUMIFS(RAB!$F$14:$F$112,RAB!$C$14:$C$112,C995)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SUMIFS(RAB!$F$14:$F$112,RAB!$C$14:$C$112,C996)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SUMIFS(RAB!$F$14:$F$112,RAB!$C$14:$C$112,C997)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SUMIFS(RAB!$F$14:$F$112,RAB!$C$14:$C$112,C998)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SUMIFS(RAB!$F$14:$F$112,RAB!$C$14:$C$112,C999)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SUMIFS(RAB!$F$14:$F$112,RAB!$C$14:$C$112,C1000)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SUMIFS(RAB!$F$14:$F$112,RAB!$C$14:$C$112,C1001)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SUMIFS(RAB!$F$14:$F$112,RAB!$C$14:$C$112,C1002)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SUMIFS(RAB!$F$14:$F$112,RAB!$C$14:$C$112,C1003)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SUMIFS(RAB!$F$14:$F$112,RAB!$C$14:$C$112,C1004)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SUMIFS(RAB!$F$14:$F$112,RAB!$C$14:$C$112,C1005)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SUMIFS(RAB!$F$14:$F$112,RAB!$C$14:$C$112,C1006)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SUMIFS(RAB!$F$14:$F$112,RAB!$C$14:$C$112,C1007)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SUMIFS(RAB!$F$14:$F$112,RAB!$C$14:$C$112,C1008)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SUMIFS(RAB!$F$14:$F$112,RAB!$C$14:$C$112,C1009)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SUMIFS(RAB!$F$14:$F$112,RAB!$C$14:$C$112,C1010)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SUMIFS(RAB!$F$14:$F$112,RAB!$C$14:$C$112,C1011)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SUMIFS(RAB!$F$14:$F$112,RAB!$C$14:$C$112,C1012)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SUMIFS(RAB!$F$14:$F$112,RAB!$C$14:$C$112,C1013)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SUMIFS(RAB!$F$14:$F$112,RAB!$C$14:$C$112,C1014)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SUMIFS(RAB!$F$14:$F$112,RAB!$C$14:$C$112,C1015)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SUMIFS(RAB!$F$14:$F$112,RAB!$C$14:$C$112,C1016)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SUMIFS(RAB!$F$14:$F$112,RAB!$C$14:$C$112,C1017)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SUMIFS(RAB!$F$14:$F$112,RAB!$C$14:$C$112,C1018)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SUMIFS(RAB!$F$14:$F$112,RAB!$C$14:$C$112,C1019)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SUMIFS(RAB!$F$14:$F$112,RAB!$C$14:$C$112,C1020)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SUMIFS(RAB!$F$14:$F$112,RAB!$C$14:$C$112,C1021)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SUMIFS(RAB!$F$14:$F$112,RAB!$C$14:$C$112,C1022)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SUMIFS(RAB!$F$14:$F$112,RAB!$C$14:$C$112,C1023)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SUMIFS(RAB!$F$14:$F$112,RAB!$C$14:$C$112,C1024)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SUMIFS(RAB!$F$14:$F$112,RAB!$C$14:$C$112,C1025)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SUMIFS(RAB!$F$14:$F$112,RAB!$C$14:$C$112,C1026)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SUMIFS(RAB!$F$14:$F$112,RAB!$C$14:$C$112,C1027)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SUMIFS(RAB!$F$14:$F$112,RAB!$C$14:$C$112,C1028)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SUMIFS(RAB!$F$14:$F$112,RAB!$C$14:$C$112,C1029)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SUMIFS(RAB!$F$14:$F$112,RAB!$C$14:$C$112,C1030)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SUMIFS(RAB!$F$14:$F$112,RAB!$C$14:$C$112,C1031)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SUMIFS(RAB!$F$14:$F$112,RAB!$C$14:$C$112,C1032)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SUMIFS(RAB!$F$14:$F$112,RAB!$C$14:$C$112,C1033)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SUMIFS(RAB!$F$14:$F$112,RAB!$C$14:$C$112,C1034)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SUMIFS(RAB!$F$14:$F$112,RAB!$C$14:$C$112,C1035)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SUMIFS(RAB!$F$14:$F$112,RAB!$C$14:$C$112,C1036)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SUMIFS(RAB!$F$14:$F$112,RAB!$C$14:$C$112,C1037)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SUMIFS(RAB!$F$14:$F$112,RAB!$C$14:$C$112,C1038)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SUMIFS(RAB!$F$14:$F$112,RAB!$C$14:$C$112,C1039)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SUMIFS(RAB!$F$14:$F$112,RAB!$C$14:$C$112,C1040)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SUMIFS(RAB!$F$14:$F$112,RAB!$C$14:$C$112,C1041)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SUMIFS(RAB!$F$14:$F$112,RAB!$C$14:$C$112,C1042)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SUMIFS(RAB!$F$14:$F$112,RAB!$C$14:$C$112,C1043)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SUMIFS(RAB!$F$14:$F$112,RAB!$C$14:$C$112,C1044)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SUMIFS(RAB!$F$14:$F$112,RAB!$C$14:$C$112,C1045)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SUMIFS(RAB!$F$14:$F$112,RAB!$C$14:$C$112,C1046)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SUMIFS(RAB!$F$14:$F$112,RAB!$C$14:$C$112,C1047)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SUMIFS(RAB!$F$14:$F$112,RAB!$C$14:$C$112,C1048)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SUMIFS(RAB!$F$14:$F$112,RAB!$C$14:$C$112,C1049)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SUMIFS(RAB!$F$14:$F$112,RAB!$C$14:$C$112,C1050)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SUMIFS(RAB!$F$14:$F$112,RAB!$C$14:$C$112,C1051)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SUMIFS(RAB!$F$14:$F$112,RAB!$C$14:$C$112,C1052)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SUMIFS(RAB!$F$14:$F$112,RAB!$C$14:$C$112,C1053)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SUMIFS(RAB!$F$14:$F$112,RAB!$C$14:$C$112,C1054)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SUMIFS(RAB!$F$14:$F$112,RAB!$C$14:$C$112,C1055)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SUMIFS(RAB!$F$14:$F$112,RAB!$C$14:$C$112,C1056)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SUMIFS(RAB!$F$14:$F$112,RAB!$C$14:$C$112,C1057)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SUMIFS(RAB!$F$14:$F$112,RAB!$C$14:$C$112,C1058)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SUMIFS(RAB!$F$14:$F$112,RAB!$C$14:$C$112,C1059)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SUMIFS(RAB!$F$14:$F$112,RAB!$C$14:$C$112,C1060)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SUMIFS(RAB!$F$14:$F$112,RAB!$C$14:$C$112,C1061)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SUMIFS(RAB!$F$14:$F$112,RAB!$C$14:$C$112,C1062)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SUMIFS(RAB!$F$14:$F$112,RAB!$C$14:$C$112,C1063)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SUMIFS(RAB!$F$14:$F$112,RAB!$C$14:$C$112,C1064)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SUMIFS(RAB!$F$14:$F$112,RAB!$C$14:$C$112,C1065)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SUMIFS(RAB!$F$14:$F$112,RAB!$C$14:$C$112,C1066)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SUMIFS(RAB!$F$14:$F$112,RAB!$C$14:$C$112,C1067)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SUMIFS(RAB!$F$14:$F$112,RAB!$C$14:$C$112,C1068)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SUMIFS(RAB!$F$14:$F$112,RAB!$C$14:$C$112,C1069)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SUMIFS(RAB!$F$14:$F$112,RAB!$C$14:$C$112,C1070)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SUMIFS(RAB!$F$14:$F$112,RAB!$C$14:$C$112,C1071)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SUMIFS(RAB!$F$14:$F$112,RAB!$C$14:$C$112,C1072)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SUMIFS(RAB!$F$14:$F$112,RAB!$C$14:$C$112,C1073)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SUMIFS(RAB!$F$14:$F$112,RAB!$C$14:$C$112,C1074)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SUMIFS(RAB!$F$14:$F$112,RAB!$C$14:$C$112,C1075)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SUMIFS(RAB!$F$14:$F$112,RAB!$C$14:$C$112,C1076)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SUMIFS(RAB!$F$14:$F$112,RAB!$C$14:$C$112,C1077)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SUMIFS(RAB!$F$14:$F$112,RAB!$C$14:$C$112,C1078)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SUMIFS(RAB!$F$14:$F$112,RAB!$C$14:$C$112,C1079)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SUMIFS(RAB!$F$14:$F$112,RAB!$C$14:$C$112,C1080)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SUMIFS(RAB!$F$14:$F$112,RAB!$C$14:$C$112,C1081)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SUMIFS(RAB!$F$14:$F$112,RAB!$C$14:$C$112,C1082)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SUMIFS(RAB!$F$14:$F$112,RAB!$C$14:$C$112,C1083)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SUMIFS(RAB!$F$14:$F$112,RAB!$C$14:$C$112,C1084)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SUMIFS(RAB!$F$14:$F$112,RAB!$C$14:$C$112,C1085)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SUMIFS(RAB!$F$14:$F$112,RAB!$C$14:$C$112,C1086)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SUMIFS(RAB!$F$14:$F$112,RAB!$C$14:$C$112,C1087)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SUMIFS(RAB!$F$14:$F$112,RAB!$C$14:$C$112,C1088)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SUMIFS(RAB!$F$14:$F$112,RAB!$C$14:$C$112,C1089)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SUMIFS(RAB!$F$14:$F$112,RAB!$C$14:$C$112,C1090)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SUMIFS(RAB!$F$14:$F$112,RAB!$C$14:$C$112,C1091)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SUMIFS(RAB!$F$14:$F$112,RAB!$C$14:$C$112,C1092)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SUMIFS(RAB!$F$14:$F$112,RAB!$C$14:$C$112,C1093)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SUMIFS(RAB!$F$14:$F$112,RAB!$C$14:$C$112,C1094)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SUMIFS(RAB!$F$14:$F$112,RAB!$C$14:$C$112,C1095)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SUMIFS(RAB!$F$14:$F$112,RAB!$C$14:$C$112,C1096)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SUMIFS(RAB!$F$14:$F$112,RAB!$C$14:$C$112,C1097)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SUMIFS(RAB!$F$14:$F$112,RAB!$C$14:$C$112,C1098)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SUMIFS(RAB!$F$14:$F$112,RAB!$C$14:$C$112,C1099)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SUMIFS(RAB!$F$14:$F$112,RAB!$C$14:$C$112,C1100)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SUMIFS(RAB!$F$14:$F$112,RAB!$C$14:$C$112,C1101)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SUMIFS(RAB!$F$14:$F$112,RAB!$C$14:$C$112,C1102)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SUMIFS(RAB!$F$14:$F$112,RAB!$C$14:$C$112,C1103)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SUMIFS(RAB!$F$14:$F$112,RAB!$C$14:$C$112,C1104)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SUMIFS(RAB!$F$14:$F$112,RAB!$C$14:$C$112,C1105)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SUMIFS(RAB!$F$14:$F$112,RAB!$C$14:$C$112,C1106)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SUMIFS(RAB!$F$14:$F$112,RAB!$C$14:$C$112,C1107)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SUMIFS(RAB!$F$14:$F$112,RAB!$C$14:$C$112,C1108)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SUMIFS(RAB!$F$14:$F$112,RAB!$C$14:$C$112,C1109)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SUMIFS(RAB!$F$14:$F$112,RAB!$C$14:$C$112,C1110)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SUMIFS(RAB!$F$14:$F$112,RAB!$C$14:$C$112,C1111)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SUMIFS(RAB!$F$14:$F$112,RAB!$C$14:$C$112,C1112)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SUMIFS(RAB!$F$14:$F$112,RAB!$C$14:$C$112,C1113)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SUMIFS(RAB!$F$14:$F$112,RAB!$C$14:$C$112,C1114)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SUMIFS(RAB!$F$14:$F$112,RAB!$C$14:$C$112,C1115)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SUMIFS(RAB!$F$14:$F$112,RAB!$C$14:$C$112,C1116)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SUMIFS(RAB!$F$14:$F$112,RAB!$C$14:$C$112,C1117)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SUMIFS(RAB!$F$14:$F$112,RAB!$C$14:$C$112,C1118)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SUMIFS(RAB!$F$14:$F$112,RAB!$C$14:$C$112,C1119)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SUMIFS(RAB!$F$14:$F$112,RAB!$C$14:$C$112,C1120)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SUMIFS(RAB!$F$14:$F$112,RAB!$C$14:$C$112,C1121)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SUMIFS(RAB!$F$14:$F$112,RAB!$C$14:$C$112,C1122)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SUMIFS(RAB!$F$14:$F$112,RAB!$C$14:$C$112,C1123)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SUMIFS(RAB!$F$14:$F$112,RAB!$C$14:$C$112,C1124)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SUMIFS(RAB!$F$14:$F$112,RAB!$C$14:$C$112,C1125)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SUMIFS(RAB!$F$14:$F$112,RAB!$C$14:$C$112,C1126)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SUMIFS(RAB!$F$14:$F$112,RAB!$C$14:$C$112,C1127)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SUMIFS(RAB!$F$14:$F$112,RAB!$C$14:$C$112,C1128)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SUMIFS(RAB!$F$14:$F$112,RAB!$C$14:$C$112,C1129)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SUMIFS(RAB!$F$14:$F$112,RAB!$C$14:$C$112,C1130)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SUMIFS(RAB!$F$14:$F$112,RAB!$C$14:$C$112,C1131)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SUMIFS(RAB!$F$14:$F$112,RAB!$C$14:$C$112,C1132)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SUMIFS(RAB!$F$14:$F$112,RAB!$C$14:$C$112,C1133)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SUMIFS(RAB!$F$14:$F$112,RAB!$C$14:$C$112,C1134)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SUMIFS(RAB!$F$14:$F$112,RAB!$C$14:$C$112,C1135)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SUMIFS(RAB!$F$14:$F$112,RAB!$C$14:$C$112,C1136)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SUMIFS(RAB!$F$14:$F$112,RAB!$C$14:$C$112,C1137)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SUMIFS(RAB!$F$14:$F$112,RAB!$C$14:$C$112,C1138)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SUMIFS(RAB!$F$14:$F$112,RAB!$C$14:$C$112,C1139)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SUMIFS(RAB!$F$14:$F$112,RAB!$C$14:$C$112,C1140)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SUMIFS(RAB!$F$14:$F$112,RAB!$C$14:$C$112,C1141)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SUMIFS(RAB!$F$14:$F$112,RAB!$C$14:$C$112,C1142)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SUMIFS(RAB!$F$14:$F$112,RAB!$C$14:$C$112,C1143)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SUMIFS(RAB!$F$14:$F$112,RAB!$C$14:$C$112,C1144)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SUMIFS(RAB!$F$14:$F$112,RAB!$C$14:$C$112,C1145)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SUMIFS(RAB!$F$14:$F$112,RAB!$C$14:$C$112,C1146)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SUMIFS(RAB!$F$14:$F$112,RAB!$C$14:$C$112,C1147)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SUMIFS(RAB!$F$14:$F$112,RAB!$C$14:$C$112,C1148)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SUMIFS(RAB!$F$14:$F$112,RAB!$C$14:$C$112,C1149)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SUMIFS(RAB!$F$14:$F$112,RAB!$C$14:$C$112,C1150)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SUMIFS(RAB!$F$14:$F$112,RAB!$C$14:$C$112,C1151)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SUMIFS(RAB!$F$14:$F$112,RAB!$C$14:$C$112,C1152)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SUMIFS(RAB!$F$14:$F$112,RAB!$C$14:$C$112,C1153)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SUMIFS(RAB!$F$14:$F$112,RAB!$C$14:$C$112,C1154)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SUMIFS(RAB!$F$14:$F$112,RAB!$C$14:$C$112,C1155)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SUMIFS(RAB!$F$14:$F$112,RAB!$C$14:$C$112,C1156)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SUMIFS(RAB!$F$14:$F$112,RAB!$C$14:$C$112,C1157)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SUMIFS(RAB!$F$14:$F$112,RAB!$C$14:$C$112,C1158)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SUMIFS(RAB!$F$14:$F$112,RAB!$C$14:$C$112,C1159)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SUMIFS(RAB!$F$14:$F$112,RAB!$C$14:$C$112,C1160)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SUMIFS(RAB!$F$14:$F$112,RAB!$C$14:$C$112,C1161)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SUMIFS(RAB!$F$14:$F$112,RAB!$C$14:$C$112,C1162)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SUMIFS(RAB!$F$14:$F$112,RAB!$C$14:$C$112,C1163)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SUMIFS(RAB!$F$14:$F$112,RAB!$C$14:$C$112,C1164)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SUMIFS(RAB!$F$14:$F$112,RAB!$C$14:$C$112,C1165)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SUMIFS(RAB!$F$14:$F$112,RAB!$C$14:$C$112,C1166)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SUMIFS(RAB!$F$14:$F$112,RAB!$C$14:$C$112,C1167)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SUMIFS(RAB!$F$14:$F$112,RAB!$C$14:$C$112,C1168)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SUMIFS(RAB!$F$14:$F$112,RAB!$C$14:$C$112,C1169)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SUMIFS(RAB!$F$14:$F$112,RAB!$C$14:$C$112,C1170)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SUMIFS(RAB!$F$14:$F$112,RAB!$C$14:$C$112,C1171)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SUMIFS(RAB!$F$14:$F$112,RAB!$C$14:$C$112,C1172)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SUMIFS(RAB!$F$14:$F$112,RAB!$C$14:$C$112,C1173)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SUMIFS(RAB!$F$14:$F$112,RAB!$C$14:$C$112,C1174)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SUMIFS(RAB!$F$14:$F$112,RAB!$C$14:$C$112,C1175)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SUMIFS(RAB!$F$14:$F$112,RAB!$C$14:$C$112,C1176)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SUMIFS(RAB!$F$14:$F$112,RAB!$C$14:$C$112,C1177)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SUMIFS(RAB!$F$14:$F$112,RAB!$C$14:$C$112,C1178)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SUMIFS(RAB!$F$14:$F$112,RAB!$C$14:$C$112,C1179)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SUMIFS(RAB!$F$14:$F$112,RAB!$C$14:$C$112,C1180)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SUMIFS(RAB!$F$14:$F$112,RAB!$C$14:$C$112,C1181)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SUMIFS(RAB!$F$14:$F$112,RAB!$C$14:$C$112,C1182)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SUMIFS(RAB!$F$14:$F$112,RAB!$C$14:$C$112,C1183)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SUMIFS(RAB!$F$14:$F$112,RAB!$C$14:$C$112,C1184)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SUMIFS(RAB!$F$14:$F$112,RAB!$C$14:$C$112,C1185)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SUMIFS(RAB!$F$14:$F$112,RAB!$C$14:$C$112,C1186)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SUMIFS(RAB!$F$14:$F$112,RAB!$C$14:$C$112,C1187)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SUMIFS(RAB!$F$14:$F$112,RAB!$C$14:$C$112,C1188)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SUMIFS(RAB!$F$14:$F$112,RAB!$C$14:$C$112,C1189)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SUMIFS(RAB!$F$14:$F$112,RAB!$C$14:$C$112,C1190)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SUMIFS(RAB!$F$14:$F$112,RAB!$C$14:$C$112,C1191)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SUMIFS(RAB!$F$14:$F$112,RAB!$C$14:$C$112,C1192)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SUMIFS(RAB!$F$14:$F$112,RAB!$C$14:$C$112,C1193)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SUMIFS(RAB!$F$14:$F$112,RAB!$C$14:$C$112,C1194)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SUMIFS(RAB!$F$14:$F$112,RAB!$C$14:$C$112,C1195)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SUMIFS(RAB!$F$14:$F$112,RAB!$C$14:$C$112,C1196)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SUMIFS(RAB!$F$14:$F$112,RAB!$C$14:$C$112,C1197)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SUMIFS(RAB!$F$14:$F$112,RAB!$C$14:$C$112,C1198)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SUMIFS(RAB!$F$14:$F$112,RAB!$C$14:$C$112,C1199)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SUMIFS(RAB!$F$14:$F$112,RAB!$C$14:$C$112,C1200)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SUMIFS(RAB!$F$14:$F$112,RAB!$C$14:$C$112,C1201)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SUMIFS(RAB!$F$14:$F$112,RAB!$C$14:$C$112,C1202)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SUMIFS(RAB!$F$14:$F$112,RAB!$C$14:$C$112,C1203)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SUMIFS(RAB!$F$14:$F$112,RAB!$C$14:$C$112,C1204)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SUMIFS(RAB!$F$14:$F$112,RAB!$C$14:$C$112,C1205)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SUMIFS(RAB!$F$14:$F$112,RAB!$C$14:$C$112,C1206)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SUMIFS(RAB!$F$14:$F$112,RAB!$C$14:$C$112,C1207)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SUMIFS(RAB!$F$14:$F$112,RAB!$C$14:$C$112,C1208)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SUMIFS(RAB!$F$14:$F$112,RAB!$C$14:$C$112,C1209)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SUMIFS(RAB!$F$14:$F$112,RAB!$C$14:$C$112,C1210)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SUMIFS(RAB!$F$14:$F$112,RAB!$C$14:$C$112,C1211)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SUMIFS(RAB!$F$14:$F$112,RAB!$C$14:$C$112,C1212)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SUMIFS(RAB!$F$14:$F$112,RAB!$C$14:$C$112,C1213)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SUMIFS(RAB!$F$14:$F$112,RAB!$C$14:$C$112,C1214)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SUMIFS(RAB!$F$14:$F$112,RAB!$C$14:$C$112,C1215)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SUMIFS(RAB!$F$14:$F$112,RAB!$C$14:$C$112,C1216)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SUMIFS(RAB!$F$14:$F$112,RAB!$C$14:$C$112,C1217)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SUMIFS(RAB!$F$14:$F$112,RAB!$C$14:$C$112,C1218)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SUMIFS(RAB!$F$14:$F$112,RAB!$C$14:$C$112,C1219)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SUMIFS(RAB!$F$14:$F$112,RAB!$C$14:$C$112,C1220)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SUMIFS(RAB!$F$14:$F$112,RAB!$C$14:$C$112,C1221)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SUMIFS(RAB!$F$14:$F$112,RAB!$C$14:$C$112,C1222)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SUMIFS(RAB!$F$14:$F$112,RAB!$C$14:$C$112,C1223)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SUMIFS(RAB!$F$14:$F$112,RAB!$C$14:$C$112,C1224)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SUMIFS(RAB!$F$14:$F$112,RAB!$C$14:$C$112,C1225)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SUMIFS(RAB!$F$14:$F$112,RAB!$C$14:$C$112,C1226)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SUMIFS(RAB!$F$14:$F$112,RAB!$C$14:$C$112,C1227)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SUMIFS(RAB!$F$14:$F$112,RAB!$C$14:$C$112,C1228)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SUMIFS(RAB!$F$14:$F$112,RAB!$C$14:$C$112,C1229)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SUMIFS(RAB!$F$14:$F$112,RAB!$C$14:$C$112,C1230)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SUMIFS(RAB!$F$14:$F$112,RAB!$C$14:$C$112,C1231)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SUMIFS(RAB!$F$14:$F$112,RAB!$C$14:$C$112,C1232)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SUMIFS(RAB!$F$14:$F$112,RAB!$C$14:$C$112,C1233)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SUMIFS(RAB!$F$14:$F$112,RAB!$C$14:$C$112,C1234)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SUMIFS(RAB!$F$14:$F$112,RAB!$C$14:$C$112,C1235)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SUMIFS(RAB!$F$14:$F$112,RAB!$C$14:$C$112,C1236)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SUMIFS(RAB!$F$14:$F$112,RAB!$C$14:$C$112,C1237)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SUMIFS(RAB!$F$14:$F$112,RAB!$C$14:$C$112,C1238)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SUMIFS(RAB!$F$14:$F$112,RAB!$C$14:$C$112,C1239)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SUMIFS(RAB!$F$14:$F$112,RAB!$C$14:$C$112,C1240)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SUMIFS(RAB!$F$14:$F$112,RAB!$C$14:$C$112,C1241)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SUMIFS(RAB!$F$14:$F$112,RAB!$C$14:$C$112,C1242)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SUMIFS(RAB!$F$14:$F$112,RAB!$C$14:$C$112,C1243)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SUMIFS(RAB!$F$14:$F$112,RAB!$C$14:$C$112,C1244)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SUMIFS(RAB!$F$14:$F$112,RAB!$C$14:$C$112,C1245)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SUMIFS(RAB!$F$14:$F$112,RAB!$C$14:$C$112,C1246)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SUMIFS(RAB!$F$14:$F$112,RAB!$C$14:$C$112,C1247)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SUMIFS(RAB!$F$14:$F$112,RAB!$C$14:$C$112,C1248)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SUMIFS(RAB!$F$14:$F$112,RAB!$C$14:$C$112,C1249)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SUMIFS(RAB!$F$14:$F$112,RAB!$C$14:$C$112,C1250)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SUMIFS(RAB!$F$14:$F$112,RAB!$C$14:$C$112,C1251)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SUMIFS(RAB!$F$14:$F$112,RAB!$C$14:$C$112,C1252)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SUMIFS(RAB!$F$14:$F$112,RAB!$C$14:$C$112,C1253)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SUMIFS(RAB!$F$14:$F$112,RAB!$C$14:$C$112,C1254)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SUMIFS(RAB!$F$14:$F$112,RAB!$C$14:$C$112,C1255)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SUMIFS(RAB!$F$14:$F$112,RAB!$C$14:$C$112,C1256)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SUMIFS(RAB!$F$14:$F$112,RAB!$C$14:$C$112,C1257)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SUMIFS(RAB!$F$14:$F$112,RAB!$C$14:$C$112,C1258)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SUMIFS(RAB!$F$14:$F$112,RAB!$C$14:$C$112,C1259)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SUMIFS(RAB!$F$14:$F$112,RAB!$C$14:$C$112,C1260)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SUMIFS(RAB!$F$14:$F$112,RAB!$C$14:$C$112,C1261)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SUMIFS(RAB!$F$14:$F$112,RAB!$C$14:$C$112,C1262)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SUMIFS(RAB!$F$14:$F$112,RAB!$C$14:$C$112,C1263)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SUMIFS(RAB!$F$14:$F$112,RAB!$C$14:$C$112,C1264)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SUMIFS(RAB!$F$14:$F$112,RAB!$C$14:$C$112,C1265)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SUMIFS(RAB!$F$14:$F$112,RAB!$C$14:$C$112,C1266)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SUMIFS(RAB!$F$14:$F$112,RAB!$C$14:$C$112,C1267)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SUMIFS(RAB!$F$14:$F$112,RAB!$C$14:$C$112,C1268)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SUMIFS(RAB!$F$14:$F$112,RAB!$C$14:$C$112,C1269)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SUMIFS(RAB!$F$14:$F$112,RAB!$C$14:$C$112,C1270)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SUMIFS(RAB!$F$14:$F$112,RAB!$C$14:$C$112,C1271)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SUMIFS(RAB!$F$14:$F$112,RAB!$C$14:$C$112,C1272)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SUMIFS(RAB!$F$14:$F$112,RAB!$C$14:$C$112,C1273)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SUMIFS(RAB!$F$14:$F$112,RAB!$C$14:$C$112,C1274)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SUMIFS(RAB!$F$14:$F$112,RAB!$C$14:$C$112,C1275)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SUMIFS(RAB!$F$14:$F$112,RAB!$C$14:$C$112,C1276)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SUMIFS(RAB!$F$14:$F$112,RAB!$C$14:$C$112,C1277)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SUMIFS(RAB!$F$14:$F$112,RAB!$C$14:$C$112,C1278)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SUMIFS(RAB!$F$14:$F$112,RAB!$C$14:$C$112,C1279)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SUMIFS(RAB!$F$14:$F$112,RAB!$C$14:$C$112,C1280)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SUMIFS(RAB!$F$14:$F$112,RAB!$C$14:$C$112,C1281)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SUMIFS(RAB!$F$14:$F$112,RAB!$C$14:$C$112,C1282)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SUMIFS(RAB!$F$14:$F$112,RAB!$C$14:$C$112,C1283)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SUMIFS(RAB!$F$14:$F$112,RAB!$C$14:$C$112,C1284)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SUMIFS(RAB!$F$14:$F$112,RAB!$C$14:$C$112,C1285)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SUMIFS(RAB!$F$14:$F$112,RAB!$C$14:$C$112,C1286)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SUMIFS(RAB!$F$14:$F$112,RAB!$C$14:$C$112,C1287)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SUMIFS(RAB!$F$14:$F$112,RAB!$C$14:$C$112,C1288)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SUMIFS(RAB!$F$14:$F$112,RAB!$C$14:$C$112,C1289)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SUMIFS(RAB!$F$14:$F$112,RAB!$C$14:$C$112,C1290)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SUMIFS(RAB!$F$14:$F$112,RAB!$C$14:$C$112,C1291)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SUMIFS(RAB!$F$14:$F$112,RAB!$C$14:$C$112,C1292)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SUMIFS(RAB!$F$14:$F$112,RAB!$C$14:$C$112,C1293)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SUMIFS(RAB!$F$14:$F$112,RAB!$C$14:$C$112,C1294)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SUMIFS(RAB!$F$14:$F$112,RAB!$C$14:$C$112,C1295)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SUMIFS(RAB!$F$14:$F$112,RAB!$C$14:$C$112,C1296)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SUMIFS(RAB!$F$14:$F$112,RAB!$C$14:$C$112,C1297)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SUMIFS(RAB!$F$14:$F$112,RAB!$C$14:$C$112,C1298)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SUMIFS(RAB!$F$14:$F$112,RAB!$C$14:$C$112,C1299)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SUMIFS(RAB!$F$14:$F$112,RAB!$C$14:$C$112,C1300)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SUMIFS(RAB!$F$14:$F$112,RAB!$C$14:$C$112,C1301)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SUMIFS(RAB!$F$14:$F$112,RAB!$C$14:$C$112,C1302)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SUMIFS(RAB!$F$14:$F$112,RAB!$C$14:$C$112,C1303)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SUMIFS(RAB!$F$14:$F$112,RAB!$C$14:$C$112,C1304)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SUMIFS(RAB!$F$14:$F$112,RAB!$C$14:$C$112,C1305)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SUMIFS(RAB!$F$14:$F$112,RAB!$C$14:$C$112,C1306)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SUMIFS(RAB!$F$14:$F$112,RAB!$C$14:$C$112,C1307)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SUMIFS(RAB!$F$14:$F$112,RAB!$C$14:$C$112,C1308)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SUMIFS(RAB!$F$14:$F$112,RAB!$C$14:$C$112,C1309)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SUMIFS(RAB!$F$14:$F$112,RAB!$C$14:$C$112,C1310)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SUMIFS(RAB!$F$14:$F$112,RAB!$C$14:$C$112,C1311)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SUMIFS(RAB!$F$14:$F$112,RAB!$C$14:$C$112,C1312)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SUMIFS(RAB!$F$14:$F$112,RAB!$C$14:$C$112,C1313)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SUMIFS(RAB!$F$14:$F$112,RAB!$C$14:$C$112,C1314)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SUMIFS(RAB!$F$14:$F$112,RAB!$C$14:$C$112,C1315)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SUMIFS(RAB!$F$14:$F$112,RAB!$C$14:$C$112,C1316)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SUMIFS(RAB!$F$14:$F$112,RAB!$C$14:$C$112,C1317)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SUMIFS(RAB!$F$14:$F$112,RAB!$C$14:$C$112,C1318)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SUMIFS(RAB!$F$14:$F$112,RAB!$C$14:$C$112,C1319)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SUMIFS(RAB!$F$14:$F$112,RAB!$C$14:$C$112,C1320)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1127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ALFAMART HAYAM WURUK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HAYAM WURUK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0" t="s">
        <v>1008</v>
      </c>
      <c r="D38" s="540"/>
      <c r="E38" s="540"/>
      <c r="F38" s="540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41" t="s">
        <v>462</v>
      </c>
      <c r="D39" s="541"/>
      <c r="E39" s="541"/>
      <c r="F39" s="541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0" t="s">
        <v>463</v>
      </c>
      <c r="D40" s="530"/>
      <c r="E40" s="530"/>
      <c r="F40" s="530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33" t="e">
        <f ca="1">"Terbilang : ( "&amp;L42&amp;" Rupiah )"</f>
        <v>#NAME?</v>
      </c>
      <c r="C41" s="534"/>
      <c r="D41" s="534"/>
      <c r="E41" s="534"/>
      <c r="F41" s="534"/>
      <c r="G41" s="534"/>
      <c r="H41" s="534"/>
      <c r="I41" s="534"/>
      <c r="J41" s="534"/>
      <c r="K41" s="535"/>
      <c r="L41" s="44"/>
      <c r="R41" s="58"/>
      <c r="S41" s="58"/>
      <c r="T41" s="58"/>
    </row>
    <row r="42" spans="1:20" s="36" customFormat="1">
      <c r="A42" s="30"/>
      <c r="B42" s="536"/>
      <c r="C42" s="537"/>
      <c r="D42" s="537"/>
      <c r="E42" s="537"/>
      <c r="F42" s="537"/>
      <c r="G42" s="537"/>
      <c r="H42" s="537"/>
      <c r="I42" s="537"/>
      <c r="J42" s="537"/>
      <c r="K42" s="53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SUMIFS(RAB!$F$14:$F$112,RAB!$C$14:$C$112,'REKAP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SUMIFS(RAB!$F$14:$F$112,RAB!$C$14:$C$112,'REKAP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SUMIFS(RAB!$F$14:$F$112,RAB!$C$14:$C$112,'REKAP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SUMIFS(RAB!$F$14:$F$112,RAB!$C$14:$C$112,'REKAP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SUMIFS(RAB!$F$14:$F$112,RAB!$C$14:$C$112,'REKAP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SUMIFS(RAB!$F$14:$F$112,RAB!$C$14:$C$112,'REKAP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SUMIFS(RAB!$F$14:$F$112,RAB!$C$14:$C$112,'REKAP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SUMIFS(RAB!$F$14:$F$112,RAB!$C$14:$C$112,'REKAP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SUMIFS(RAB!$F$14:$F$112,RAB!$C$14:$C$112,'REKAP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SUMIFS(RAB!$F$14:$F$112,RAB!$C$14:$C$112,'REKAP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SUMIFS(RAB!$F$14:$F$112,RAB!$C$14:$C$112,'REKAP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SUMIFS(RAB!$F$14:$F$112,RAB!$C$14:$C$112,'REKAP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SUMIFS(RAB!$F$14:$F$112,RAB!$C$14:$C$112,'REKAP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SUMIFS(RAB!$F$14:$F$112,RAB!$C$14:$C$112,'REKAP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SUMIFS(RAB!$F$14:$F$112,RAB!$C$14:$C$112,'REKAP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SUMIFS(RAB!$F$14:$F$112,RAB!$C$14:$C$112,'REKAP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SUMIFS(RAB!$F$14:$F$112,RAB!$C$14:$C$112,'REKAP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SUMIFS(RAB!$F$14:$F$112,RAB!$C$14:$C$112,'REKAP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SUMIFS(RAB!$F$14:$F$112,RAB!$C$14:$C$112,'REKAP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SUMIFS(RAB!$F$14:$F$112,RAB!$C$14:$C$112,'REKAP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1034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ALFAMART HAYAM WURUK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HAYAM WURUK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Bh</v>
      </c>
      <c r="F21" s="101">
        <f t="shared" ca="1" si="6"/>
        <v>2</v>
      </c>
      <c r="G21" s="41">
        <f ca="1">IF(ISERROR(OFFSET('HARGA SATUAN'!$I$6,MATCH(C21,'HARGA SATUAN'!$C$7:$C$1495,0),0)),"",OFFSET('HARGA SATUAN'!$I$6,MATCH(C21,'HARGA SATUAN'!$C$7:$C$1495,0),0))</f>
        <v>235900</v>
      </c>
      <c r="H21" s="42">
        <f t="shared" ca="1" si="1"/>
        <v>471800</v>
      </c>
      <c r="I21" s="42">
        <f t="shared" ca="1" si="2"/>
        <v>0</v>
      </c>
      <c r="J21" s="42">
        <f t="shared" ca="1" si="3"/>
        <v>0</v>
      </c>
      <c r="K21" s="43">
        <f t="shared" ca="1" si="0"/>
        <v>471800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Bh</v>
      </c>
      <c r="F22" s="101">
        <f t="shared" ca="1" si="6"/>
        <v>1</v>
      </c>
      <c r="G22" s="41">
        <f ca="1">IF(ISERROR(OFFSET('HARGA SATUAN'!$I$6,MATCH(C22,'HARGA SATUAN'!$C$7:$C$1495,0),0)),"",OFFSET('HARGA SATUAN'!$I$6,MATCH(C22,'HARGA SATUAN'!$C$7:$C$1495,0),0))</f>
        <v>176900</v>
      </c>
      <c r="H22" s="42">
        <f t="shared" ca="1" si="1"/>
        <v>176900</v>
      </c>
      <c r="I22" s="42">
        <f t="shared" ca="1" si="2"/>
        <v>0</v>
      </c>
      <c r="J22" s="42">
        <f t="shared" ca="1" si="3"/>
        <v>0</v>
      </c>
      <c r="K22" s="43">
        <f t="shared" ca="1" si="0"/>
        <v>176900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9</v>
      </c>
      <c r="G23" s="41">
        <f ca="1">IF(ISERROR(OFFSET('HARGA SATUAN'!$I$6,MATCH(C23,'HARGA SATUAN'!$C$7:$C$1495,0),0)),"",OFFSET('HARGA SATUAN'!$I$6,MATCH(C23,'HARGA SATUAN'!$C$7:$C$1495,0),0))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3x35+1x35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45</v>
      </c>
      <c r="G24" s="41">
        <f ca="1">IF(ISERROR(OFFSET('HARGA SATUAN'!$I$6,MATCH(C24,'HARGA SATUAN'!$C$7:$C$1495,0),0)),"",OFFSET('HARGA SATUAN'!$I$6,MATCH(C24,'HARGA SATUAN'!$C$7:$C$1495,0),0))</f>
        <v>30400</v>
      </c>
      <c r="H24" s="42">
        <f t="shared" ca="1" si="1"/>
        <v>1368000</v>
      </c>
      <c r="I24" s="42">
        <f t="shared" ca="1" si="2"/>
        <v>0</v>
      </c>
      <c r="J24" s="42">
        <f t="shared" ca="1" si="3"/>
        <v>0</v>
      </c>
      <c r="K24" s="43">
        <f t="shared" ca="1" si="0"/>
        <v>1368000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0" t="s">
        <v>1008</v>
      </c>
      <c r="D168" s="540"/>
      <c r="E168" s="540"/>
      <c r="F168" s="540"/>
      <c r="G168" s="77" t="s">
        <v>9</v>
      </c>
      <c r="H168" s="55">
        <f ca="1">SUM(H14:H167)</f>
        <v>54616450</v>
      </c>
      <c r="I168" s="55">
        <f ca="1">SUM(I14:I167)</f>
        <v>0</v>
      </c>
      <c r="J168" s="55">
        <f ca="1">SUM(J14:J167)</f>
        <v>0</v>
      </c>
      <c r="K168" s="55">
        <f ca="1">SUM(K14:K167)</f>
        <v>54616450</v>
      </c>
      <c r="L168" s="44"/>
      <c r="R168" s="99"/>
      <c r="S168" s="99"/>
      <c r="T168" s="99"/>
    </row>
    <row r="169" spans="1:20" s="36" customFormat="1">
      <c r="A169" s="30"/>
      <c r="B169" s="56"/>
      <c r="C169" s="541" t="s">
        <v>462</v>
      </c>
      <c r="D169" s="541"/>
      <c r="E169" s="541"/>
      <c r="F169" s="541"/>
      <c r="G169" s="59" t="s">
        <v>9</v>
      </c>
      <c r="H169" s="60">
        <f ca="1">H168*0.1</f>
        <v>5461645</v>
      </c>
      <c r="I169" s="60">
        <f ca="1">I168*0.1</f>
        <v>0</v>
      </c>
      <c r="J169" s="60">
        <f ca="1">J168*0.1</f>
        <v>0</v>
      </c>
      <c r="K169" s="60">
        <f ca="1">K168*0.1</f>
        <v>5461645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0" t="s">
        <v>463</v>
      </c>
      <c r="D170" s="530"/>
      <c r="E170" s="530"/>
      <c r="F170" s="530"/>
      <c r="G170" s="61" t="s">
        <v>9</v>
      </c>
      <c r="H170" s="78">
        <f ca="1">SUM(H168:H169)</f>
        <v>60078095</v>
      </c>
      <c r="I170" s="78">
        <f ca="1">SUM(I168:I169)</f>
        <v>0</v>
      </c>
      <c r="J170" s="61">
        <f ca="1">SUM(J168:J169)</f>
        <v>0</v>
      </c>
      <c r="K170" s="61">
        <f ca="1">SUM(K168:K169)</f>
        <v>60078095</v>
      </c>
      <c r="L170" s="44"/>
      <c r="R170" s="99"/>
      <c r="S170" s="99"/>
      <c r="T170" s="99"/>
    </row>
    <row r="171" spans="1:20" s="36" customFormat="1">
      <c r="A171" s="30"/>
      <c r="B171" s="533" t="e">
        <f ca="1">"Terbilang : ( "&amp;L172&amp;" Rupiah )"</f>
        <v>#NAME?</v>
      </c>
      <c r="C171" s="534"/>
      <c r="D171" s="534"/>
      <c r="E171" s="534"/>
      <c r="F171" s="534"/>
      <c r="G171" s="534"/>
      <c r="H171" s="534"/>
      <c r="I171" s="534"/>
      <c r="J171" s="534"/>
      <c r="K171" s="535"/>
      <c r="L171" s="44"/>
      <c r="R171" s="58"/>
      <c r="S171" s="58"/>
      <c r="T171" s="58"/>
    </row>
    <row r="172" spans="1:20" s="36" customFormat="1">
      <c r="A172" s="30"/>
      <c r="B172" s="536"/>
      <c r="C172" s="537"/>
      <c r="D172" s="537"/>
      <c r="E172" s="537"/>
      <c r="F172" s="537"/>
      <c r="G172" s="537"/>
      <c r="H172" s="537"/>
      <c r="I172" s="537"/>
      <c r="J172" s="537"/>
      <c r="K172" s="53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SUMIFS(RAB!$F$14:$F$112,RAB!$C$14:$C$112,C224)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SUMIFS(RAB!$F$14:$F$112,RAB!$C$14:$C$112,C225)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SUMIFS(RAB!$F$14:$F$112,RAB!$C$14:$C$112,C226)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SUMIFS(RAB!$F$14:$F$112,RAB!$C$14:$C$112,C227)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SUMIFS(RAB!$F$14:$F$112,RAB!$C$14:$C$112,C228)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SUMIFS(RAB!$F$14:$F$112,RAB!$C$14:$C$112,C229)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SUMIFS(RAB!$F$14:$F$112,RAB!$C$14:$C$112,C230)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SUMIFS(RAB!$F$14:$F$112,RAB!$C$14:$C$112,C231)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SUMIFS(RAB!$F$14:$F$112,RAB!$C$14:$C$112,C232)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SUMIFS(RAB!$F$14:$F$112,RAB!$C$14:$C$112,C233)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SUMIFS(RAB!$F$14:$F$112,RAB!$C$14:$C$112,C234)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SUMIFS(RAB!$F$14:$F$112,RAB!$C$14:$C$112,C235)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SUMIFS(RAB!$F$14:$F$112,RAB!$C$14:$C$112,C236)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SUMIFS(RAB!$F$14:$F$112,RAB!$C$14:$C$112,C237)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SUMIFS(RAB!$F$14:$F$112,RAB!$C$14:$C$112,C238)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SUMIFS(RAB!$F$14:$F$112,RAB!$C$14:$C$112,C239)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SUMIFS(RAB!$F$14:$F$112,RAB!$C$14:$C$112,C240)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SUMIFS(RAB!$F$14:$F$112,RAB!$C$14:$C$112,C241)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SUMIFS(RAB!$F$14:$F$112,RAB!$C$14:$C$112,C242)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SUMIFS(RAB!$F$14:$F$112,RAB!$C$14:$C$112,C243)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SUMIFS(RAB!$F$14:$F$112,RAB!$C$14:$C$112,C244)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SUMIFS(RAB!$F$14:$F$112,RAB!$C$14:$C$112,C245)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SUMIFS(RAB!$F$14:$F$112,RAB!$C$14:$C$112,C246)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SUMIFS(RAB!$F$14:$F$112,RAB!$C$14:$C$112,C247)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SUMIFS(RAB!$F$14:$F$112,RAB!$C$14:$C$112,C248)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SUMIFS(RAB!$F$14:$F$112,RAB!$C$14:$C$112,C249)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SUMIFS(RAB!$F$14:$F$112,RAB!$C$14:$C$112,C250)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SUMIFS(RAB!$F$14:$F$112,RAB!$C$14:$C$112,C251)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SUMIFS(RAB!$F$14:$F$112,RAB!$C$14:$C$112,C252)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SUMIFS(RAB!$F$14:$F$112,RAB!$C$14:$C$112,C253)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SUMIFS(RAB!$F$14:$F$112,RAB!$C$14:$C$112,C254)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SUMIFS(RAB!$F$14:$F$112,RAB!$C$14:$C$112,C255)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SUMIFS(RAB!$F$14:$F$112,RAB!$C$14:$C$112,C256)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SUMIFS(RAB!$F$14:$F$112,RAB!$C$14:$C$112,C257)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SUMIFS(RAB!$F$14:$F$112,RAB!$C$14:$C$112,C258)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SUMIFS(RAB!$F$14:$F$112,RAB!$C$14:$C$112,C259)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SUMIFS(RAB!$F$14:$F$112,RAB!$C$14:$C$112,C260)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SUMIFS(RAB!$F$14:$F$112,RAB!$C$14:$C$112,C261)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SUMIFS(RAB!$F$14:$F$112,RAB!$C$14:$C$112,C262)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SUMIFS(RAB!$F$14:$F$112,RAB!$C$14:$C$112,C263)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SUMIFS(RAB!$F$14:$F$112,RAB!$C$14:$C$112,C264)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SUMIFS(RAB!$F$14:$F$112,RAB!$C$14:$C$112,C265)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SUMIFS(RAB!$F$14:$F$112,RAB!$C$14:$C$112,C266)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SUMIFS(RAB!$F$14:$F$112,RAB!$C$14:$C$112,C267)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SUMIFS(RAB!$F$14:$F$112,RAB!$C$14:$C$112,C268)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SUMIFS(RAB!$F$14:$F$112,RAB!$C$14:$C$112,C269)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SUMIFS(RAB!$F$14:$F$112,RAB!$C$14:$C$112,C270)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SUMIFS(RAB!$F$14:$F$112,RAB!$C$14:$C$112,C271)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SUMIFS(RAB!$F$14:$F$112,RAB!$C$14:$C$112,C272)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SUMIFS(RAB!$F$14:$F$112,RAB!$C$14:$C$112,C273)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SUMIFS(RAB!$F$14:$F$112,RAB!$C$14:$C$112,C274)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SUMIFS(RAB!$F$14:$F$112,RAB!$C$14:$C$112,C275)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SUMIFS(RAB!$F$14:$F$112,RAB!$C$14:$C$112,C276)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SUMIFS(RAB!$F$14:$F$112,RAB!$C$14:$C$112,C277)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SUMIFS(RAB!$F$14:$F$112,RAB!$C$14:$C$112,C278)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SUMIFS(RAB!$F$14:$F$112,RAB!$C$14:$C$112,C279)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SUMIFS(RAB!$F$14:$F$112,RAB!$C$14:$C$112,C280)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SUMIFS(RAB!$F$14:$F$112,RAB!$C$14:$C$112,C281)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SUMIFS(RAB!$F$14:$F$112,RAB!$C$14:$C$112,C282)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SUMIFS(RAB!$F$14:$F$112,RAB!$C$14:$C$112,C283)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SUMIFS(RAB!$F$14:$F$112,RAB!$C$14:$C$112,C284)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SUMIFS(RAB!$F$14:$F$112,RAB!$C$14:$C$112,C285)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SUMIFS(RAB!$F$14:$F$112,RAB!$C$14:$C$112,C286)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SUMIFS(RAB!$F$14:$F$112,RAB!$C$14:$C$112,C287)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SUMIFS(RAB!$F$14:$F$112,RAB!$C$14:$C$112,C288)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SUMIFS(RAB!$F$14:$F$112,RAB!$C$14:$C$112,C289)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SUMIFS(RAB!$F$14:$F$112,RAB!$C$14:$C$112,C290)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SUMIFS(RAB!$F$14:$F$112,RAB!$C$14:$C$112,C291)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SUMIFS(RAB!$F$14:$F$112,RAB!$C$14:$C$112,C292)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SUMIFS(RAB!$F$14:$F$112,RAB!$C$14:$C$112,C293)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SUMIFS(RAB!$F$14:$F$112,RAB!$C$14:$C$112,C294)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SUMIFS(RAB!$F$14:$F$112,RAB!$C$14:$C$112,C295)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SUMIFS(RAB!$F$14:$F$112,RAB!$C$14:$C$112,C296)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SUMIFS(RAB!$F$14:$F$112,RAB!$C$14:$C$112,C297)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SUMIFS(RAB!$F$14:$F$112,RAB!$C$14:$C$112,C298)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SUMIFS(RAB!$F$14:$F$112,RAB!$C$14:$C$112,C299)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SUMIFS(RAB!$F$14:$F$112,RAB!$C$14:$C$112,C300)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SUMIFS(RAB!$F$14:$F$112,RAB!$C$14:$C$112,C301)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SUMIFS(RAB!$F$14:$F$112,RAB!$C$14:$C$112,C302)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SUMIFS(RAB!$F$14:$F$112,RAB!$C$14:$C$112,C303)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SUMIFS(RAB!$F$14:$F$112,RAB!$C$14:$C$112,C304)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SUMIFS(RAB!$F$14:$F$112,RAB!$C$14:$C$112,C305)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SUMIFS(RAB!$F$14:$F$112,RAB!$C$14:$C$112,C306)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SUMIFS(RAB!$F$14:$F$112,RAB!$C$14:$C$112,C307)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SUMIFS(RAB!$F$14:$F$112,RAB!$C$14:$C$112,C308)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SUMIFS(RAB!$F$14:$F$112,RAB!$C$14:$C$112,C309)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SUMIFS(RAB!$F$14:$F$112,RAB!$C$14:$C$112,C310)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SUMIFS(RAB!$F$14:$F$112,RAB!$C$14:$C$112,C311)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SUMIFS(RAB!$F$14:$F$112,RAB!$C$14:$C$112,C312)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SUMIFS(RAB!$F$14:$F$112,RAB!$C$14:$C$112,C313)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SUMIFS(RAB!$F$14:$F$112,RAB!$C$14:$C$112,C314)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SUMIFS(RAB!$F$14:$F$112,RAB!$C$14:$C$112,C315)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SUMIFS(RAB!$F$14:$F$112,RAB!$C$14:$C$112,C316)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SUMIFS(RAB!$F$14:$F$112,RAB!$C$14:$C$112,C317)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SUMIFS(RAB!$F$14:$F$112,RAB!$C$14:$C$112,C318)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SUMIFS(RAB!$F$14:$F$112,RAB!$C$14:$C$112,C319)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SUMIFS(RAB!$F$14:$F$112,RAB!$C$14:$C$112,C320)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SUMIFS(RAB!$F$14:$F$112,RAB!$C$14:$C$112,C321)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SUMIFS(RAB!$F$14:$F$112,RAB!$C$14:$C$112,C322)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SUMIFS(RAB!$F$14:$F$112,RAB!$C$14:$C$112,C323)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SUMIFS(RAB!$F$14:$F$112,RAB!$C$14:$C$112,C324)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SUMIFS(RAB!$F$14:$F$112,RAB!$C$14:$C$112,C325)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SUMIFS(RAB!$F$14:$F$112,RAB!$C$14:$C$112,C326)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SUMIFS(RAB!$F$14:$F$112,RAB!$C$14:$C$112,C327)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SUMIFS(RAB!$F$14:$F$112,RAB!$C$14:$C$112,C328)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SUMIFS(RAB!$F$14:$F$112,RAB!$C$14:$C$112,C329)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SUMIFS(RAB!$F$14:$F$112,RAB!$C$14:$C$112,C330)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SUMIFS(RAB!$F$14:$F$112,RAB!$C$14:$C$112,C331)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SUMIFS(RAB!$F$14:$F$112,RAB!$C$14:$C$112,C332)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SUMIFS(RAB!$F$14:$F$112,RAB!$C$14:$C$112,C333)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SUMIFS(RAB!$F$14:$F$112,RAB!$C$14:$C$112,C334)</f>
        <v>2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SUMIFS(RAB!$F$14:$F$112,RAB!$C$14:$C$112,C335)</f>
        <v>1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SUMIFS(RAB!$F$14:$F$112,RAB!$C$14:$C$112,C336)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SUMIFS(RAB!$F$14:$F$112,RAB!$C$14:$C$112,C337)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SUMIFS(RAB!$F$14:$F$112,RAB!$C$14:$C$112,C338)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SUMIFS(RAB!$F$14:$F$112,RAB!$C$14:$C$112,C339)</f>
        <v>9</v>
      </c>
      <c r="E339" s="24">
        <f t="shared" ca="1" si="22"/>
        <v>1</v>
      </c>
      <c r="F339" s="24">
        <f ca="1">IF(D339=0,0,SUM($E$223:E339))</f>
        <v>8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SUMIFS(RAB!$F$14:$F$112,RAB!$C$14:$C$112,C340)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SUMIFS(RAB!$F$14:$F$112,RAB!$C$14:$C$112,C341)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SUMIFS(RAB!$F$14:$F$112,RAB!$C$14:$C$112,C342)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SUMIFS(RAB!$F$14:$F$112,RAB!$C$14:$C$112,C343)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SUMIFS(RAB!$F$14:$F$112,RAB!$C$14:$C$112,C344)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SUMIFS(RAB!$F$14:$F$112,RAB!$C$14:$C$112,C345)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SUMIFS(RAB!$F$14:$F$112,RAB!$C$14:$C$112,C346)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SUMIFS(RAB!$F$14:$F$112,RAB!$C$14:$C$112,C347)</f>
        <v>45</v>
      </c>
      <c r="E347" s="24">
        <f t="shared" ca="1" si="22"/>
        <v>1</v>
      </c>
      <c r="F347" s="24">
        <f ca="1">IF(D347=0,0,SUM($E$223:E347))</f>
        <v>9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SUMIFS(RAB!$F$14:$F$112,RAB!$C$14:$C$112,C348)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SUMIFS(RAB!$F$14:$F$112,RAB!$C$14:$C$112,C349)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SUMIFS(RAB!$F$14:$F$112,RAB!$C$14:$C$112,C350)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SUMIFS(RAB!$F$14:$F$112,RAB!$C$14:$C$112,C351)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SUMIFS(RAB!$F$14:$F$112,RAB!$C$14:$C$112,C352)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SUMIFS(RAB!$F$14:$F$112,RAB!$C$14:$C$112,C353)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SUMIFS(RAB!$F$14:$F$112,RAB!$C$14:$C$112,C354)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SUMIFS(RAB!$F$14:$F$112,RAB!$C$14:$C$112,C355)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SUMIFS(RAB!$F$14:$F$112,RAB!$C$14:$C$112,C356)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SUMIFS(RAB!$F$14:$F$112,RAB!$C$14:$C$112,C357)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SUMIFS(RAB!$F$14:$F$112,RAB!$C$14:$C$112,C358)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SUMIFS(RAB!$F$14:$F$112,RAB!$C$14:$C$112,C359)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SUMIFS(RAB!$F$14:$F$112,RAB!$C$14:$C$112,C360)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SUMIFS(RAB!$F$14:$F$112,RAB!$C$14:$C$112,C361)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SUMIFS(RAB!$F$14:$F$112,RAB!$C$14:$C$112,C362)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SUMIFS(RAB!$F$14:$F$112,RAB!$C$14:$C$112,C363)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SUMIFS(RAB!$F$14:$F$112,RAB!$C$14:$C$112,C364)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SUMIFS(RAB!$F$14:$F$112,RAB!$C$14:$C$112,C365)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SUMIFS(RAB!$F$14:$F$112,RAB!$C$14:$C$112,C366)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SUMIFS(RAB!$F$14:$F$112,RAB!$C$14:$C$112,C367)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SUMIFS(RAB!$F$14:$F$112,RAB!$C$14:$C$112,C368)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SUMIFS(RAB!$F$14:$F$112,RAB!$C$14:$C$112,C369)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SUMIFS(RAB!$F$14:$F$112,RAB!$C$14:$C$112,C370)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SUMIFS(RAB!$F$14:$F$112,RAB!$C$14:$C$112,C371)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SUMIFS(RAB!$F$14:$F$112,RAB!$C$14:$C$112,C372)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SUMIFS(RAB!$F$14:$F$112,RAB!$C$14:$C$112,C373)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9" activePane="bottomRight" state="frozen"/>
      <selection activeCell="D209" sqref="D209"/>
      <selection pane="topRight" activeCell="D209" sqref="D209"/>
      <selection pane="bottomLeft" activeCell="D209" sqref="D209"/>
      <selection pane="bottomRight" activeCell="C231" sqref="C2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1599</v>
      </c>
      <c r="G4" s="108" t="s">
        <v>1598</v>
      </c>
      <c r="H4" s="557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5" priority="4" operator="equal">
      <formula>0</formula>
    </cfRule>
  </conditionalFormatting>
  <conditionalFormatting sqref="B217 D217:G217">
    <cfRule type="cellIs" dxfId="34" priority="11" operator="equal">
      <formula>0</formula>
    </cfRule>
  </conditionalFormatting>
  <conditionalFormatting sqref="B8:C135">
    <cfRule type="cellIs" dxfId="33" priority="66" operator="equal">
      <formula>0</formula>
    </cfRule>
  </conditionalFormatting>
  <conditionalFormatting sqref="B216:G216">
    <cfRule type="cellIs" dxfId="32" priority="16" operator="equal">
      <formula>0</formula>
    </cfRule>
  </conditionalFormatting>
  <conditionalFormatting sqref="B218:G1496">
    <cfRule type="cellIs" dxfId="31" priority="1" operator="equal">
      <formula>0</formula>
    </cfRule>
  </conditionalFormatting>
  <conditionalFormatting sqref="C143:G149">
    <cfRule type="cellIs" dxfId="30" priority="20" operator="equal">
      <formula>0</formula>
    </cfRule>
  </conditionalFormatting>
  <conditionalFormatting sqref="D9:G142">
    <cfRule type="cellIs" dxfId="29" priority="26" operator="equal">
      <formula>0</formula>
    </cfRule>
  </conditionalFormatting>
  <conditionalFormatting sqref="D1:IV5 A1:C7 D6:K6 H1458:IV1460 H1461:XFD1488 H1489:H1496 I1489:XFD1497 A1497:H1497 A1498:XFD65539">
    <cfRule type="cellIs" dxfId="28" priority="178" operator="equal">
      <formula>0</formula>
    </cfRule>
  </conditionalFormatting>
  <conditionalFormatting sqref="D7:IV8 C136:C142 B136:B149 B150:G213 B214:B215 D214:G215">
    <cfRule type="cellIs" dxfId="27" priority="77" operator="equal">
      <formula>0</formula>
    </cfRule>
  </conditionalFormatting>
  <conditionalFormatting sqref="H9:H1421">
    <cfRule type="cellIs" dxfId="26" priority="3" operator="equal">
      <formula>0</formula>
    </cfRule>
  </conditionalFormatting>
  <conditionalFormatting sqref="H1422:I1457">
    <cfRule type="cellIs" dxfId="25" priority="143" operator="equal">
      <formula>0</formula>
    </cfRule>
  </conditionalFormatting>
  <conditionalFormatting sqref="I108:I1421">
    <cfRule type="cellIs" dxfId="24" priority="2" operator="equal">
      <formula>0</formula>
    </cfRule>
  </conditionalFormatting>
  <conditionalFormatting sqref="I9:IV107">
    <cfRule type="cellIs" dxfId="23" priority="153" operator="equal">
      <formula>0</formula>
    </cfRule>
  </conditionalFormatting>
  <conditionalFormatting sqref="J108:IV1457">
    <cfRule type="cellIs" dxfId="22" priority="5" operator="equal">
      <formula>0</formula>
    </cfRule>
  </conditionalFormatting>
  <conditionalFormatting sqref="M6:IV6">
    <cfRule type="cellIs" dxfId="21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topLeftCell="A10" zoomScale="55" zoomScaleNormal="55" zoomScaleSheetLayoutView="85" workbookViewId="0">
      <selection activeCell="M18" sqref="M18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5" t="s">
        <v>1453</v>
      </c>
      <c r="C2" s="565"/>
      <c r="D2" s="565"/>
      <c r="E2" s="56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0" t="s">
        <v>1528</v>
      </c>
      <c r="C4" s="571"/>
      <c r="D4" s="571"/>
      <c r="E4" s="572"/>
      <c r="F4" s="372"/>
      <c r="G4" s="372"/>
      <c r="H4" s="373"/>
      <c r="I4" s="597" t="s">
        <v>1529</v>
      </c>
      <c r="J4" s="598"/>
      <c r="K4" s="598"/>
      <c r="L4" s="599"/>
    </row>
    <row r="5" spans="1:12" ht="34.5" customHeight="1">
      <c r="A5" s="193"/>
      <c r="B5" s="375" t="s">
        <v>1378</v>
      </c>
      <c r="C5" s="224" t="s">
        <v>9</v>
      </c>
      <c r="D5" s="566" t="str">
        <f>DATA!D14</f>
        <v>ALFAMART HAYAM WURUK</v>
      </c>
      <c r="E5" s="567"/>
      <c r="F5" s="197"/>
      <c r="G5" s="197"/>
      <c r="I5" s="376" t="s">
        <v>1378</v>
      </c>
      <c r="J5" s="224" t="s">
        <v>9</v>
      </c>
      <c r="K5" s="600" t="str">
        <f>D5</f>
        <v>ALFAMART HAYAM WURUK</v>
      </c>
      <c r="L5" s="601"/>
    </row>
    <row r="6" spans="1:12" ht="31.5" customHeight="1">
      <c r="A6" s="193"/>
      <c r="B6" s="375" t="s">
        <v>1525</v>
      </c>
      <c r="C6" s="224" t="s">
        <v>9</v>
      </c>
      <c r="D6" s="575">
        <f>DATA!D17*1000</f>
        <v>17600</v>
      </c>
      <c r="E6" s="576"/>
      <c r="F6" s="197"/>
      <c r="G6" s="197"/>
      <c r="I6" s="376" t="s">
        <v>1526</v>
      </c>
      <c r="J6" s="224" t="s">
        <v>9</v>
      </c>
      <c r="K6" s="602">
        <f>DATA!D20*1000</f>
        <v>33000</v>
      </c>
      <c r="L6" s="603"/>
    </row>
    <row r="7" spans="1:12" ht="30.75" customHeight="1">
      <c r="A7" s="193"/>
      <c r="B7" s="375" t="s">
        <v>1440</v>
      </c>
      <c r="C7" s="224" t="s">
        <v>9</v>
      </c>
      <c r="D7" s="573">
        <f>DATA!D18</f>
        <v>3</v>
      </c>
      <c r="E7" s="574"/>
      <c r="F7" s="374" t="s">
        <v>1452</v>
      </c>
      <c r="I7" s="376" t="s">
        <v>1440</v>
      </c>
      <c r="J7" s="224" t="s">
        <v>9</v>
      </c>
      <c r="K7" s="604">
        <f>DATA!D21</f>
        <v>3</v>
      </c>
      <c r="L7" s="605"/>
    </row>
    <row r="8" spans="1:12" ht="51" customHeight="1">
      <c r="A8" s="193"/>
      <c r="B8" s="375" t="s">
        <v>1441</v>
      </c>
      <c r="C8" s="224" t="s">
        <v>9</v>
      </c>
      <c r="D8" s="573">
        <f>DATA!D19</f>
        <v>380</v>
      </c>
      <c r="E8" s="574"/>
      <c r="F8" s="374" t="s">
        <v>1452</v>
      </c>
      <c r="G8" s="369">
        <v>220</v>
      </c>
      <c r="I8" s="376" t="s">
        <v>1441</v>
      </c>
      <c r="J8" s="224" t="s">
        <v>9</v>
      </c>
      <c r="K8" s="604">
        <f>DATA!D22</f>
        <v>380</v>
      </c>
      <c r="L8" s="605"/>
    </row>
    <row r="9" spans="1:12" ht="30" customHeight="1" thickBot="1">
      <c r="A9" s="193"/>
      <c r="B9" s="381" t="s">
        <v>1537</v>
      </c>
      <c r="C9" s="371" t="s">
        <v>9</v>
      </c>
      <c r="D9" s="568">
        <f>IF(D7=1,D6/(380/3^0.5),(D6/(380*3^0.5)))</f>
        <v>26.740433520361616</v>
      </c>
      <c r="E9" s="569"/>
      <c r="F9" s="196"/>
      <c r="G9" s="370">
        <v>380</v>
      </c>
      <c r="I9" s="382" t="s">
        <v>1537</v>
      </c>
      <c r="J9" s="371" t="s">
        <v>9</v>
      </c>
      <c r="K9" s="606">
        <f>IF(K7=1,K6/(380/3^0.5),(K6/(380*3^0.5)))</f>
        <v>50.138312850678034</v>
      </c>
      <c r="L9" s="607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77" t="s">
        <v>1645</v>
      </c>
      <c r="E12" s="578"/>
      <c r="F12" s="197"/>
      <c r="G12" s="197"/>
      <c r="I12" s="398" t="s">
        <v>1530</v>
      </c>
      <c r="J12" s="399" t="s">
        <v>9</v>
      </c>
      <c r="K12" s="577" t="s">
        <v>1643</v>
      </c>
      <c r="L12" s="578"/>
    </row>
    <row r="13" spans="1:12" ht="31.5" customHeight="1">
      <c r="A13" s="193"/>
      <c r="B13" s="406" t="s">
        <v>1379</v>
      </c>
      <c r="C13" s="386" t="s">
        <v>9</v>
      </c>
      <c r="D13" s="581" t="s">
        <v>1644</v>
      </c>
      <c r="E13" s="582"/>
      <c r="F13" s="197"/>
      <c r="G13" s="197"/>
      <c r="I13" s="400" t="s">
        <v>1379</v>
      </c>
      <c r="J13" s="386" t="s">
        <v>9</v>
      </c>
      <c r="K13" s="581" t="s">
        <v>1644</v>
      </c>
      <c r="L13" s="582"/>
    </row>
    <row r="14" spans="1:12" ht="30.75" customHeight="1">
      <c r="A14" s="193"/>
      <c r="B14" s="406" t="s">
        <v>1531</v>
      </c>
      <c r="C14" s="386" t="s">
        <v>9</v>
      </c>
      <c r="D14" s="589">
        <v>50</v>
      </c>
      <c r="E14" s="590"/>
      <c r="F14" s="374" t="s">
        <v>1452</v>
      </c>
      <c r="G14" s="378">
        <v>50</v>
      </c>
      <c r="I14" s="400" t="s">
        <v>1531</v>
      </c>
      <c r="J14" s="386" t="s">
        <v>9</v>
      </c>
      <c r="K14" s="591">
        <v>50</v>
      </c>
      <c r="L14" s="592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3">
        <f>47+46+44</f>
        <v>137</v>
      </c>
      <c r="E16" s="594"/>
      <c r="F16" s="374"/>
      <c r="G16" s="378">
        <v>160</v>
      </c>
      <c r="I16" s="400" t="s">
        <v>1533</v>
      </c>
      <c r="J16" s="386" t="s">
        <v>9</v>
      </c>
      <c r="K16" s="595">
        <f>K9</f>
        <v>50.138312850678034</v>
      </c>
      <c r="L16" s="596"/>
    </row>
    <row r="17" spans="1:12" ht="34.5" customHeight="1">
      <c r="A17" s="193"/>
      <c r="B17" s="406" t="s">
        <v>1534</v>
      </c>
      <c r="C17" s="386" t="s">
        <v>9</v>
      </c>
      <c r="D17" s="583">
        <f>IF(D15=1,D14/(20/3^0.5),(D14/(20*3^0.5)))</f>
        <v>1.4433756729740645</v>
      </c>
      <c r="E17" s="584"/>
      <c r="F17" s="374" t="s">
        <v>1452</v>
      </c>
      <c r="G17" s="379">
        <v>200</v>
      </c>
      <c r="I17" s="400" t="s">
        <v>1534</v>
      </c>
      <c r="J17" s="386" t="s">
        <v>9</v>
      </c>
      <c r="K17" s="587">
        <f>IF(K15=1,K14/(20/3^0.5),(K14/(20*3^0.5)))</f>
        <v>1.4433756729740645</v>
      </c>
      <c r="L17" s="588"/>
    </row>
    <row r="18" spans="1:12" ht="34.5" customHeight="1">
      <c r="A18" s="193"/>
      <c r="B18" s="406" t="s">
        <v>1535</v>
      </c>
      <c r="C18" s="386" t="s">
        <v>9</v>
      </c>
      <c r="D18" s="583">
        <f>IF(D15=1,D14/(380/3^0.5),(D14/(380*3^0.5)))*1000</f>
        <v>75.96714068284551</v>
      </c>
      <c r="E18" s="584"/>
      <c r="F18" s="374" t="s">
        <v>1452</v>
      </c>
      <c r="G18" s="379">
        <v>250</v>
      </c>
      <c r="I18" s="400" t="s">
        <v>1535</v>
      </c>
      <c r="J18" s="386" t="s">
        <v>9</v>
      </c>
      <c r="K18" s="587">
        <f>IF(K15=1,K14/(380/3^0.5),(K14/(380*3^0.5)))*1000</f>
        <v>75.96714068284551</v>
      </c>
      <c r="L18" s="588"/>
    </row>
    <row r="19" spans="1:12" ht="30" customHeight="1">
      <c r="A19" s="193"/>
      <c r="B19" s="407" t="s">
        <v>1527</v>
      </c>
      <c r="C19" s="385" t="s">
        <v>9</v>
      </c>
      <c r="D19" s="583">
        <f>IF(D15=1,D14/(380/3^0.5),(D14/(380*3^0.5)))</f>
        <v>7.5967140682845505E-2</v>
      </c>
      <c r="E19" s="584"/>
      <c r="F19" s="196"/>
      <c r="G19" s="370"/>
      <c r="I19" s="402" t="s">
        <v>1527</v>
      </c>
      <c r="J19" s="385" t="s">
        <v>9</v>
      </c>
      <c r="K19" s="587">
        <f>IF(K15=1,K14/(380/3^0.5),(K14/(380*3^0.5)))</f>
        <v>7.5967140682845505E-2</v>
      </c>
      <c r="L19" s="588"/>
    </row>
    <row r="20" spans="1:12" ht="30" customHeight="1" thickBot="1">
      <c r="A20" s="193"/>
      <c r="B20" s="408" t="s">
        <v>1536</v>
      </c>
      <c r="C20" s="404" t="s">
        <v>9</v>
      </c>
      <c r="D20" s="579">
        <f>D16/D18</f>
        <v>1.8034113008407147</v>
      </c>
      <c r="E20" s="580"/>
      <c r="F20" s="196"/>
      <c r="G20" s="370"/>
      <c r="I20" s="403" t="s">
        <v>1527</v>
      </c>
      <c r="J20" s="404" t="s">
        <v>9</v>
      </c>
      <c r="K20" s="585">
        <f>K16/K18</f>
        <v>0.65999999999999992</v>
      </c>
      <c r="L20" s="586"/>
    </row>
    <row r="21" spans="1:12" ht="9.75" customHeight="1">
      <c r="A21" s="193"/>
      <c r="B21" s="393" t="s">
        <v>1536</v>
      </c>
      <c r="C21" s="394" t="s">
        <v>9</v>
      </c>
      <c r="D21" s="564">
        <v>1</v>
      </c>
      <c r="E21" s="564"/>
      <c r="F21" s="395"/>
      <c r="G21" s="396"/>
      <c r="H21" s="397"/>
      <c r="I21" s="393" t="s">
        <v>1527</v>
      </c>
      <c r="J21" s="394" t="s">
        <v>9</v>
      </c>
      <c r="K21" s="564">
        <v>1</v>
      </c>
      <c r="L21" s="56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61"/>
      <c r="C24" s="562"/>
      <c r="D24" s="562"/>
      <c r="E24" s="563"/>
      <c r="I24" s="561"/>
      <c r="J24" s="562"/>
      <c r="K24" s="562"/>
      <c r="L24" s="563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8"/>
      <c r="C1" s="608"/>
      <c r="D1" s="608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15.399999999999999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14922599.999999998</v>
      </c>
    </row>
    <row r="10" spans="2:11" ht="20.100000000000001" customHeight="1">
      <c r="B10" s="238" t="s">
        <v>1445</v>
      </c>
      <c r="C10" s="239" t="s">
        <v>9</v>
      </c>
      <c r="D10" s="245">
        <f ca="1">RAB!K118</f>
        <v>82366556.420499995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1647331.1284099999</v>
      </c>
    </row>
    <row r="12" spans="2:11" ht="9" customHeight="1">
      <c r="B12" s="609"/>
      <c r="C12" s="609"/>
      <c r="D12" s="609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ALFAMART HAYAM WURUK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1628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17.600000000000001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3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380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33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0" t="s">
        <v>1356</v>
      </c>
      <c r="C3" s="610"/>
      <c r="D3" s="610"/>
      <c r="E3" s="610"/>
      <c r="F3" s="252" t="str">
        <f>DATA!D14</f>
        <v>ALFAMART HAYAM WURUK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1" t="s">
        <v>1348</v>
      </c>
      <c r="C5" s="611" t="s">
        <v>1357</v>
      </c>
      <c r="D5" s="612" t="s">
        <v>1358</v>
      </c>
      <c r="E5" s="612" t="s">
        <v>1359</v>
      </c>
      <c r="F5" s="611" t="s">
        <v>1360</v>
      </c>
      <c r="G5" s="611"/>
      <c r="H5" s="611"/>
      <c r="I5" s="611"/>
      <c r="J5" s="611"/>
      <c r="K5" s="611" t="s">
        <v>1361</v>
      </c>
      <c r="L5" s="611"/>
      <c r="M5" s="254"/>
      <c r="N5" s="615" t="s">
        <v>1362</v>
      </c>
      <c r="O5" s="612" t="s">
        <v>1363</v>
      </c>
      <c r="P5" s="612" t="s">
        <v>1364</v>
      </c>
      <c r="Q5" s="612" t="s">
        <v>1365</v>
      </c>
      <c r="R5" s="255"/>
      <c r="S5" s="256"/>
      <c r="T5" s="613" t="s">
        <v>1366</v>
      </c>
      <c r="U5" s="257"/>
    </row>
    <row r="6" spans="1:21" ht="20.100000000000001" customHeight="1">
      <c r="B6" s="611"/>
      <c r="C6" s="611"/>
      <c r="D6" s="611"/>
      <c r="E6" s="61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6"/>
      <c r="O6" s="611"/>
      <c r="P6" s="611"/>
      <c r="Q6" s="611"/>
      <c r="R6" s="255"/>
      <c r="S6" s="256"/>
      <c r="T6" s="611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2464</v>
      </c>
      <c r="D7" s="263">
        <f>C7*4/24</f>
        <v>410.66666666666669</v>
      </c>
      <c r="E7" s="263">
        <f>C7-D7</f>
        <v>2053.3333333333335</v>
      </c>
      <c r="F7" s="264">
        <f ca="1">DATA!D10/1000000</f>
        <v>82.36655642049999</v>
      </c>
      <c r="G7" s="265">
        <f ca="1">DATA!$D$11/1000000</f>
        <v>1.6473311284099998</v>
      </c>
      <c r="H7" s="265">
        <f>C7*DATA!$D$5/1000000</f>
        <v>2.6712841130645435</v>
      </c>
      <c r="I7" s="265">
        <f>(C7*DATA!$D$5*DATA!$D$7)/1000000</f>
        <v>6.0103892543952223E-2</v>
      </c>
      <c r="J7" s="263">
        <f ca="1">SUM(F7:I7)</f>
        <v>86.745275554518486</v>
      </c>
      <c r="K7" s="266">
        <f>DATA!D9/1000000</f>
        <v>14.922599999999997</v>
      </c>
      <c r="L7" s="263">
        <f>((D7*DATA!$D$23)/1000000)+((E7*DATA!$D$24)/1000000)</f>
        <v>3.5597408000000001</v>
      </c>
      <c r="M7" s="263">
        <f>K7+L7</f>
        <v>18.482340799999996</v>
      </c>
      <c r="N7" s="263">
        <f ca="1">M7-J7</f>
        <v>-68.262934754518483</v>
      </c>
      <c r="O7" s="261">
        <v>1</v>
      </c>
      <c r="P7" s="263">
        <f ca="1">O7*N7</f>
        <v>-68.262934754518483</v>
      </c>
      <c r="Q7" s="263">
        <f ca="1">P7</f>
        <v>-68.262934754518483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7392</v>
      </c>
      <c r="D8" s="263">
        <f>C8*4/24</f>
        <v>1232</v>
      </c>
      <c r="E8" s="263">
        <f t="shared" ref="E8:E32" si="0">C8-D8</f>
        <v>6160</v>
      </c>
      <c r="F8" s="261"/>
      <c r="G8" s="265">
        <f ca="1">DATA!$D$11/1000000</f>
        <v>1.6473311284099998</v>
      </c>
      <c r="H8" s="265">
        <f>C8*DATA!$D$5/1000000</f>
        <v>8.0138523391936296</v>
      </c>
      <c r="I8" s="265">
        <f>(C8*DATA!$D$5*DATA!$D$7)/1000000</f>
        <v>0.18031167763185665</v>
      </c>
      <c r="J8" s="263">
        <f t="shared" ref="J8:J32" ca="1" si="1">SUM(F8:I8)</f>
        <v>9.841495145235486</v>
      </c>
      <c r="K8" s="268"/>
      <c r="L8" s="263">
        <f>((D8*DATA!$D$23)/1000000)+((E8*DATA!$D$24)/1000000)</f>
        <v>10.6792224</v>
      </c>
      <c r="M8" s="263">
        <f t="shared" ref="M8:M32" si="2">K8+L8</f>
        <v>10.6792224</v>
      </c>
      <c r="N8" s="263">
        <f ca="1">M8-J8</f>
        <v>0.83772725476451448</v>
      </c>
      <c r="O8" s="262">
        <f>1/(1+'[93]Asumsi I'!$C$3)^(KKF!A8)</f>
        <v>0.89285714285714279</v>
      </c>
      <c r="P8" s="263">
        <f ca="1">O8*N8</f>
        <v>0.74797076318260214</v>
      </c>
      <c r="Q8" s="263">
        <f ca="1">Q7+P8</f>
        <v>-67.514963991335875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7392</v>
      </c>
      <c r="D9" s="263">
        <f t="shared" ref="D9:D32" si="5">C9*4/24</f>
        <v>1232</v>
      </c>
      <c r="E9" s="263">
        <f t="shared" si="0"/>
        <v>6160</v>
      </c>
      <c r="F9" s="261"/>
      <c r="G9" s="265">
        <f ca="1">DATA!$D$11/1000000</f>
        <v>1.6473311284099998</v>
      </c>
      <c r="H9" s="265">
        <f>C9*DATA!$D$5/1000000</f>
        <v>8.0138523391936296</v>
      </c>
      <c r="I9" s="265">
        <f>(C9*DATA!$D$5*DATA!$D$7)/1000000</f>
        <v>0.18031167763185665</v>
      </c>
      <c r="J9" s="263">
        <f t="shared" ca="1" si="1"/>
        <v>9.841495145235486</v>
      </c>
      <c r="K9" s="263"/>
      <c r="L9" s="263">
        <f>((D9*DATA!$D$23)/1000000)+((E9*DATA!$D$24)/1000000)</f>
        <v>10.6792224</v>
      </c>
      <c r="M9" s="263">
        <f t="shared" si="2"/>
        <v>10.6792224</v>
      </c>
      <c r="N9" s="263">
        <f t="shared" ref="N9:N32" ca="1" si="6">M9-J9</f>
        <v>0.83772725476451448</v>
      </c>
      <c r="O9" s="269">
        <f>1/(1+'[93]Asumsi I'!$C$3)^(KKF!A9)</f>
        <v>0.79719387755102034</v>
      </c>
      <c r="P9" s="263">
        <f t="shared" ref="P9:P32" ca="1" si="7">O9*N9</f>
        <v>0.66783103855589476</v>
      </c>
      <c r="Q9" s="263">
        <f ca="1">Q8+P9</f>
        <v>-66.847132952779987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7392</v>
      </c>
      <c r="D10" s="263">
        <f t="shared" si="5"/>
        <v>1232</v>
      </c>
      <c r="E10" s="263">
        <f t="shared" si="0"/>
        <v>6160</v>
      </c>
      <c r="F10" s="261"/>
      <c r="G10" s="265">
        <f ca="1">DATA!$D$11/1000000</f>
        <v>1.6473311284099998</v>
      </c>
      <c r="H10" s="265">
        <f>C10*DATA!$D$5/1000000</f>
        <v>8.0138523391936296</v>
      </c>
      <c r="I10" s="265">
        <f>(C10*DATA!$D$5*DATA!$D$7)/1000000</f>
        <v>0.18031167763185665</v>
      </c>
      <c r="J10" s="263">
        <f t="shared" ca="1" si="1"/>
        <v>9.841495145235486</v>
      </c>
      <c r="K10" s="261"/>
      <c r="L10" s="263">
        <f>((D10*DATA!$D$23)/1000000)+((E10*DATA!$D$24)/1000000)</f>
        <v>10.6792224</v>
      </c>
      <c r="M10" s="263">
        <f t="shared" si="2"/>
        <v>10.6792224</v>
      </c>
      <c r="N10" s="263">
        <f t="shared" ca="1" si="6"/>
        <v>0.83772725476451448</v>
      </c>
      <c r="O10" s="262">
        <f>1/(1+'[93]Asumsi I'!$C$3)^(KKF!A10)</f>
        <v>0.71178024781341087</v>
      </c>
      <c r="P10" s="263">
        <f t="shared" ca="1" si="7"/>
        <v>0.59627771299633447</v>
      </c>
      <c r="Q10" s="263">
        <f t="shared" ref="Q10:Q30" ca="1" si="9">Q9+P10</f>
        <v>-66.250855239783647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7392</v>
      </c>
      <c r="D11" s="263">
        <f t="shared" si="5"/>
        <v>1232</v>
      </c>
      <c r="E11" s="263">
        <f t="shared" si="0"/>
        <v>6160</v>
      </c>
      <c r="F11" s="261"/>
      <c r="G11" s="265">
        <f ca="1">DATA!$D$11/1000000</f>
        <v>1.6473311284099998</v>
      </c>
      <c r="H11" s="265">
        <f>C11*DATA!$D$5/1000000</f>
        <v>8.0138523391936296</v>
      </c>
      <c r="I11" s="265">
        <f>(C11*DATA!$D$5*DATA!$D$7)/1000000</f>
        <v>0.18031167763185665</v>
      </c>
      <c r="J11" s="263">
        <f t="shared" ca="1" si="1"/>
        <v>9.841495145235486</v>
      </c>
      <c r="K11" s="261"/>
      <c r="L11" s="263">
        <f>((D11*DATA!$D$23)/1000000)+((E11*DATA!$D$24)/1000000)</f>
        <v>10.6792224</v>
      </c>
      <c r="M11" s="263">
        <f t="shared" si="2"/>
        <v>10.6792224</v>
      </c>
      <c r="N11" s="263">
        <f t="shared" ca="1" si="6"/>
        <v>0.83772725476451448</v>
      </c>
      <c r="O11" s="262">
        <f>1/(1+'[93]Asumsi I'!$C$3)^(KKF!A11)</f>
        <v>0.63551807840483121</v>
      </c>
      <c r="P11" s="263">
        <f t="shared" ca="1" si="7"/>
        <v>0.53239081517529874</v>
      </c>
      <c r="Q11" s="263">
        <f t="shared" ca="1" si="9"/>
        <v>-65.718464424608342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7392</v>
      </c>
      <c r="D12" s="263">
        <f t="shared" si="5"/>
        <v>1232</v>
      </c>
      <c r="E12" s="263">
        <f t="shared" si="0"/>
        <v>6160</v>
      </c>
      <c r="F12" s="261"/>
      <c r="G12" s="265">
        <f ca="1">DATA!$D$11/1000000</f>
        <v>1.6473311284099998</v>
      </c>
      <c r="H12" s="265">
        <f>C12*DATA!$D$5/1000000</f>
        <v>8.0138523391936296</v>
      </c>
      <c r="I12" s="265">
        <f>(C12*DATA!$D$5*DATA!$D$7)/1000000</f>
        <v>0.18031167763185665</v>
      </c>
      <c r="J12" s="263">
        <f t="shared" ca="1" si="1"/>
        <v>9.841495145235486</v>
      </c>
      <c r="K12" s="261"/>
      <c r="L12" s="263">
        <f>((D12*DATA!$D$23)/1000000)+((E12*DATA!$D$24)/1000000)</f>
        <v>10.6792224</v>
      </c>
      <c r="M12" s="263">
        <f t="shared" si="2"/>
        <v>10.6792224</v>
      </c>
      <c r="N12" s="263">
        <f t="shared" ca="1" si="6"/>
        <v>0.83772725476451448</v>
      </c>
      <c r="O12" s="262">
        <f>1/(1+'[93]Asumsi I'!$C$3)^(KKF!A12)</f>
        <v>0.56742685571859919</v>
      </c>
      <c r="P12" s="263">
        <f t="shared" ca="1" si="7"/>
        <v>0.47534894212080236</v>
      </c>
      <c r="Q12" s="263">
        <f t="shared" ca="1" si="9"/>
        <v>-65.243115482487539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7392</v>
      </c>
      <c r="D13" s="263">
        <f t="shared" si="5"/>
        <v>1232</v>
      </c>
      <c r="E13" s="263">
        <f t="shared" si="0"/>
        <v>6160</v>
      </c>
      <c r="F13" s="261"/>
      <c r="G13" s="265">
        <f ca="1">DATA!$D$11/1000000</f>
        <v>1.6473311284099998</v>
      </c>
      <c r="H13" s="265">
        <f>C13*DATA!$D$5/1000000</f>
        <v>8.0138523391936296</v>
      </c>
      <c r="I13" s="265">
        <f>(C13*DATA!$D$5*DATA!$D$7)/1000000</f>
        <v>0.18031167763185665</v>
      </c>
      <c r="J13" s="263">
        <f t="shared" ca="1" si="1"/>
        <v>9.841495145235486</v>
      </c>
      <c r="K13" s="261"/>
      <c r="L13" s="263">
        <f>((D13*DATA!$D$23)/1000000)+((E13*DATA!$D$24)/1000000)</f>
        <v>10.6792224</v>
      </c>
      <c r="M13" s="263">
        <f t="shared" si="2"/>
        <v>10.6792224</v>
      </c>
      <c r="N13" s="263">
        <f t="shared" ca="1" si="6"/>
        <v>0.83772725476451448</v>
      </c>
      <c r="O13" s="262">
        <f>1/(1+'[93]Asumsi I'!$C$3)^(KKF!A13)</f>
        <v>0.50663112117732068</v>
      </c>
      <c r="P13" s="263">
        <f t="shared" ca="1" si="7"/>
        <v>0.4244186983221449</v>
      </c>
      <c r="Q13" s="263">
        <f t="shared" ca="1" si="9"/>
        <v>-64.818696784165397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7392</v>
      </c>
      <c r="D14" s="263">
        <f t="shared" si="5"/>
        <v>1232</v>
      </c>
      <c r="E14" s="263">
        <f t="shared" si="0"/>
        <v>6160</v>
      </c>
      <c r="F14" s="261"/>
      <c r="G14" s="265">
        <f ca="1">DATA!$D$11/1000000</f>
        <v>1.6473311284099998</v>
      </c>
      <c r="H14" s="265">
        <f>C14*DATA!$D$5/1000000</f>
        <v>8.0138523391936296</v>
      </c>
      <c r="I14" s="265">
        <f>(C14*DATA!$D$5*DATA!$D$7)/1000000</f>
        <v>0.18031167763185665</v>
      </c>
      <c r="J14" s="263">
        <f t="shared" ca="1" si="1"/>
        <v>9.841495145235486</v>
      </c>
      <c r="K14" s="261"/>
      <c r="L14" s="263">
        <f>((D14*DATA!$D$23)/1000000)+((E14*DATA!$D$24)/1000000)</f>
        <v>10.6792224</v>
      </c>
      <c r="M14" s="263">
        <f t="shared" si="2"/>
        <v>10.6792224</v>
      </c>
      <c r="N14" s="263">
        <f t="shared" ca="1" si="6"/>
        <v>0.83772725476451448</v>
      </c>
      <c r="O14" s="262">
        <f>1/(1+'[93]Asumsi I'!$C$3)^(KKF!A14)</f>
        <v>0.45234921533689343</v>
      </c>
      <c r="P14" s="263">
        <f t="shared" ca="1" si="7"/>
        <v>0.37894526635905795</v>
      </c>
      <c r="Q14" s="263">
        <f t="shared" ca="1" si="9"/>
        <v>-64.439751517806343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7392</v>
      </c>
      <c r="D15" s="263">
        <f t="shared" si="5"/>
        <v>1232</v>
      </c>
      <c r="E15" s="263">
        <f t="shared" si="0"/>
        <v>6160</v>
      </c>
      <c r="F15" s="261"/>
      <c r="G15" s="265">
        <f ca="1">DATA!$D$11/1000000</f>
        <v>1.6473311284099998</v>
      </c>
      <c r="H15" s="265">
        <f>C15*DATA!$D$5/1000000</f>
        <v>8.0138523391936296</v>
      </c>
      <c r="I15" s="265">
        <f>(C15*DATA!$D$5*DATA!$D$7)/1000000</f>
        <v>0.18031167763185665</v>
      </c>
      <c r="J15" s="263">
        <f t="shared" ca="1" si="1"/>
        <v>9.841495145235486</v>
      </c>
      <c r="K15" s="261"/>
      <c r="L15" s="263">
        <f>((D15*DATA!$D$23)/1000000)+((E15*DATA!$D$24)/1000000)</f>
        <v>10.6792224</v>
      </c>
      <c r="M15" s="263">
        <f t="shared" si="2"/>
        <v>10.6792224</v>
      </c>
      <c r="N15" s="263">
        <f t="shared" ca="1" si="6"/>
        <v>0.83772725476451448</v>
      </c>
      <c r="O15" s="262">
        <f>1/(1+'[93]Asumsi I'!$C$3)^(KKF!A15)</f>
        <v>0.4038832279793691</v>
      </c>
      <c r="P15" s="263">
        <f t="shared" ca="1" si="7"/>
        <v>0.33834398782058744</v>
      </c>
      <c r="Q15" s="263">
        <f t="shared" ca="1" si="9"/>
        <v>-64.10140752998575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7392</v>
      </c>
      <c r="D16" s="263">
        <f t="shared" si="5"/>
        <v>1232</v>
      </c>
      <c r="E16" s="263">
        <f t="shared" si="0"/>
        <v>6160</v>
      </c>
      <c r="F16" s="261"/>
      <c r="G16" s="265">
        <f ca="1">DATA!$D$11/1000000</f>
        <v>1.6473311284099998</v>
      </c>
      <c r="H16" s="265">
        <f>C16*DATA!$D$5/1000000</f>
        <v>8.0138523391936296</v>
      </c>
      <c r="I16" s="265">
        <f>(C16*DATA!$D$5*DATA!$D$7)/1000000</f>
        <v>0.18031167763185665</v>
      </c>
      <c r="J16" s="263">
        <f t="shared" ca="1" si="1"/>
        <v>9.841495145235486</v>
      </c>
      <c r="K16" s="261"/>
      <c r="L16" s="263">
        <f>((D16*DATA!$D$23)/1000000)+((E16*DATA!$D$24)/1000000)</f>
        <v>10.6792224</v>
      </c>
      <c r="M16" s="263">
        <f t="shared" si="2"/>
        <v>10.6792224</v>
      </c>
      <c r="N16" s="263">
        <f t="shared" ca="1" si="6"/>
        <v>0.83772725476451448</v>
      </c>
      <c r="O16" s="262">
        <f>1/(1+'[93]Asumsi I'!$C$3)^(KKF!A16)</f>
        <v>0.36061002498157957</v>
      </c>
      <c r="P16" s="263">
        <f t="shared" ca="1" si="7"/>
        <v>0.30209284626838162</v>
      </c>
      <c r="Q16" s="263">
        <f t="shared" ca="1" si="9"/>
        <v>-63.79931468371737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7392</v>
      </c>
      <c r="D17" s="263">
        <f t="shared" si="5"/>
        <v>1232</v>
      </c>
      <c r="E17" s="263">
        <f t="shared" si="0"/>
        <v>6160</v>
      </c>
      <c r="F17" s="261"/>
      <c r="G17" s="265">
        <f ca="1">DATA!$D$11/1000000</f>
        <v>1.6473311284099998</v>
      </c>
      <c r="H17" s="265">
        <f>C17*DATA!$D$5/1000000</f>
        <v>8.0138523391936296</v>
      </c>
      <c r="I17" s="265">
        <f>(C17*DATA!$D$5*DATA!$D$7)/1000000</f>
        <v>0.18031167763185665</v>
      </c>
      <c r="J17" s="263">
        <f t="shared" ca="1" si="1"/>
        <v>9.841495145235486</v>
      </c>
      <c r="K17" s="261"/>
      <c r="L17" s="263">
        <f>((D17*DATA!$D$23)/1000000)+((E17*DATA!$D$24)/1000000)</f>
        <v>10.6792224</v>
      </c>
      <c r="M17" s="263">
        <f t="shared" si="2"/>
        <v>10.6792224</v>
      </c>
      <c r="N17" s="263">
        <f t="shared" ca="1" si="6"/>
        <v>0.83772725476451448</v>
      </c>
      <c r="O17" s="262">
        <f>1/(1+'[93]Asumsi I'!$C$3)^(KKF!A17)</f>
        <v>0.32197323659069599</v>
      </c>
      <c r="P17" s="263">
        <f t="shared" ca="1" si="7"/>
        <v>0.26972575559676926</v>
      </c>
      <c r="Q17" s="263">
        <f t="shared" ca="1" si="9"/>
        <v>-63.529588928120603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7392</v>
      </c>
      <c r="D18" s="263">
        <f t="shared" si="5"/>
        <v>1232</v>
      </c>
      <c r="E18" s="263">
        <f t="shared" si="0"/>
        <v>6160</v>
      </c>
      <c r="F18" s="261"/>
      <c r="G18" s="265">
        <f ca="1">DATA!$D$11/1000000</f>
        <v>1.6473311284099998</v>
      </c>
      <c r="H18" s="265">
        <f>C18*DATA!$D$5/1000000</f>
        <v>8.0138523391936296</v>
      </c>
      <c r="I18" s="265">
        <f>(C18*DATA!$D$5*DATA!$D$7)/1000000</f>
        <v>0.18031167763185665</v>
      </c>
      <c r="J18" s="263">
        <f t="shared" ca="1" si="1"/>
        <v>9.841495145235486</v>
      </c>
      <c r="K18" s="261"/>
      <c r="L18" s="263">
        <f>((D18*DATA!$D$23)/1000000)+((E18*DATA!$D$24)/1000000)</f>
        <v>10.6792224</v>
      </c>
      <c r="M18" s="263">
        <f t="shared" si="2"/>
        <v>10.6792224</v>
      </c>
      <c r="N18" s="263">
        <f t="shared" ca="1" si="6"/>
        <v>0.83772725476451448</v>
      </c>
      <c r="O18" s="262">
        <f>1/(1+'[93]Asumsi I'!$C$3)^(KKF!A18)</f>
        <v>0.28747610409883567</v>
      </c>
      <c r="P18" s="263">
        <f t="shared" ca="1" si="7"/>
        <v>0.2408265674971154</v>
      </c>
      <c r="Q18" s="263">
        <f t="shared" ca="1" si="9"/>
        <v>-63.288762360623487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7392</v>
      </c>
      <c r="D19" s="263">
        <f t="shared" si="5"/>
        <v>1232</v>
      </c>
      <c r="E19" s="263">
        <f t="shared" si="0"/>
        <v>6160</v>
      </c>
      <c r="F19" s="261"/>
      <c r="G19" s="265">
        <f ca="1">DATA!$D$11/1000000</f>
        <v>1.6473311284099998</v>
      </c>
      <c r="H19" s="265">
        <f>C19*DATA!$D$5/1000000</f>
        <v>8.0138523391936296</v>
      </c>
      <c r="I19" s="265">
        <f>(C19*DATA!$D$5*DATA!$D$7)/1000000</f>
        <v>0.18031167763185665</v>
      </c>
      <c r="J19" s="263">
        <f t="shared" ca="1" si="1"/>
        <v>9.841495145235486</v>
      </c>
      <c r="K19" s="261"/>
      <c r="L19" s="263">
        <f>((D19*DATA!$D$23)/1000000)+((E19*DATA!$D$24)/1000000)</f>
        <v>10.6792224</v>
      </c>
      <c r="M19" s="263">
        <f t="shared" si="2"/>
        <v>10.6792224</v>
      </c>
      <c r="N19" s="263">
        <f t="shared" ca="1" si="6"/>
        <v>0.83772725476451448</v>
      </c>
      <c r="O19" s="262">
        <f>1/(1+'[93]Asumsi I'!$C$3)^(KKF!A19)</f>
        <v>0.25667509294538904</v>
      </c>
      <c r="P19" s="263">
        <f t="shared" ca="1" si="7"/>
        <v>0.21502372097956735</v>
      </c>
      <c r="Q19" s="263">
        <f t="shared" ca="1" si="9"/>
        <v>-63.073738639643921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7392</v>
      </c>
      <c r="D20" s="263">
        <f t="shared" si="5"/>
        <v>1232</v>
      </c>
      <c r="E20" s="263">
        <f t="shared" si="0"/>
        <v>6160</v>
      </c>
      <c r="F20" s="261"/>
      <c r="G20" s="265">
        <f ca="1">DATA!$D$11/1000000</f>
        <v>1.6473311284099998</v>
      </c>
      <c r="H20" s="265">
        <f>C20*DATA!$D$5/1000000</f>
        <v>8.0138523391936296</v>
      </c>
      <c r="I20" s="265">
        <f>(C20*DATA!$D$5*DATA!$D$7)/1000000</f>
        <v>0.18031167763185665</v>
      </c>
      <c r="J20" s="263">
        <f t="shared" ca="1" si="1"/>
        <v>9.841495145235486</v>
      </c>
      <c r="K20" s="261"/>
      <c r="L20" s="263">
        <f>((D20*DATA!$D$23)/1000000)+((E20*DATA!$D$24)/1000000)</f>
        <v>10.6792224</v>
      </c>
      <c r="M20" s="263">
        <f t="shared" si="2"/>
        <v>10.6792224</v>
      </c>
      <c r="N20" s="263">
        <f t="shared" ca="1" si="6"/>
        <v>0.83772725476451448</v>
      </c>
      <c r="O20" s="262">
        <f>1/(1+'[93]Asumsi I'!$C$3)^(KKF!A20)</f>
        <v>0.22917419012981158</v>
      </c>
      <c r="P20" s="263">
        <f t="shared" ca="1" si="7"/>
        <v>0.19198546516032794</v>
      </c>
      <c r="Q20" s="263">
        <f t="shared" ca="1" si="9"/>
        <v>-62.881753174483592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7392</v>
      </c>
      <c r="D21" s="263">
        <f t="shared" si="5"/>
        <v>1232</v>
      </c>
      <c r="E21" s="263">
        <f t="shared" si="0"/>
        <v>6160</v>
      </c>
      <c r="F21" s="261"/>
      <c r="G21" s="265">
        <f ca="1">DATA!$D$11/1000000</f>
        <v>1.6473311284099998</v>
      </c>
      <c r="H21" s="265">
        <f>C21*DATA!$D$5/1000000</f>
        <v>8.0138523391936296</v>
      </c>
      <c r="I21" s="265">
        <f>(C21*DATA!$D$5*DATA!$D$7)/1000000</f>
        <v>0.18031167763185665</v>
      </c>
      <c r="J21" s="263">
        <f t="shared" ca="1" si="1"/>
        <v>9.841495145235486</v>
      </c>
      <c r="K21" s="261"/>
      <c r="L21" s="263">
        <f>((D21*DATA!$D$23)/1000000)+((E21*DATA!$D$24)/1000000)</f>
        <v>10.6792224</v>
      </c>
      <c r="M21" s="263">
        <f t="shared" si="2"/>
        <v>10.6792224</v>
      </c>
      <c r="N21" s="263">
        <f t="shared" ca="1" si="6"/>
        <v>0.83772725476451448</v>
      </c>
      <c r="O21" s="262">
        <f>1/(1+'[93]Asumsi I'!$C$3)^(KKF!A21)</f>
        <v>0.20461981261590317</v>
      </c>
      <c r="P21" s="263">
        <f t="shared" ca="1" si="7"/>
        <v>0.17141559389314992</v>
      </c>
      <c r="Q21" s="263">
        <f t="shared" ca="1" si="9"/>
        <v>-62.710337580590441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7392</v>
      </c>
      <c r="D22" s="263">
        <f t="shared" si="5"/>
        <v>1232</v>
      </c>
      <c r="E22" s="263">
        <f t="shared" si="0"/>
        <v>6160</v>
      </c>
      <c r="F22" s="261"/>
      <c r="G22" s="265">
        <f ca="1">DATA!$D$11/1000000</f>
        <v>1.6473311284099998</v>
      </c>
      <c r="H22" s="265">
        <f>C22*DATA!$D$5/1000000</f>
        <v>8.0138523391936296</v>
      </c>
      <c r="I22" s="265">
        <f>(C22*DATA!$D$5*DATA!$D$7)/1000000</f>
        <v>0.18031167763185665</v>
      </c>
      <c r="J22" s="263">
        <f t="shared" ca="1" si="1"/>
        <v>9.841495145235486</v>
      </c>
      <c r="K22" s="261"/>
      <c r="L22" s="263">
        <f>((D22*DATA!$D$23)/1000000)+((E22*DATA!$D$24)/1000000)</f>
        <v>10.6792224</v>
      </c>
      <c r="M22" s="263">
        <f t="shared" si="2"/>
        <v>10.6792224</v>
      </c>
      <c r="N22" s="263">
        <f t="shared" ca="1" si="6"/>
        <v>0.83772725476451448</v>
      </c>
      <c r="O22" s="262">
        <f>1/(1+'[93]Asumsi I'!$C$3)^(KKF!A22)</f>
        <v>0.18269626126419927</v>
      </c>
      <c r="P22" s="263">
        <f t="shared" ca="1" si="7"/>
        <v>0.15304963740459815</v>
      </c>
      <c r="Q22" s="263">
        <f t="shared" ca="1" si="9"/>
        <v>-62.557287943185841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7392</v>
      </c>
      <c r="D23" s="263">
        <f t="shared" si="5"/>
        <v>1232</v>
      </c>
      <c r="E23" s="263">
        <f t="shared" si="0"/>
        <v>6160</v>
      </c>
      <c r="F23" s="261"/>
      <c r="G23" s="265">
        <f ca="1">DATA!$D$11/1000000</f>
        <v>1.6473311284099998</v>
      </c>
      <c r="H23" s="265">
        <f>C23*DATA!$D$5/1000000</f>
        <v>8.0138523391936296</v>
      </c>
      <c r="I23" s="265">
        <f>(C23*DATA!$D$5*DATA!$D$7)/1000000</f>
        <v>0.18031167763185665</v>
      </c>
      <c r="J23" s="263">
        <f t="shared" ca="1" si="1"/>
        <v>9.841495145235486</v>
      </c>
      <c r="K23" s="261"/>
      <c r="L23" s="263">
        <f>((D23*DATA!$D$23)/1000000)+((E23*DATA!$D$24)/1000000)</f>
        <v>10.6792224</v>
      </c>
      <c r="M23" s="263">
        <f t="shared" si="2"/>
        <v>10.6792224</v>
      </c>
      <c r="N23" s="263">
        <f t="shared" ca="1" si="6"/>
        <v>0.83772725476451448</v>
      </c>
      <c r="O23" s="262">
        <f>1/(1+'[93]Asumsi I'!$C$3)^(KKF!A23)</f>
        <v>0.16312166184303503</v>
      </c>
      <c r="P23" s="263">
        <f t="shared" ca="1" si="7"/>
        <v>0.1366514619683912</v>
      </c>
      <c r="Q23" s="263">
        <f t="shared" ca="1" si="9"/>
        <v>-62.42063648121745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7392</v>
      </c>
      <c r="D24" s="263">
        <f t="shared" si="5"/>
        <v>1232</v>
      </c>
      <c r="E24" s="263">
        <f t="shared" si="0"/>
        <v>6160</v>
      </c>
      <c r="F24" s="261"/>
      <c r="G24" s="265">
        <f ca="1">DATA!$D$11/1000000</f>
        <v>1.6473311284099998</v>
      </c>
      <c r="H24" s="265">
        <f>C24*DATA!$D$5/1000000</f>
        <v>8.0138523391936296</v>
      </c>
      <c r="I24" s="265">
        <f>(C24*DATA!$D$5*DATA!$D$7)/1000000</f>
        <v>0.18031167763185665</v>
      </c>
      <c r="J24" s="263">
        <f t="shared" ca="1" si="1"/>
        <v>9.841495145235486</v>
      </c>
      <c r="K24" s="261"/>
      <c r="L24" s="263">
        <f>((D24*DATA!$D$23)/1000000)+((E24*DATA!$D$24)/1000000)</f>
        <v>10.6792224</v>
      </c>
      <c r="M24" s="263">
        <f t="shared" si="2"/>
        <v>10.6792224</v>
      </c>
      <c r="N24" s="263">
        <f t="shared" ca="1" si="6"/>
        <v>0.83772725476451448</v>
      </c>
      <c r="O24" s="262">
        <f>1/(1+'[93]Asumsi I'!$C$3)^(KKF!A24)</f>
        <v>0.14564434093128129</v>
      </c>
      <c r="P24" s="263">
        <f t="shared" ca="1" si="7"/>
        <v>0.12201023390034928</v>
      </c>
      <c r="Q24" s="263">
        <f t="shared" ca="1" si="9"/>
        <v>-62.298626247317102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7392</v>
      </c>
      <c r="D25" s="263">
        <f t="shared" si="5"/>
        <v>1232</v>
      </c>
      <c r="E25" s="263">
        <f t="shared" si="0"/>
        <v>6160</v>
      </c>
      <c r="F25" s="261"/>
      <c r="G25" s="265">
        <f ca="1">DATA!$D$11/1000000</f>
        <v>1.6473311284099998</v>
      </c>
      <c r="H25" s="265">
        <f>C25*DATA!$D$5/1000000</f>
        <v>8.0138523391936296</v>
      </c>
      <c r="I25" s="265">
        <f>(C25*DATA!$D$5*DATA!$D$7)/1000000</f>
        <v>0.18031167763185665</v>
      </c>
      <c r="J25" s="263">
        <f t="shared" ca="1" si="1"/>
        <v>9.841495145235486</v>
      </c>
      <c r="K25" s="261"/>
      <c r="L25" s="263">
        <f>((D25*DATA!$D$23)/1000000)+((E25*DATA!$D$24)/1000000)</f>
        <v>10.6792224</v>
      </c>
      <c r="M25" s="263">
        <f t="shared" si="2"/>
        <v>10.6792224</v>
      </c>
      <c r="N25" s="263">
        <f t="shared" ca="1" si="6"/>
        <v>0.83772725476451448</v>
      </c>
      <c r="O25" s="262">
        <f>1/(1+'[93]Asumsi I'!$C$3)^(KKF!A25)</f>
        <v>0.13003959011721541</v>
      </c>
      <c r="P25" s="263">
        <f t="shared" ca="1" si="7"/>
        <v>0.10893770883959755</v>
      </c>
      <c r="Q25" s="263">
        <f t="shared" ca="1" si="9"/>
        <v>-62.189688538477505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7392</v>
      </c>
      <c r="D26" s="263">
        <f t="shared" si="5"/>
        <v>1232</v>
      </c>
      <c r="E26" s="263">
        <f t="shared" si="0"/>
        <v>6160</v>
      </c>
      <c r="F26" s="261"/>
      <c r="G26" s="265">
        <f ca="1">DATA!$D$11/1000000</f>
        <v>1.6473311284099998</v>
      </c>
      <c r="H26" s="265">
        <f>C26*DATA!$D$5/1000000</f>
        <v>8.0138523391936296</v>
      </c>
      <c r="I26" s="265">
        <f>(C26*DATA!$D$5*DATA!$D$7)/1000000</f>
        <v>0.18031167763185665</v>
      </c>
      <c r="J26" s="263">
        <f t="shared" ca="1" si="1"/>
        <v>9.841495145235486</v>
      </c>
      <c r="K26" s="261"/>
      <c r="L26" s="263">
        <f>((D26*DATA!$D$23)/1000000)+((E26*DATA!$D$24)/1000000)</f>
        <v>10.6792224</v>
      </c>
      <c r="M26" s="263">
        <f t="shared" si="2"/>
        <v>10.6792224</v>
      </c>
      <c r="N26" s="263">
        <f t="shared" ca="1" si="6"/>
        <v>0.83772725476451448</v>
      </c>
      <c r="O26" s="262">
        <f>1/(1+'[93]Asumsi I'!$C$3)^(KKF!A26)</f>
        <v>0.1161067768903709</v>
      </c>
      <c r="P26" s="263">
        <f t="shared" ca="1" si="7"/>
        <v>9.7265811463926377E-2</v>
      </c>
      <c r="Q26" s="263">
        <f t="shared" ca="1" si="9"/>
        <v>-62.092422727013577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7392</v>
      </c>
      <c r="D27" s="263">
        <f t="shared" si="5"/>
        <v>1232</v>
      </c>
      <c r="E27" s="263">
        <f t="shared" si="0"/>
        <v>6160</v>
      </c>
      <c r="F27" s="261"/>
      <c r="G27" s="265">
        <f ca="1">DATA!$D$11/1000000</f>
        <v>1.6473311284099998</v>
      </c>
      <c r="H27" s="265">
        <f>C27*DATA!$D$5/1000000</f>
        <v>8.0138523391936296</v>
      </c>
      <c r="I27" s="265">
        <f>(C27*DATA!$D$5*DATA!$D$7)/1000000</f>
        <v>0.18031167763185665</v>
      </c>
      <c r="J27" s="263">
        <f t="shared" ca="1" si="1"/>
        <v>9.841495145235486</v>
      </c>
      <c r="K27" s="261"/>
      <c r="L27" s="263">
        <f>((D27*DATA!$D$23)/1000000)+((E27*DATA!$D$24)/1000000)</f>
        <v>10.6792224</v>
      </c>
      <c r="M27" s="263">
        <f t="shared" si="2"/>
        <v>10.6792224</v>
      </c>
      <c r="N27" s="263">
        <f t="shared" ca="1" si="6"/>
        <v>0.83772725476451448</v>
      </c>
      <c r="O27" s="262">
        <f>1/(1+'[93]Asumsi I'!$C$3)^(KKF!A27)</f>
        <v>0.1036667650806883</v>
      </c>
      <c r="P27" s="263">
        <f t="shared" ca="1" si="7"/>
        <v>8.6844474521362833E-2</v>
      </c>
      <c r="Q27" s="263">
        <f t="shared" ca="1" si="9"/>
        <v>-62.005578252492214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7392</v>
      </c>
      <c r="D28" s="263">
        <f t="shared" si="5"/>
        <v>1232</v>
      </c>
      <c r="E28" s="263">
        <f t="shared" si="0"/>
        <v>6160</v>
      </c>
      <c r="F28" s="261"/>
      <c r="G28" s="265">
        <f ca="1">DATA!$D$11/1000000</f>
        <v>1.6473311284099998</v>
      </c>
      <c r="H28" s="265">
        <f>C28*DATA!$D$5/1000000</f>
        <v>8.0138523391936296</v>
      </c>
      <c r="I28" s="265">
        <f>(C28*DATA!$D$5*DATA!$D$7)/1000000</f>
        <v>0.18031167763185665</v>
      </c>
      <c r="J28" s="263">
        <f t="shared" ca="1" si="1"/>
        <v>9.841495145235486</v>
      </c>
      <c r="K28" s="261"/>
      <c r="L28" s="263">
        <f>((D28*DATA!$D$23)/1000000)+((E28*DATA!$D$24)/1000000)</f>
        <v>10.6792224</v>
      </c>
      <c r="M28" s="263">
        <f t="shared" si="2"/>
        <v>10.6792224</v>
      </c>
      <c r="N28" s="263">
        <f t="shared" ca="1" si="6"/>
        <v>0.83772725476451448</v>
      </c>
      <c r="O28" s="262">
        <f>1/(1+'[93]Asumsi I'!$C$3)^(KKF!A28)</f>
        <v>9.2559611679185971E-2</v>
      </c>
      <c r="P28" s="263">
        <f t="shared" ca="1" si="7"/>
        <v>7.7539709394073952E-2</v>
      </c>
      <c r="Q28" s="263">
        <f t="shared" ca="1" si="9"/>
        <v>-61.92803854309814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7392</v>
      </c>
      <c r="D29" s="263">
        <f t="shared" si="5"/>
        <v>1232</v>
      </c>
      <c r="E29" s="263">
        <f t="shared" si="0"/>
        <v>6160</v>
      </c>
      <c r="F29" s="261"/>
      <c r="G29" s="265">
        <f ca="1">DATA!$D$11/1000000</f>
        <v>1.6473311284099998</v>
      </c>
      <c r="H29" s="265">
        <f>C29*DATA!$D$5/1000000</f>
        <v>8.0138523391936296</v>
      </c>
      <c r="I29" s="265">
        <f>(C29*DATA!$D$5*DATA!$D$7)/1000000</f>
        <v>0.18031167763185665</v>
      </c>
      <c r="J29" s="263">
        <f t="shared" ca="1" si="1"/>
        <v>9.841495145235486</v>
      </c>
      <c r="K29" s="261"/>
      <c r="L29" s="263">
        <f>((D29*DATA!$D$23)/1000000)+((E29*DATA!$D$24)/1000000)</f>
        <v>10.6792224</v>
      </c>
      <c r="M29" s="263">
        <f t="shared" si="2"/>
        <v>10.6792224</v>
      </c>
      <c r="N29" s="263">
        <f t="shared" ca="1" si="6"/>
        <v>0.83772725476451448</v>
      </c>
      <c r="O29" s="262">
        <f>1/(1+'[93]Asumsi I'!$C$3)^(KKF!A29)</f>
        <v>8.2642510427844609E-2</v>
      </c>
      <c r="P29" s="263">
        <f t="shared" ca="1" si="7"/>
        <v>6.9231883387566029E-2</v>
      </c>
      <c r="Q29" s="263">
        <f t="shared" ca="1" si="9"/>
        <v>-61.858806659710574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7392</v>
      </c>
      <c r="D30" s="263">
        <f t="shared" si="5"/>
        <v>1232</v>
      </c>
      <c r="E30" s="263">
        <f t="shared" si="0"/>
        <v>6160</v>
      </c>
      <c r="F30" s="261"/>
      <c r="G30" s="265">
        <f ca="1">DATA!$D$11/1000000</f>
        <v>1.6473311284099998</v>
      </c>
      <c r="H30" s="265">
        <f>C30*DATA!$D$5/1000000</f>
        <v>8.0138523391936296</v>
      </c>
      <c r="I30" s="265">
        <f>(C30*DATA!$D$5*DATA!$D$7)/1000000</f>
        <v>0.18031167763185665</v>
      </c>
      <c r="J30" s="263">
        <f t="shared" ca="1" si="1"/>
        <v>9.841495145235486</v>
      </c>
      <c r="K30" s="261"/>
      <c r="L30" s="263">
        <f>((D30*DATA!$D$23)/1000000)+((E30*DATA!$D$24)/1000000)</f>
        <v>10.6792224</v>
      </c>
      <c r="M30" s="263">
        <f t="shared" si="2"/>
        <v>10.6792224</v>
      </c>
      <c r="N30" s="263">
        <f t="shared" ca="1" si="6"/>
        <v>0.83772725476451448</v>
      </c>
      <c r="O30" s="262">
        <f>1/(1+'[93]Asumsi I'!$C$3)^(KKF!A30)</f>
        <v>7.3787955739146982E-2</v>
      </c>
      <c r="P30" s="263">
        <f t="shared" ca="1" si="7"/>
        <v>6.1814181596041101E-2</v>
      </c>
      <c r="Q30" s="263">
        <f t="shared" ca="1" si="9"/>
        <v>-61.796992478114532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7392</v>
      </c>
      <c r="D31" s="263">
        <f t="shared" si="5"/>
        <v>1232</v>
      </c>
      <c r="E31" s="263">
        <f t="shared" si="0"/>
        <v>6160</v>
      </c>
      <c r="F31" s="261"/>
      <c r="G31" s="265">
        <f ca="1">DATA!$D$11/1000000</f>
        <v>1.6473311284099998</v>
      </c>
      <c r="H31" s="265">
        <f>C31*DATA!$D$5/1000000</f>
        <v>8.0138523391936296</v>
      </c>
      <c r="I31" s="265">
        <f>(C31*DATA!$D$5*DATA!$D$7)/1000000</f>
        <v>0.18031167763185665</v>
      </c>
      <c r="J31" s="263">
        <f t="shared" ca="1" si="1"/>
        <v>9.841495145235486</v>
      </c>
      <c r="K31" s="261"/>
      <c r="L31" s="263">
        <f>((D31*DATA!$D$23)/1000000)+((E31*DATA!$D$24)/1000000)</f>
        <v>10.6792224</v>
      </c>
      <c r="M31" s="263">
        <f t="shared" si="2"/>
        <v>10.6792224</v>
      </c>
      <c r="N31" s="263">
        <f t="shared" ca="1" si="6"/>
        <v>0.83772725476451448</v>
      </c>
      <c r="O31" s="262">
        <f>1/(1+'[93]Asumsi I'!$C$3)^(KKF!A31)</f>
        <v>6.5882103338524081E-2</v>
      </c>
      <c r="P31" s="263">
        <f t="shared" ca="1" si="7"/>
        <v>5.5191233567893835E-2</v>
      </c>
      <c r="Q31" s="263">
        <f ca="1">Q30+P31</f>
        <v>-61.741801244546636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7392</v>
      </c>
      <c r="D32" s="263">
        <f t="shared" si="5"/>
        <v>1232</v>
      </c>
      <c r="E32" s="263">
        <f t="shared" si="0"/>
        <v>6160</v>
      </c>
      <c r="F32" s="261"/>
      <c r="G32" s="265">
        <f ca="1">DATA!$D$11/1000000</f>
        <v>1.6473311284099998</v>
      </c>
      <c r="H32" s="265">
        <f>C32*DATA!$D$5/1000000</f>
        <v>8.0138523391936296</v>
      </c>
      <c r="I32" s="265">
        <f>(C32*DATA!$D$5*DATA!$D$7)/1000000</f>
        <v>0.18031167763185665</v>
      </c>
      <c r="J32" s="263">
        <f t="shared" ca="1" si="1"/>
        <v>9.841495145235486</v>
      </c>
      <c r="K32" s="261"/>
      <c r="L32" s="263">
        <f>((D32*DATA!$D$23)/1000000)+((E32*DATA!$D$24)/1000000)</f>
        <v>10.6792224</v>
      </c>
      <c r="M32" s="263">
        <f t="shared" si="2"/>
        <v>10.6792224</v>
      </c>
      <c r="N32" s="263">
        <f t="shared" ca="1" si="6"/>
        <v>0.83772725476451448</v>
      </c>
      <c r="O32" s="262">
        <f>1/(1+'[93]Asumsi I'!$C$3)^(KKF!A32)</f>
        <v>5.8823306552253637E-2</v>
      </c>
      <c r="P32" s="263">
        <f t="shared" ca="1" si="7"/>
        <v>4.927788711419092E-2</v>
      </c>
      <c r="Q32" s="263">
        <f ca="1">Q31+P32</f>
        <v>-61.692523357432442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4" t="s">
        <v>1373</v>
      </c>
      <c r="G33" s="614"/>
      <c r="H33" s="614"/>
      <c r="I33" s="271"/>
      <c r="J33" s="272">
        <f ca="1">SUM(J7:J32)</f>
        <v>332.78265418540582</v>
      </c>
      <c r="K33" s="614" t="s">
        <v>1374</v>
      </c>
      <c r="L33" s="614"/>
      <c r="M33" s="272">
        <f>SUM(M7:M32)</f>
        <v>285.46290080000017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103.54835068473763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0.85780582975024289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-55.082610140564675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-7.5810209686357988E-2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33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C104" sqref="C104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7" t="s">
        <v>1036</v>
      </c>
      <c r="P3" s="617"/>
      <c r="Q3" s="293"/>
      <c r="T3" s="291"/>
      <c r="U3" s="292" t="s">
        <v>1041</v>
      </c>
      <c r="V3" s="291"/>
    </row>
    <row r="4" spans="1:22" ht="15.75" customHeight="1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4" t="s">
        <v>1639</v>
      </c>
      <c r="H6" s="635"/>
      <c r="I6" s="635"/>
      <c r="J6" s="635"/>
      <c r="K6" s="63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720" t="s">
        <v>1640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0" t="s">
        <v>0</v>
      </c>
      <c r="C11" s="622" t="s">
        <v>1</v>
      </c>
      <c r="D11" s="625" t="s">
        <v>42</v>
      </c>
      <c r="E11" s="625" t="s">
        <v>43</v>
      </c>
      <c r="F11" s="625" t="s">
        <v>2</v>
      </c>
      <c r="G11" s="627" t="s">
        <v>41</v>
      </c>
      <c r="H11" s="625" t="s">
        <v>3</v>
      </c>
      <c r="I11" s="625"/>
      <c r="J11" s="625"/>
      <c r="K11" s="645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1"/>
      <c r="C12" s="623"/>
      <c r="D12" s="626"/>
      <c r="E12" s="626"/>
      <c r="F12" s="626"/>
      <c r="G12" s="628"/>
      <c r="H12" s="630" t="s">
        <v>46</v>
      </c>
      <c r="I12" s="630" t="s">
        <v>5</v>
      </c>
      <c r="J12" s="626" t="s">
        <v>47</v>
      </c>
      <c r="K12" s="64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1"/>
      <c r="C13" s="624"/>
      <c r="D13" s="626"/>
      <c r="E13" s="626"/>
      <c r="F13" s="626"/>
      <c r="G13" s="629"/>
      <c r="H13" s="631"/>
      <c r="I13" s="631"/>
      <c r="J13" s="626"/>
      <c r="K13" s="64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104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6074400</v>
      </c>
      <c r="H17" s="308">
        <f t="shared" ca="1" si="4"/>
        <v>0</v>
      </c>
      <c r="I17" s="308">
        <f t="shared" ca="1" si="5"/>
        <v>6074400</v>
      </c>
      <c r="J17" s="308">
        <f t="shared" ca="1" si="6"/>
        <v>0</v>
      </c>
      <c r="K17" s="309">
        <f t="shared" ca="1" si="7"/>
        <v>6074400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61" t="s">
        <v>1035</v>
      </c>
      <c r="C20" s="462" t="s">
        <v>1631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1">
        <v>1</v>
      </c>
      <c r="C21" s="462" t="s">
        <v>1145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42757200</v>
      </c>
      <c r="H21" s="308">
        <f t="shared" ref="H21:H61" ca="1" si="9">IF(OR(D21="MDU",D21="MDU-KD"),(IF($O$3="RAB NON MDU","PLN KD",G21*F21)),0)</f>
        <v>42757200</v>
      </c>
      <c r="I21" s="308">
        <f t="shared" ref="I21:I61" ca="1" si="10">IF(D21="HDW",G21*F21,0)</f>
        <v>0</v>
      </c>
      <c r="J21" s="308">
        <f t="shared" ref="J21:J61" ca="1" si="11">IF(D21="JASA",G21*F21,0)</f>
        <v>0</v>
      </c>
      <c r="K21" s="309">
        <f t="shared" ref="K21:K61" ca="1" si="12">SUM(H21:J21)</f>
        <v>42757200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1">
        <v>2</v>
      </c>
      <c r="C22" s="463" t="s">
        <v>1615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ref="M22:M39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61"/>
      <c r="C23" s="463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127800</v>
      </c>
      <c r="I23" s="308">
        <f t="shared" ca="1" si="10"/>
        <v>0</v>
      </c>
      <c r="J23" s="308">
        <f t="shared" ca="1" si="11"/>
        <v>0</v>
      </c>
      <c r="K23" s="309">
        <f t="shared" ca="1" si="12"/>
        <v>127800</v>
      </c>
      <c r="L23" s="316"/>
      <c r="M23" s="289" t="str">
        <f t="shared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1"/>
      <c r="C24" s="463" t="s">
        <v>1629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>WARNING</v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1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2177700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2177700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1">
        <v>4</v>
      </c>
      <c r="C26" s="462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2544750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2544750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1">
        <v>5</v>
      </c>
      <c r="C27" s="462" t="s">
        <v>537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f>F20*3</f>
        <v>3</v>
      </c>
      <c r="G27" s="307">
        <f ca="1">IF(ISERROR(OFFSET('HARGA SATUAN'!$I$6,MATCH(RAB!C27,'HARGA SATUAN'!$C$7:$C$1495,0),0)),0,OFFSET('HARGA SATUAN'!$I$6,MATCH(RAB!C27,'HARGA SATUAN'!$C$7:$C$1495,0),0))</f>
        <v>17500</v>
      </c>
      <c r="H27" s="308">
        <f t="shared" ca="1" si="9"/>
        <v>0</v>
      </c>
      <c r="I27" s="308">
        <f t="shared" ca="1" si="10"/>
        <v>52500</v>
      </c>
      <c r="J27" s="308">
        <f t="shared" ca="1" si="11"/>
        <v>0</v>
      </c>
      <c r="K27" s="309">
        <f t="shared" ca="1" si="12"/>
        <v>52500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1">
        <v>6</v>
      </c>
      <c r="C28" s="462" t="s">
        <v>1617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637000</v>
      </c>
      <c r="J28" s="308">
        <f t="shared" ca="1" si="11"/>
        <v>0</v>
      </c>
      <c r="K28" s="309">
        <f t="shared" ca="1" si="12"/>
        <v>637000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1">
        <v>7</v>
      </c>
      <c r="C29" s="462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>
        <f>F20*28</f>
        <v>28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222264</v>
      </c>
      <c r="J29" s="308">
        <f t="shared" ca="1" si="11"/>
        <v>0</v>
      </c>
      <c r="K29" s="309">
        <f t="shared" ca="1" si="12"/>
        <v>222264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1">
        <v>8</v>
      </c>
      <c r="C30" s="462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>
        <f>F20*2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809200</v>
      </c>
      <c r="J30" s="308">
        <f t="shared" ca="1" si="11"/>
        <v>0</v>
      </c>
      <c r="K30" s="309">
        <f t="shared" ca="1" si="12"/>
        <v>809200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1">
        <v>9</v>
      </c>
      <c r="C31" s="462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47700</v>
      </c>
      <c r="J31" s="308">
        <f t="shared" ca="1" si="11"/>
        <v>0</v>
      </c>
      <c r="K31" s="309">
        <f t="shared" ca="1" si="12"/>
        <v>47700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1">
        <v>10</v>
      </c>
      <c r="C32" s="462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9"/>
        <v>0</v>
      </c>
      <c r="I32" s="308">
        <f t="shared" ca="1" si="10"/>
        <v>1415500</v>
      </c>
      <c r="J32" s="308">
        <f t="shared" ca="1" si="11"/>
        <v>0</v>
      </c>
      <c r="K32" s="309">
        <f t="shared" ca="1" si="12"/>
        <v>1415500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1">
        <v>11</v>
      </c>
      <c r="C33" s="462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9"/>
        <v>0</v>
      </c>
      <c r="I33" s="308">
        <f t="shared" ca="1" si="10"/>
        <v>1522000</v>
      </c>
      <c r="J33" s="308">
        <f t="shared" ca="1" si="11"/>
        <v>0</v>
      </c>
      <c r="K33" s="309">
        <f t="shared" ca="1" si="12"/>
        <v>1522000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1">
        <v>12</v>
      </c>
      <c r="C34" s="462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520200</v>
      </c>
      <c r="J34" s="308">
        <f t="shared" ca="1" si="11"/>
        <v>0</v>
      </c>
      <c r="K34" s="309">
        <f t="shared" ca="1" si="12"/>
        <v>520200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1">
        <v>13</v>
      </c>
      <c r="C35" s="462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F20*2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115380</v>
      </c>
      <c r="J35" s="308">
        <f t="shared" ca="1" si="11"/>
        <v>0</v>
      </c>
      <c r="K35" s="309">
        <f t="shared" ca="1" si="12"/>
        <v>115380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1">
        <v>14</v>
      </c>
      <c r="C36" s="462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9"/>
        <v>0</v>
      </c>
      <c r="I36" s="308">
        <f t="shared" ca="1" si="10"/>
        <v>135000</v>
      </c>
      <c r="J36" s="308">
        <f t="shared" ca="1" si="11"/>
        <v>0</v>
      </c>
      <c r="K36" s="309">
        <f t="shared" ca="1" si="12"/>
        <v>135000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1">
        <v>15</v>
      </c>
      <c r="C37" s="462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F20*4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516000</v>
      </c>
      <c r="J37" s="308">
        <f t="shared" ca="1" si="11"/>
        <v>0</v>
      </c>
      <c r="K37" s="309">
        <f t="shared" ca="1" si="12"/>
        <v>516000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1">
        <v>16</v>
      </c>
      <c r="C38" s="462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2">
        <f>F20*1</f>
        <v>1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9"/>
        <v>0</v>
      </c>
      <c r="I38" s="308">
        <f t="shared" ca="1" si="10"/>
        <v>250000</v>
      </c>
      <c r="J38" s="308">
        <f t="shared" ca="1" si="11"/>
        <v>0</v>
      </c>
      <c r="K38" s="309">
        <f t="shared" ca="1" si="12"/>
        <v>250000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1">
        <v>17</v>
      </c>
      <c r="C39" s="462" t="s">
        <v>783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2">
        <v>1</v>
      </c>
      <c r="G39" s="307">
        <f ca="1">IF(ISERROR(OFFSET('HARGA SATUAN'!$I$6,MATCH(RAB!C39,'HARGA SATUAN'!$C$7:$C$1495,0),0)),0,OFFSET('HARGA SATUAN'!$I$6,MATCH(RAB!C39,'HARGA SATUAN'!$C$7:$C$1495,0),0))</f>
        <v>1182800</v>
      </c>
      <c r="H39" s="308">
        <f t="shared" ca="1" si="9"/>
        <v>0</v>
      </c>
      <c r="I39" s="308">
        <f t="shared" ca="1" si="10"/>
        <v>0</v>
      </c>
      <c r="J39" s="308">
        <f t="shared" ca="1" si="11"/>
        <v>1182800</v>
      </c>
      <c r="K39" s="309">
        <f t="shared" ca="1" si="12"/>
        <v>1182800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61"/>
      <c r="C40" s="462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2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ref="H40:H55" ca="1" si="14">IF(OR(D40="MDU",D40="MDU-KD"),(IF($O$3="RAB NON MDU","PLN KD",G40*F40)),0)</f>
        <v>0</v>
      </c>
      <c r="I40" s="308">
        <f t="shared" ref="I40:I55" ca="1" si="15">IF(D40="HDW",G40*F40,0)</f>
        <v>0</v>
      </c>
      <c r="J40" s="308">
        <f t="shared" ref="J40:J55" ca="1" si="16">IF(D40="JASA",G40*F40,0)</f>
        <v>0</v>
      </c>
      <c r="K40" s="309">
        <f t="shared" ref="K40:K55" ca="1" si="17">SUM(H40:J40)</f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21" t="s">
        <v>1035</v>
      </c>
      <c r="C41" s="722" t="s">
        <v>1641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2">
        <v>1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4"/>
        <v>0</v>
      </c>
      <c r="I41" s="308">
        <f t="shared" ca="1" si="15"/>
        <v>0</v>
      </c>
      <c r="J41" s="308">
        <f t="shared" ca="1" si="16"/>
        <v>0</v>
      </c>
      <c r="K41" s="309">
        <f t="shared" ca="1" si="17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21">
        <v>1</v>
      </c>
      <c r="C42" s="722" t="s">
        <v>1608</v>
      </c>
      <c r="D42" s="305" t="str">
        <f ca="1">IF(ISERROR(OFFSET('HARGA SATUAN'!$D$6,MATCH(RAB!C42,'HARGA SATUAN'!$C$7:$C$1495,0),0)),"",OFFSET('HARGA SATUAN'!$D$6,MATCH(RAB!C42,'HARGA SATUAN'!$C$7:$C$1495,0),0))</f>
        <v>MDU-KD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F41*1</f>
        <v>1</v>
      </c>
      <c r="G42" s="307">
        <f ca="1">IF(ISERROR(OFFSET('HARGA SATUAN'!$I$6,MATCH(RAB!C42,'HARGA SATUAN'!$C$7:$C$1495,0),0)),0,OFFSET('HARGA SATUAN'!$I$6,MATCH(RAB!C42,'HARGA SATUAN'!$C$7:$C$1495,0),0))</f>
        <v>176900</v>
      </c>
      <c r="H42" s="308">
        <f t="shared" ca="1" si="14"/>
        <v>176900</v>
      </c>
      <c r="I42" s="308">
        <f t="shared" ca="1" si="15"/>
        <v>0</v>
      </c>
      <c r="J42" s="308">
        <f t="shared" ca="1" si="16"/>
        <v>0</v>
      </c>
      <c r="K42" s="309">
        <f t="shared" ca="1" si="17"/>
        <v>176900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21">
        <v>2</v>
      </c>
      <c r="C43" s="722" t="s">
        <v>1609</v>
      </c>
      <c r="D43" s="305" t="str">
        <f ca="1">IF(ISERROR(OFFSET('HARGA SATUAN'!$D$6,MATCH(RAB!C43,'HARGA SATUAN'!$C$7:$C$1495,0),0)),"",OFFSET('HARGA SATUAN'!$D$6,MATCH(RAB!C43,'HARGA SATUAN'!$C$7:$C$1495,0),0))</f>
        <v>MDU-KD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F41*2</f>
        <v>2</v>
      </c>
      <c r="G43" s="307">
        <f ca="1">IF(ISERROR(OFFSET('HARGA SATUAN'!$I$6,MATCH(RAB!C43,'HARGA SATUAN'!$C$7:$C$1495,0),0)),0,OFFSET('HARGA SATUAN'!$I$6,MATCH(RAB!C43,'HARGA SATUAN'!$C$7:$C$1495,0),0))</f>
        <v>235900</v>
      </c>
      <c r="H43" s="308">
        <f t="shared" ca="1" si="14"/>
        <v>471800</v>
      </c>
      <c r="I43" s="308">
        <f t="shared" ca="1" si="15"/>
        <v>0</v>
      </c>
      <c r="J43" s="308">
        <f t="shared" ca="1" si="16"/>
        <v>0</v>
      </c>
      <c r="K43" s="309">
        <f t="shared" ca="1" si="17"/>
        <v>471800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21">
        <v>3</v>
      </c>
      <c r="C44" s="722" t="s">
        <v>28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2">
        <f>F41*3</f>
        <v>3</v>
      </c>
      <c r="G44" s="307">
        <f ca="1">IF(ISERROR(OFFSET('HARGA SATUAN'!$I$6,MATCH(RAB!C44,'HARGA SATUAN'!$C$7:$C$1495,0),0)),0,OFFSET('HARGA SATUAN'!$I$6,MATCH(RAB!C44,'HARGA SATUAN'!$C$7:$C$1495,0),0))</f>
        <v>26500</v>
      </c>
      <c r="H44" s="308">
        <f t="shared" ca="1" si="14"/>
        <v>0</v>
      </c>
      <c r="I44" s="308">
        <f t="shared" ca="1" si="15"/>
        <v>79500</v>
      </c>
      <c r="J44" s="308">
        <f t="shared" ca="1" si="16"/>
        <v>0</v>
      </c>
      <c r="K44" s="309">
        <f t="shared" ca="1" si="17"/>
        <v>79500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21">
        <v>4</v>
      </c>
      <c r="C45" s="722" t="s">
        <v>163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2">
        <f>F41*2</f>
        <v>2</v>
      </c>
      <c r="G45" s="307">
        <f ca="1">IF(ISERROR(OFFSET('HARGA SATUAN'!$I$6,MATCH(RAB!C45,'HARGA SATUAN'!$C$7:$C$1495,0),0)),0,OFFSET('HARGA SATUAN'!$I$6,MATCH(RAB!C45,'HARGA SATUAN'!$C$7:$C$1495,0),0))</f>
        <v>7938</v>
      </c>
      <c r="H45" s="308">
        <f t="shared" ca="1" si="14"/>
        <v>0</v>
      </c>
      <c r="I45" s="308">
        <f t="shared" ca="1" si="15"/>
        <v>15876</v>
      </c>
      <c r="J45" s="308">
        <f t="shared" ca="1" si="16"/>
        <v>0</v>
      </c>
      <c r="K45" s="309">
        <f t="shared" ca="1" si="17"/>
        <v>15876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21">
        <v>5</v>
      </c>
      <c r="C46" s="722" t="s">
        <v>168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2">
        <f>F41*1</f>
        <v>1</v>
      </c>
      <c r="G46" s="307">
        <f ca="1">IF(ISERROR(OFFSET('HARGA SATUAN'!$I$6,MATCH(RAB!C46,'HARGA SATUAN'!$C$7:$C$1495,0),0)),0,OFFSET('HARGA SATUAN'!$I$6,MATCH(RAB!C46,'HARGA SATUAN'!$C$7:$C$1495,0),0))</f>
        <v>33600</v>
      </c>
      <c r="H46" s="308">
        <f t="shared" ca="1" si="14"/>
        <v>0</v>
      </c>
      <c r="I46" s="308">
        <f t="shared" ca="1" si="15"/>
        <v>33600</v>
      </c>
      <c r="J46" s="308">
        <f t="shared" ca="1" si="16"/>
        <v>0</v>
      </c>
      <c r="K46" s="309">
        <f t="shared" ca="1" si="17"/>
        <v>33600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21">
        <v>6</v>
      </c>
      <c r="C47" s="722" t="s">
        <v>173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2">
        <f>F41*2</f>
        <v>2</v>
      </c>
      <c r="G47" s="307">
        <f ca="1">IF(ISERROR(OFFSET('HARGA SATUAN'!$I$6,MATCH(RAB!C47,'HARGA SATUAN'!$C$7:$C$1495,0),0)),0,OFFSET('HARGA SATUAN'!$I$6,MATCH(RAB!C47,'HARGA SATUAN'!$C$7:$C$1495,0),0))</f>
        <v>45000</v>
      </c>
      <c r="H47" s="308">
        <f t="shared" ca="1" si="14"/>
        <v>0</v>
      </c>
      <c r="I47" s="308">
        <f t="shared" ca="1" si="15"/>
        <v>90000</v>
      </c>
      <c r="J47" s="308">
        <f t="shared" ca="1" si="16"/>
        <v>0</v>
      </c>
      <c r="K47" s="309">
        <f t="shared" ca="1" si="17"/>
        <v>90000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21">
        <v>7</v>
      </c>
      <c r="C48" s="722" t="s">
        <v>178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2">
        <f>F41*1</f>
        <v>1</v>
      </c>
      <c r="G48" s="307">
        <f ca="1">IF(ISERROR(OFFSET('HARGA SATUAN'!$I$6,MATCH(RAB!C48,'HARGA SATUAN'!$C$7:$C$1495,0),0)),0,OFFSET('HARGA SATUAN'!$I$6,MATCH(RAB!C48,'HARGA SATUAN'!$C$7:$C$1495,0),0))</f>
        <v>95000</v>
      </c>
      <c r="H48" s="308">
        <f t="shared" ca="1" si="14"/>
        <v>0</v>
      </c>
      <c r="I48" s="308">
        <f t="shared" ca="1" si="15"/>
        <v>95000</v>
      </c>
      <c r="J48" s="308">
        <f t="shared" ca="1" si="16"/>
        <v>0</v>
      </c>
      <c r="K48" s="309">
        <f t="shared" ca="1" si="17"/>
        <v>95000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21">
        <v>8</v>
      </c>
      <c r="C49" s="722" t="s">
        <v>593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2">
        <f>F41*1</f>
        <v>1</v>
      </c>
      <c r="G49" s="307">
        <f ca="1">IF(ISERROR(OFFSET('HARGA SATUAN'!$I$6,MATCH(RAB!C49,'HARGA SATUAN'!$C$7:$C$1495,0),0)),0,OFFSET('HARGA SATUAN'!$I$6,MATCH(RAB!C49,'HARGA SATUAN'!$C$7:$C$1495,0),0))</f>
        <v>380500</v>
      </c>
      <c r="H49" s="308">
        <f t="shared" ca="1" si="14"/>
        <v>0</v>
      </c>
      <c r="I49" s="308">
        <f t="shared" ca="1" si="15"/>
        <v>380500</v>
      </c>
      <c r="J49" s="308">
        <f t="shared" ca="1" si="16"/>
        <v>0</v>
      </c>
      <c r="K49" s="309">
        <f t="shared" ca="1" si="17"/>
        <v>380500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21">
        <v>9</v>
      </c>
      <c r="C50" s="722" t="s">
        <v>217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2">
        <f>F41*4</f>
        <v>4</v>
      </c>
      <c r="G50" s="307">
        <f ca="1">IF(ISERROR(OFFSET('HARGA SATUAN'!$I$6,MATCH(RAB!C50,'HARGA SATUAN'!$C$7:$C$1495,0),0)),0,OFFSET('HARGA SATUAN'!$I$6,MATCH(RAB!C50,'HARGA SATUAN'!$C$7:$C$1495,0),0))</f>
        <v>11400</v>
      </c>
      <c r="H50" s="308">
        <f t="shared" ca="1" si="14"/>
        <v>0</v>
      </c>
      <c r="I50" s="308">
        <f t="shared" ca="1" si="15"/>
        <v>45600</v>
      </c>
      <c r="J50" s="308">
        <f t="shared" ca="1" si="16"/>
        <v>0</v>
      </c>
      <c r="K50" s="309">
        <f t="shared" ca="1" si="17"/>
        <v>45600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21">
        <v>10</v>
      </c>
      <c r="C51" s="722" t="s">
        <v>247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52">
        <f>F41*1</f>
        <v>1</v>
      </c>
      <c r="G51" s="307">
        <f ca="1">IF(ISERROR(OFFSET('HARGA SATUAN'!$I$6,MATCH(RAB!C51,'HARGA SATUAN'!$C$7:$C$1495,0),0)),0,OFFSET('HARGA SATUAN'!$I$6,MATCH(RAB!C51,'HARGA SATUAN'!$C$7:$C$1495,0),0))</f>
        <v>57690</v>
      </c>
      <c r="H51" s="308">
        <f t="shared" ca="1" si="14"/>
        <v>0</v>
      </c>
      <c r="I51" s="308">
        <f t="shared" ca="1" si="15"/>
        <v>57690</v>
      </c>
      <c r="J51" s="308">
        <f t="shared" ca="1" si="16"/>
        <v>0</v>
      </c>
      <c r="K51" s="309">
        <f t="shared" ca="1" si="17"/>
        <v>57690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21">
        <v>11</v>
      </c>
      <c r="C52" s="722" t="s">
        <v>264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2">
        <f>F41*1</f>
        <v>1</v>
      </c>
      <c r="G52" s="307">
        <f ca="1">IF(ISERROR(OFFSET('HARGA SATUAN'!$I$6,MATCH(RAB!C52,'HARGA SATUAN'!$C$7:$C$1495,0),0)),0,OFFSET('HARGA SATUAN'!$I$6,MATCH(RAB!C52,'HARGA SATUAN'!$C$7:$C$1495,0),0))</f>
        <v>28000</v>
      </c>
      <c r="H52" s="308">
        <f t="shared" ca="1" si="14"/>
        <v>0</v>
      </c>
      <c r="I52" s="308">
        <f t="shared" ca="1" si="15"/>
        <v>28000</v>
      </c>
      <c r="J52" s="308">
        <f t="shared" ca="1" si="16"/>
        <v>0</v>
      </c>
      <c r="K52" s="309">
        <f t="shared" ca="1" si="17"/>
        <v>28000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21">
        <v>12</v>
      </c>
      <c r="C53" s="722" t="s">
        <v>38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Mtr</v>
      </c>
      <c r="F53" s="452">
        <f>6.2*F41</f>
        <v>6.2</v>
      </c>
      <c r="G53" s="307">
        <f ca="1">IF(ISERROR(OFFSET('HARGA SATUAN'!$I$6,MATCH(RAB!C53,'HARGA SATUAN'!$C$7:$C$1495,0),0)),0,OFFSET('HARGA SATUAN'!$I$6,MATCH(RAB!C53,'HARGA SATUAN'!$C$7:$C$1495,0),0))</f>
        <v>8550</v>
      </c>
      <c r="H53" s="308">
        <f t="shared" ca="1" si="14"/>
        <v>0</v>
      </c>
      <c r="I53" s="308">
        <f t="shared" ca="1" si="15"/>
        <v>53010</v>
      </c>
      <c r="J53" s="308">
        <f t="shared" ca="1" si="16"/>
        <v>0</v>
      </c>
      <c r="K53" s="309">
        <f t="shared" ca="1" si="17"/>
        <v>53010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721">
        <v>13</v>
      </c>
      <c r="C54" s="722" t="s">
        <v>26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2">
        <f>F41*5</f>
        <v>5</v>
      </c>
      <c r="G54" s="307">
        <f ca="1">IF(ISERROR(OFFSET('HARGA SATUAN'!$I$6,MATCH(RAB!C54,'HARGA SATUAN'!$C$7:$C$1495,0),0)),0,OFFSET('HARGA SATUAN'!$I$6,MATCH(RAB!C54,'HARGA SATUAN'!$C$7:$C$1495,0),0))</f>
        <v>2500</v>
      </c>
      <c r="H54" s="308">
        <f t="shared" ca="1" si="14"/>
        <v>0</v>
      </c>
      <c r="I54" s="308">
        <f t="shared" ca="1" si="15"/>
        <v>12500</v>
      </c>
      <c r="J54" s="308">
        <f t="shared" ca="1" si="16"/>
        <v>0</v>
      </c>
      <c r="K54" s="309">
        <f t="shared" ca="1" si="17"/>
        <v>12500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21">
        <v>14</v>
      </c>
      <c r="C55" s="722" t="s">
        <v>687</v>
      </c>
      <c r="D55" s="305" t="str">
        <f ca="1">IF(ISERROR(OFFSET('HARGA SATUAN'!$D$6,MATCH(RAB!C55,'HARGA SATUAN'!$C$7:$C$1495,0),0)),"",OFFSET('HARGA SATUAN'!$D$6,MATCH(RAB!C55,'HARGA SATUAN'!$C$7:$C$1495,0),0))</f>
        <v>JASA</v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52">
        <f>F41*1</f>
        <v>1</v>
      </c>
      <c r="G55" s="307">
        <f ca="1">IF(ISERROR(OFFSET('HARGA SATUAN'!$I$6,MATCH(RAB!C55,'HARGA SATUAN'!$C$7:$C$1495,0),0)),0,OFFSET('HARGA SATUAN'!$I$6,MATCH(RAB!C55,'HARGA SATUAN'!$C$7:$C$1495,0),0))</f>
        <v>111000</v>
      </c>
      <c r="H55" s="308">
        <f t="shared" ca="1" si="14"/>
        <v>0</v>
      </c>
      <c r="I55" s="308">
        <f t="shared" ca="1" si="15"/>
        <v>0</v>
      </c>
      <c r="J55" s="308">
        <f t="shared" ca="1" si="16"/>
        <v>111000</v>
      </c>
      <c r="K55" s="309">
        <f t="shared" ca="1" si="17"/>
        <v>111000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461"/>
      <c r="C56" s="462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2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9"/>
        <v>0</v>
      </c>
      <c r="I56" s="308">
        <f t="shared" ca="1" si="10"/>
        <v>0</v>
      </c>
      <c r="J56" s="308">
        <f t="shared" ca="1" si="11"/>
        <v>0</v>
      </c>
      <c r="K56" s="309">
        <f t="shared" ca="1" si="12"/>
        <v>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17" t="s">
        <v>1035</v>
      </c>
      <c r="C57" s="518" t="s">
        <v>1633</v>
      </c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52">
        <v>1</v>
      </c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9"/>
        <v>0</v>
      </c>
      <c r="I57" s="308">
        <f t="shared" ca="1" si="10"/>
        <v>0</v>
      </c>
      <c r="J57" s="308">
        <f t="shared" ca="1" si="11"/>
        <v>0</v>
      </c>
      <c r="K57" s="309">
        <f t="shared" ca="1" si="12"/>
        <v>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17">
        <v>1</v>
      </c>
      <c r="C58" s="518" t="s">
        <v>30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2">
        <f>F57*1</f>
        <v>1</v>
      </c>
      <c r="G58" s="307">
        <f ca="1">IF(ISERROR(OFFSET('HARGA SATUAN'!$I$6,MATCH(RAB!C58,'HARGA SATUAN'!$C$7:$C$1495,0),0)),0,OFFSET('HARGA SATUAN'!$I$6,MATCH(RAB!C58,'HARGA SATUAN'!$C$7:$C$1495,0),0))</f>
        <v>47459</v>
      </c>
      <c r="H58" s="308">
        <f t="shared" ca="1" si="9"/>
        <v>0</v>
      </c>
      <c r="I58" s="308">
        <f t="shared" ca="1" si="10"/>
        <v>47459</v>
      </c>
      <c r="J58" s="308">
        <f t="shared" ca="1" si="11"/>
        <v>0</v>
      </c>
      <c r="K58" s="309">
        <f t="shared" ca="1" si="12"/>
        <v>47459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17">
        <v>2</v>
      </c>
      <c r="C59" s="518" t="s">
        <v>32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Mtr</v>
      </c>
      <c r="F59" s="452">
        <f>F57*0.8</f>
        <v>0.8</v>
      </c>
      <c r="G59" s="307">
        <f ca="1">IF(ISERROR(OFFSET('HARGA SATUAN'!$I$6,MATCH(RAB!C59,'HARGA SATUAN'!$C$7:$C$1495,0),0)),0,OFFSET('HARGA SATUAN'!$I$6,MATCH(RAB!C59,'HARGA SATUAN'!$C$7:$C$1495,0),0))</f>
        <v>30000</v>
      </c>
      <c r="H59" s="308">
        <f t="shared" ca="1" si="9"/>
        <v>0</v>
      </c>
      <c r="I59" s="308">
        <f t="shared" ca="1" si="10"/>
        <v>24000</v>
      </c>
      <c r="J59" s="308">
        <f t="shared" ca="1" si="11"/>
        <v>0</v>
      </c>
      <c r="K59" s="309">
        <f t="shared" ca="1" si="12"/>
        <v>24000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17">
        <v>3</v>
      </c>
      <c r="C60" s="518" t="s">
        <v>33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2">
        <f>F57*1</f>
        <v>1</v>
      </c>
      <c r="G60" s="307">
        <f ca="1">IF(ISERROR(OFFSET('HARGA SATUAN'!$I$6,MATCH(RAB!C60,'HARGA SATUAN'!$C$7:$C$1495,0),0)),0,OFFSET('HARGA SATUAN'!$I$6,MATCH(RAB!C60,'HARGA SATUAN'!$C$7:$C$1495,0),0))</f>
        <v>9500</v>
      </c>
      <c r="H60" s="308">
        <f t="shared" ca="1" si="9"/>
        <v>0</v>
      </c>
      <c r="I60" s="308">
        <f t="shared" ca="1" si="10"/>
        <v>9500</v>
      </c>
      <c r="J60" s="308">
        <f t="shared" ca="1" si="11"/>
        <v>0</v>
      </c>
      <c r="K60" s="309">
        <f t="shared" ca="1" si="12"/>
        <v>9500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17">
        <v>4</v>
      </c>
      <c r="C61" s="518" t="s">
        <v>737</v>
      </c>
      <c r="D61" s="305" t="str">
        <f ca="1">IF(ISERROR(OFFSET('HARGA SATUAN'!$D$6,MATCH(RAB!C61,'HARGA SATUAN'!$C$7:$C$1495,0),0)),"",OFFSET('HARGA SATUAN'!$D$6,MATCH(RAB!C61,'HARGA SATUAN'!$C$7:$C$1495,0),0))</f>
        <v>JASA</v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452">
        <f>F57*1</f>
        <v>1</v>
      </c>
      <c r="G61" s="307">
        <f ca="1">IF(ISERROR(OFFSET('HARGA SATUAN'!$I$6,MATCH(RAB!C61,'HARGA SATUAN'!$C$7:$C$1495,0),0)),0,OFFSET('HARGA SATUAN'!$I$6,MATCH(RAB!C61,'HARGA SATUAN'!$C$7:$C$1495,0),0))</f>
        <v>16200</v>
      </c>
      <c r="H61" s="308">
        <f t="shared" ca="1" si="9"/>
        <v>0</v>
      </c>
      <c r="I61" s="308">
        <f t="shared" ca="1" si="10"/>
        <v>0</v>
      </c>
      <c r="J61" s="308">
        <f t="shared" ca="1" si="11"/>
        <v>16200</v>
      </c>
      <c r="K61" s="309">
        <f t="shared" ca="1" si="12"/>
        <v>16200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/>
      <c r="C62" s="319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19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ref="H62:H71" ca="1" si="18">IF(OR(D62="MDU",D62="MDU-KD"),(IF($O$3="RAB NON MDU","PLN KD",G62*F62)),0)</f>
        <v>0</v>
      </c>
      <c r="I62" s="308">
        <f t="shared" ref="I62:I71" ca="1" si="19">IF(D62="HDW",G62*F62,0)</f>
        <v>0</v>
      </c>
      <c r="J62" s="308">
        <f t="shared" ref="J62:J71" ca="1" si="20">IF(D62="JASA",G62*F62,0)</f>
        <v>0</v>
      </c>
      <c r="K62" s="309">
        <f t="shared" ref="K62:K71" ca="1" si="21">SUM(H62:J62)</f>
        <v>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 t="s">
        <v>1035</v>
      </c>
      <c r="C63" s="319" t="s">
        <v>1613</v>
      </c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>Unit</v>
      </c>
      <c r="F63" s="452">
        <v>2</v>
      </c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8"/>
        <v>0</v>
      </c>
      <c r="I63" s="308">
        <f t="shared" ca="1" si="19"/>
        <v>0</v>
      </c>
      <c r="J63" s="308">
        <f t="shared" ca="1" si="20"/>
        <v>0</v>
      </c>
      <c r="K63" s="309">
        <f t="shared" ca="1" si="21"/>
        <v>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318">
        <v>1</v>
      </c>
      <c r="C64" s="319" t="s">
        <v>29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52">
        <f>F63*1</f>
        <v>2</v>
      </c>
      <c r="G64" s="307">
        <f ca="1">IF(ISERROR(OFFSET('HARGA SATUAN'!$I$6,MATCH(RAB!C64,'HARGA SATUAN'!$C$7:$C$1495,0),0)),0,OFFSET('HARGA SATUAN'!$I$6,MATCH(RAB!C64,'HARGA SATUAN'!$C$7:$C$1495,0),0))</f>
        <v>185200</v>
      </c>
      <c r="H64" s="308">
        <f t="shared" ca="1" si="18"/>
        <v>0</v>
      </c>
      <c r="I64" s="308">
        <f t="shared" ca="1" si="19"/>
        <v>370400</v>
      </c>
      <c r="J64" s="308">
        <f t="shared" ca="1" si="20"/>
        <v>0</v>
      </c>
      <c r="K64" s="309">
        <f t="shared" ca="1" si="21"/>
        <v>370400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318">
        <v>2</v>
      </c>
      <c r="C65" s="319" t="s">
        <v>30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452">
        <f>F63*1</f>
        <v>2</v>
      </c>
      <c r="G65" s="307">
        <f ca="1">IF(ISERROR(OFFSET('HARGA SATUAN'!$I$6,MATCH(RAB!C65,'HARGA SATUAN'!$C$7:$C$1495,0),0)),0,OFFSET('HARGA SATUAN'!$I$6,MATCH(RAB!C65,'HARGA SATUAN'!$C$7:$C$1495,0),0))</f>
        <v>47459</v>
      </c>
      <c r="H65" s="308">
        <f t="shared" ca="1" si="18"/>
        <v>0</v>
      </c>
      <c r="I65" s="308">
        <f t="shared" ca="1" si="19"/>
        <v>94918</v>
      </c>
      <c r="J65" s="308">
        <f t="shared" ca="1" si="20"/>
        <v>0</v>
      </c>
      <c r="K65" s="309">
        <f t="shared" ca="1" si="21"/>
        <v>94918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318">
        <v>3</v>
      </c>
      <c r="C66" s="319" t="s">
        <v>31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452">
        <f>F63*1</f>
        <v>2</v>
      </c>
      <c r="G66" s="307">
        <f ca="1">IF(ISERROR(OFFSET('HARGA SATUAN'!$I$6,MATCH(RAB!C66,'HARGA SATUAN'!$C$7:$C$1495,0),0)),0,OFFSET('HARGA SATUAN'!$I$6,MATCH(RAB!C66,'HARGA SATUAN'!$C$7:$C$1495,0),0))</f>
        <v>4880</v>
      </c>
      <c r="H66" s="308">
        <f t="shared" ca="1" si="18"/>
        <v>0</v>
      </c>
      <c r="I66" s="308">
        <f t="shared" ca="1" si="19"/>
        <v>9760</v>
      </c>
      <c r="J66" s="308">
        <f t="shared" ca="1" si="20"/>
        <v>0</v>
      </c>
      <c r="K66" s="309">
        <f t="shared" ca="1" si="21"/>
        <v>9760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>
        <v>4</v>
      </c>
      <c r="C67" s="319" t="s">
        <v>32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Mtr</v>
      </c>
      <c r="F67" s="452">
        <f>F63*10</f>
        <v>20</v>
      </c>
      <c r="G67" s="307">
        <f ca="1">IF(ISERROR(OFFSET('HARGA SATUAN'!$I$6,MATCH(RAB!C67,'HARGA SATUAN'!$C$7:$C$1495,0),0)),0,OFFSET('HARGA SATUAN'!$I$6,MATCH(RAB!C67,'HARGA SATUAN'!$C$7:$C$1495,0),0))</f>
        <v>30000</v>
      </c>
      <c r="H67" s="308">
        <f t="shared" ca="1" si="18"/>
        <v>0</v>
      </c>
      <c r="I67" s="308">
        <f t="shared" ca="1" si="19"/>
        <v>600000</v>
      </c>
      <c r="J67" s="308">
        <f t="shared" ca="1" si="20"/>
        <v>0</v>
      </c>
      <c r="K67" s="309">
        <f t="shared" ca="1" si="21"/>
        <v>600000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>
        <v>5</v>
      </c>
      <c r="C68" s="319" t="s">
        <v>33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52">
        <f>F63*2</f>
        <v>4</v>
      </c>
      <c r="G68" s="307">
        <f ca="1">IF(ISERROR(OFFSET('HARGA SATUAN'!$I$6,MATCH(RAB!C68,'HARGA SATUAN'!$C$7:$C$1495,0),0)),0,OFFSET('HARGA SATUAN'!$I$6,MATCH(RAB!C68,'HARGA SATUAN'!$C$7:$C$1495,0),0))</f>
        <v>9500</v>
      </c>
      <c r="H68" s="308">
        <f t="shared" ca="1" si="18"/>
        <v>0</v>
      </c>
      <c r="I68" s="308">
        <f t="shared" ca="1" si="19"/>
        <v>38000</v>
      </c>
      <c r="J68" s="308">
        <f t="shared" ca="1" si="20"/>
        <v>0</v>
      </c>
      <c r="K68" s="309">
        <f t="shared" ca="1" si="21"/>
        <v>38000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>
        <v>6</v>
      </c>
      <c r="C69" s="319" t="s">
        <v>34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52">
        <f>F63*5.5</f>
        <v>11</v>
      </c>
      <c r="G69" s="307">
        <f ca="1">IF(ISERROR(OFFSET('HARGA SATUAN'!$I$6,MATCH(RAB!C69,'HARGA SATUAN'!$C$7:$C$1495,0),0)),0,OFFSET('HARGA SATUAN'!$I$6,MATCH(RAB!C69,'HARGA SATUAN'!$C$7:$C$1495,0),0))</f>
        <v>6100</v>
      </c>
      <c r="H69" s="308">
        <f t="shared" ca="1" si="18"/>
        <v>0</v>
      </c>
      <c r="I69" s="308">
        <f t="shared" ca="1" si="19"/>
        <v>67100</v>
      </c>
      <c r="J69" s="308">
        <f t="shared" ca="1" si="20"/>
        <v>0</v>
      </c>
      <c r="K69" s="309">
        <f t="shared" ca="1" si="21"/>
        <v>67100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>
        <v>7</v>
      </c>
      <c r="C70" s="319" t="s">
        <v>35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52">
        <f>F63*6</f>
        <v>12</v>
      </c>
      <c r="G70" s="307">
        <f ca="1">IF(ISERROR(OFFSET('HARGA SATUAN'!$I$6,MATCH(RAB!C70,'HARGA SATUAN'!$C$7:$C$1495,0),0)),0,OFFSET('HARGA SATUAN'!$I$6,MATCH(RAB!C70,'HARGA SATUAN'!$C$7:$C$1495,0),0))</f>
        <v>2300</v>
      </c>
      <c r="H70" s="308">
        <f t="shared" ca="1" si="18"/>
        <v>0</v>
      </c>
      <c r="I70" s="308">
        <f t="shared" ca="1" si="19"/>
        <v>27600</v>
      </c>
      <c r="J70" s="308">
        <f t="shared" ca="1" si="20"/>
        <v>0</v>
      </c>
      <c r="K70" s="309">
        <f t="shared" ca="1" si="21"/>
        <v>27600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8</v>
      </c>
      <c r="C71" s="319" t="s">
        <v>1618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Mtr</v>
      </c>
      <c r="F71" s="452">
        <f>F63*4.8</f>
        <v>9.6</v>
      </c>
      <c r="G71" s="307">
        <f ca="1">IF(ISERROR(OFFSET('HARGA SATUAN'!$I$6,MATCH(RAB!C71,'HARGA SATUAN'!$C$7:$C$1495,0),0)),0,OFFSET('HARGA SATUAN'!$I$6,MATCH(RAB!C71,'HARGA SATUAN'!$C$7:$C$1495,0),0))</f>
        <v>23310</v>
      </c>
      <c r="H71" s="308">
        <f t="shared" ca="1" si="18"/>
        <v>0</v>
      </c>
      <c r="I71" s="308">
        <f t="shared" ca="1" si="19"/>
        <v>223776</v>
      </c>
      <c r="J71" s="308">
        <f t="shared" ca="1" si="20"/>
        <v>0</v>
      </c>
      <c r="K71" s="309">
        <f t="shared" ca="1" si="21"/>
        <v>223776</v>
      </c>
      <c r="L71" s="316"/>
      <c r="M71" s="289" t="e">
        <f>IF(AND(F71&gt;0,#REF!=0),"",IF(AND(ISBLANK(F71)=FALSE,K71=0),"WARNING",""))</f>
        <v>#REF!</v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20">
        <v>9</v>
      </c>
      <c r="C72" s="417" t="s">
        <v>736</v>
      </c>
      <c r="D72" s="305" t="str">
        <f ca="1">IF(ISERROR(OFFSET('HARGA SATUAN'!$D$6,MATCH(RAB!C72,'HARGA SATUAN'!$C$7:$C$1495,0),0)),"",OFFSET('HARGA SATUAN'!$D$6,MATCH(RAB!C72,'HARGA SATUAN'!$C$7:$C$1495,0),0))</f>
        <v>JASA</v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52">
        <f>F63*1</f>
        <v>2</v>
      </c>
      <c r="G72" s="307">
        <f ca="1">IF(ISERROR(OFFSET('HARGA SATUAN'!$I$6,MATCH(RAB!C72,'HARGA SATUAN'!$C$7:$C$1495,0),0)),0,OFFSET('HARGA SATUAN'!$I$6,MATCH(RAB!C72,'HARGA SATUAN'!$C$7:$C$1495,0),0))</f>
        <v>65400</v>
      </c>
      <c r="H72" s="308">
        <f t="shared" ref="H72:H93" ca="1" si="22">IF(OR(D72="MDU",D72="MDU-KD"),(IF($O$3="RAB NON MDU","PLN KD",G72*F72)),0)</f>
        <v>0</v>
      </c>
      <c r="I72" s="308">
        <f t="shared" ref="I72:I93" ca="1" si="23">IF(D72="HDW",G72*F72,0)</f>
        <v>0</v>
      </c>
      <c r="J72" s="308">
        <f t="shared" ref="J72:J93" ca="1" si="24">IF(D72="JASA",G72*F72,0)</f>
        <v>130800</v>
      </c>
      <c r="K72" s="309">
        <f t="shared" ref="K72:K93" ca="1" si="25">SUM(H72:J72)</f>
        <v>130800</v>
      </c>
      <c r="L72" s="316"/>
      <c r="M72" s="289" t="e">
        <f>IF(AND(F72&gt;0,#REF!=0),"",IF(AND(ISBLANK(F72)=FALSE,K72=0),"WARNING",""))</f>
        <v>#REF!</v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20">
        <v>10</v>
      </c>
      <c r="C73" s="417" t="s">
        <v>1617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54"/>
      <c r="G73" s="307">
        <f ca="1">IF(ISERROR(OFFSET('HARGA SATUAN'!$I$6,MATCH(RAB!C73,'HARGA SATUAN'!$C$7:$C$1495,0),0)),0,OFFSET('HARGA SATUAN'!$I$6,MATCH(RAB!C73,'HARGA SATUAN'!$C$7:$C$1495,0),0))</f>
        <v>49000</v>
      </c>
      <c r="H73" s="308">
        <f t="shared" ca="1" si="22"/>
        <v>0</v>
      </c>
      <c r="I73" s="308">
        <f t="shared" ca="1" si="23"/>
        <v>0</v>
      </c>
      <c r="J73" s="308">
        <f t="shared" ca="1" si="24"/>
        <v>0</v>
      </c>
      <c r="K73" s="309">
        <f t="shared" ca="1" si="25"/>
        <v>0</v>
      </c>
      <c r="L73" s="316"/>
      <c r="M73" s="289" t="str">
        <f t="shared" ref="M73:M109" ca="1" si="26">IF(AND(F73&gt;0,F72=0),"",IF(AND(ISBLANK(F73)=FALSE,K73=0),"WARNING",""))</f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49"/>
      <c r="C74" s="45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4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22"/>
        <v>0</v>
      </c>
      <c r="I74" s="308">
        <f t="shared" ca="1" si="23"/>
        <v>0</v>
      </c>
      <c r="J74" s="308">
        <f t="shared" ca="1" si="24"/>
        <v>0</v>
      </c>
      <c r="K74" s="309">
        <f t="shared" ca="1" si="25"/>
        <v>0</v>
      </c>
      <c r="L74" s="316"/>
      <c r="M74" s="289" t="str">
        <f t="shared" ca="1" si="26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49"/>
      <c r="C75" s="450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4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22"/>
        <v>0</v>
      </c>
      <c r="I75" s="308">
        <f t="shared" ca="1" si="23"/>
        <v>0</v>
      </c>
      <c r="J75" s="308">
        <f t="shared" ca="1" si="24"/>
        <v>0</v>
      </c>
      <c r="K75" s="309">
        <f t="shared" ca="1" si="25"/>
        <v>0</v>
      </c>
      <c r="L75" s="316"/>
      <c r="M75" s="289" t="str">
        <f t="shared" ca="1" si="26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49"/>
      <c r="C76" s="450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4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22"/>
        <v>0</v>
      </c>
      <c r="I76" s="308">
        <f t="shared" ca="1" si="23"/>
        <v>0</v>
      </c>
      <c r="J76" s="308">
        <f t="shared" ca="1" si="24"/>
        <v>0</v>
      </c>
      <c r="K76" s="309">
        <f t="shared" ca="1" si="25"/>
        <v>0</v>
      </c>
      <c r="L76" s="316"/>
      <c r="M76" s="289" t="str">
        <f t="shared" ca="1" si="26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49"/>
      <c r="C77" s="450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4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22"/>
        <v>0</v>
      </c>
      <c r="I77" s="308">
        <f t="shared" ca="1" si="23"/>
        <v>0</v>
      </c>
      <c r="J77" s="308">
        <f t="shared" ca="1" si="24"/>
        <v>0</v>
      </c>
      <c r="K77" s="309">
        <f t="shared" ca="1" si="25"/>
        <v>0</v>
      </c>
      <c r="L77" s="316"/>
      <c r="M77" s="289" t="str">
        <f t="shared" ca="1" si="26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49"/>
      <c r="C78" s="450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4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22"/>
        <v>0</v>
      </c>
      <c r="I78" s="308">
        <f t="shared" ca="1" si="23"/>
        <v>0</v>
      </c>
      <c r="J78" s="308">
        <f t="shared" ca="1" si="24"/>
        <v>0</v>
      </c>
      <c r="K78" s="309">
        <f t="shared" ca="1" si="25"/>
        <v>0</v>
      </c>
      <c r="L78" s="316"/>
      <c r="M78" s="289" t="str">
        <f t="shared" ca="1" si="26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49"/>
      <c r="C79" s="45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4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2"/>
        <v>0</v>
      </c>
      <c r="I79" s="308">
        <f t="shared" ca="1" si="23"/>
        <v>0</v>
      </c>
      <c r="J79" s="308">
        <f t="shared" ca="1" si="24"/>
        <v>0</v>
      </c>
      <c r="K79" s="309">
        <f t="shared" ca="1" si="25"/>
        <v>0</v>
      </c>
      <c r="L79" s="316"/>
      <c r="M79" s="289" t="str">
        <f t="shared" ca="1" si="26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49"/>
      <c r="C80" s="450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4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2"/>
        <v>0</v>
      </c>
      <c r="I80" s="308">
        <f t="shared" ca="1" si="23"/>
        <v>0</v>
      </c>
      <c r="J80" s="308">
        <f t="shared" ca="1" si="24"/>
        <v>0</v>
      </c>
      <c r="K80" s="309">
        <f t="shared" ca="1" si="25"/>
        <v>0</v>
      </c>
      <c r="L80" s="316"/>
      <c r="M80" s="289" t="str">
        <f t="shared" ca="1" si="26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49"/>
      <c r="C81" s="450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4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22"/>
        <v>0</v>
      </c>
      <c r="I81" s="308">
        <f t="shared" ca="1" si="23"/>
        <v>0</v>
      </c>
      <c r="J81" s="308">
        <f t="shared" ca="1" si="24"/>
        <v>0</v>
      </c>
      <c r="K81" s="309">
        <f t="shared" ca="1" si="25"/>
        <v>0</v>
      </c>
      <c r="L81" s="316"/>
      <c r="M81" s="289" t="str">
        <f t="shared" ca="1" si="26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49"/>
      <c r="C82" s="450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54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22"/>
        <v>0</v>
      </c>
      <c r="I82" s="308">
        <f t="shared" ca="1" si="23"/>
        <v>0</v>
      </c>
      <c r="J82" s="308">
        <f t="shared" ca="1" si="24"/>
        <v>0</v>
      </c>
      <c r="K82" s="309">
        <f t="shared" ca="1" si="25"/>
        <v>0</v>
      </c>
      <c r="L82" s="316"/>
      <c r="M82" s="289" t="str">
        <f t="shared" ca="1" si="26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49"/>
      <c r="C83" s="450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4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22"/>
        <v>0</v>
      </c>
      <c r="I83" s="308">
        <f t="shared" ca="1" si="23"/>
        <v>0</v>
      </c>
      <c r="J83" s="308">
        <f t="shared" ca="1" si="24"/>
        <v>0</v>
      </c>
      <c r="K83" s="309">
        <f t="shared" ca="1" si="25"/>
        <v>0</v>
      </c>
      <c r="L83" s="316"/>
      <c r="M83" s="289" t="str">
        <f t="shared" ca="1" si="26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49"/>
      <c r="C84" s="450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4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22"/>
        <v>0</v>
      </c>
      <c r="I84" s="308">
        <f t="shared" ca="1" si="23"/>
        <v>0</v>
      </c>
      <c r="J84" s="308">
        <f t="shared" ca="1" si="24"/>
        <v>0</v>
      </c>
      <c r="K84" s="309">
        <f t="shared" ca="1" si="25"/>
        <v>0</v>
      </c>
      <c r="L84" s="316"/>
      <c r="M84" s="289" t="str">
        <f t="shared" ca="1" si="26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49"/>
      <c r="C85" s="450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4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22"/>
        <v>0</v>
      </c>
      <c r="I85" s="308">
        <f t="shared" ca="1" si="23"/>
        <v>0</v>
      </c>
      <c r="J85" s="308">
        <f t="shared" ca="1" si="24"/>
        <v>0</v>
      </c>
      <c r="K85" s="309">
        <f t="shared" ca="1" si="25"/>
        <v>0</v>
      </c>
      <c r="L85" s="316"/>
      <c r="M85" s="289" t="str">
        <f t="shared" ca="1" si="26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449"/>
      <c r="C86" s="450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4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22"/>
        <v>0</v>
      </c>
      <c r="I86" s="308">
        <f t="shared" ca="1" si="23"/>
        <v>0</v>
      </c>
      <c r="J86" s="308">
        <f t="shared" ca="1" si="24"/>
        <v>0</v>
      </c>
      <c r="K86" s="309">
        <f t="shared" ca="1" si="25"/>
        <v>0</v>
      </c>
      <c r="L86" s="316"/>
      <c r="M86" s="289" t="str">
        <f t="shared" ca="1" si="26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idden="1">
      <c r="A87" s="283"/>
      <c r="B87" s="449"/>
      <c r="C87" s="450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54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22"/>
        <v>0</v>
      </c>
      <c r="I87" s="308">
        <f t="shared" ca="1" si="23"/>
        <v>0</v>
      </c>
      <c r="J87" s="308">
        <f t="shared" ca="1" si="24"/>
        <v>0</v>
      </c>
      <c r="K87" s="309">
        <f t="shared" ca="1" si="25"/>
        <v>0</v>
      </c>
      <c r="L87" s="316"/>
      <c r="M87" s="289" t="str">
        <f t="shared" ca="1" si="26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449"/>
      <c r="C88" s="450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4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22"/>
        <v>0</v>
      </c>
      <c r="I88" s="308">
        <f t="shared" ca="1" si="23"/>
        <v>0</v>
      </c>
      <c r="J88" s="308">
        <f t="shared" ca="1" si="24"/>
        <v>0</v>
      </c>
      <c r="K88" s="309">
        <f t="shared" ca="1" si="25"/>
        <v>0</v>
      </c>
      <c r="L88" s="316"/>
      <c r="M88" s="289" t="str">
        <f t="shared" ca="1" si="26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idden="1">
      <c r="A89" s="283"/>
      <c r="B89" s="449"/>
      <c r="C89" s="450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54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22"/>
        <v>0</v>
      </c>
      <c r="I89" s="308">
        <f t="shared" ca="1" si="23"/>
        <v>0</v>
      </c>
      <c r="J89" s="308">
        <f t="shared" ca="1" si="24"/>
        <v>0</v>
      </c>
      <c r="K89" s="309">
        <f t="shared" ca="1" si="25"/>
        <v>0</v>
      </c>
      <c r="L89" s="316"/>
      <c r="M89" s="289" t="str">
        <f t="shared" ca="1" si="26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idden="1">
      <c r="A90" s="283"/>
      <c r="B90" s="449"/>
      <c r="C90" s="450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4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22"/>
        <v>0</v>
      </c>
      <c r="I90" s="308">
        <f t="shared" ca="1" si="23"/>
        <v>0</v>
      </c>
      <c r="J90" s="308">
        <f t="shared" ca="1" si="24"/>
        <v>0</v>
      </c>
      <c r="K90" s="309">
        <f t="shared" ca="1" si="25"/>
        <v>0</v>
      </c>
      <c r="L90" s="316"/>
      <c r="M90" s="289" t="str">
        <f t="shared" ca="1" si="26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449"/>
      <c r="C91" s="450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54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22"/>
        <v>0</v>
      </c>
      <c r="I91" s="308">
        <f t="shared" ca="1" si="23"/>
        <v>0</v>
      </c>
      <c r="J91" s="308">
        <f t="shared" ca="1" si="24"/>
        <v>0</v>
      </c>
      <c r="K91" s="309">
        <f t="shared" ca="1" si="25"/>
        <v>0</v>
      </c>
      <c r="L91" s="316"/>
      <c r="M91" s="289" t="str">
        <f t="shared" ca="1" si="26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49"/>
      <c r="C92" s="450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54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22"/>
        <v>0</v>
      </c>
      <c r="I92" s="308">
        <f t="shared" ca="1" si="23"/>
        <v>0</v>
      </c>
      <c r="J92" s="308">
        <f t="shared" ca="1" si="24"/>
        <v>0</v>
      </c>
      <c r="K92" s="309">
        <f t="shared" ca="1" si="25"/>
        <v>0</v>
      </c>
      <c r="L92" s="316"/>
      <c r="M92" s="289" t="str">
        <f t="shared" ca="1" si="26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49"/>
      <c r="C93" s="450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54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22"/>
        <v>0</v>
      </c>
      <c r="I93" s="308">
        <f t="shared" ca="1" si="23"/>
        <v>0</v>
      </c>
      <c r="J93" s="308">
        <f t="shared" ca="1" si="24"/>
        <v>0</v>
      </c>
      <c r="K93" s="309">
        <f t="shared" ca="1" si="25"/>
        <v>0</v>
      </c>
      <c r="L93" s="316"/>
      <c r="M93" s="289" t="str">
        <f t="shared" ca="1" si="26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18" t="s">
        <v>1602</v>
      </c>
      <c r="C94" s="421" t="s">
        <v>1604</v>
      </c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5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ref="H94" ca="1" si="27">IF(OR(D94="MDU",D94="MDU-KD"),(IF($O$3="RAB NON MDU","PLN KD",G94*F94)),0)</f>
        <v>0</v>
      </c>
      <c r="I94" s="308">
        <f t="shared" ref="I94" ca="1" si="28">IF(D94="HDW",G94*F94,0)</f>
        <v>0</v>
      </c>
      <c r="J94" s="308">
        <f t="shared" ref="J94" ca="1" si="29">IF(D94="JASA",G94*F94,0)</f>
        <v>0</v>
      </c>
      <c r="K94" s="309">
        <f t="shared" ref="K94" ca="1" si="30">SUM(H94:J94)</f>
        <v>0</v>
      </c>
      <c r="L94" s="316"/>
      <c r="M94" s="289" t="str">
        <f t="shared" ca="1" si="26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/>
      <c r="C95" s="319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19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ref="H95:H112" ca="1" si="31">IF(OR(D95="MDU",D95="MDU-KD"),(IF($O$3="RAB NON MDU","PLN KD",G95*F95)),0)</f>
        <v>0</v>
      </c>
      <c r="I95" s="308">
        <f t="shared" ref="I95:I112" ca="1" si="32">IF(D95="HDW",G95*F95,0)</f>
        <v>0</v>
      </c>
      <c r="J95" s="308">
        <f t="shared" ref="J95:J112" ca="1" si="33">IF(D95="JASA",G95*F95,0)</f>
        <v>0</v>
      </c>
      <c r="K95" s="309">
        <f t="shared" ref="K95:K112" ca="1" si="34">SUM(H95:J95)</f>
        <v>0</v>
      </c>
      <c r="L95" s="316"/>
      <c r="M95" s="289" t="e">
        <f>IF(AND(F95&gt;0,#REF!=0),"",IF(AND(ISBLANK(F95)=FALSE,K95=0),"WARNING",""))</f>
        <v>#REF!</v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418" t="s">
        <v>1610</v>
      </c>
      <c r="C96" s="421" t="s">
        <v>1606</v>
      </c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56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ref="H96:H111" ca="1" si="35">IF(OR(D96="MDU",D96="MDU-KD"),(IF($O$3="RAB NON MDU","PLN KD",G96*F96)),0)</f>
        <v>0</v>
      </c>
      <c r="I96" s="308">
        <f t="shared" ref="I96:I111" ca="1" si="36">IF(D96="HDW",G96*F96,0)</f>
        <v>0</v>
      </c>
      <c r="J96" s="308">
        <f t="shared" ref="J96:J111" ca="1" si="37">IF(D96="JASA",G96*F96,0)</f>
        <v>0</v>
      </c>
      <c r="K96" s="309">
        <f t="shared" ref="K96:K111" ca="1" si="38">SUM(H96:J96)</f>
        <v>0</v>
      </c>
      <c r="L96" s="316"/>
      <c r="M96" s="289" t="str">
        <f t="shared" ca="1" si="26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465" t="s">
        <v>1035</v>
      </c>
      <c r="C97" s="466" t="s">
        <v>1642</v>
      </c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>Unit</v>
      </c>
      <c r="F97" s="464">
        <v>1</v>
      </c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35"/>
        <v>0</v>
      </c>
      <c r="I97" s="308">
        <f t="shared" ca="1" si="36"/>
        <v>0</v>
      </c>
      <c r="J97" s="308">
        <f t="shared" ca="1" si="37"/>
        <v>0</v>
      </c>
      <c r="K97" s="309">
        <f t="shared" ca="1" si="38"/>
        <v>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t="30">
      <c r="A98" s="283"/>
      <c r="B98" s="721">
        <v>1</v>
      </c>
      <c r="C98" s="109" t="s">
        <v>1196</v>
      </c>
      <c r="D98" s="305" t="str">
        <f ca="1">IF(ISERROR(OFFSET('HARGA SATUAN'!$D$6,MATCH(RAB!C98,'HARGA SATUAN'!$C$7:$C$1495,0),0)),"",OFFSET('HARGA SATUAN'!$D$6,MATCH(RAB!C98,'HARGA SATUAN'!$C$7:$C$1495,0),0))</f>
        <v>MDU-KD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464">
        <f>F97*1</f>
        <v>1</v>
      </c>
      <c r="G98" s="307">
        <f ca="1">IF(ISERROR(OFFSET('HARGA SATUAN'!$I$6,MATCH(RAB!C98,'HARGA SATUAN'!$C$7:$C$1495,0),0)),0,OFFSET('HARGA SATUAN'!$I$6,MATCH(RAB!C98,'HARGA SATUAN'!$C$7:$C$1495,0),0))</f>
        <v>1427400</v>
      </c>
      <c r="H98" s="308">
        <f t="shared" ca="1" si="35"/>
        <v>1427400</v>
      </c>
      <c r="I98" s="308">
        <f t="shared" ca="1" si="36"/>
        <v>0</v>
      </c>
      <c r="J98" s="308">
        <f t="shared" ca="1" si="37"/>
        <v>0</v>
      </c>
      <c r="K98" s="309">
        <f t="shared" ca="1" si="38"/>
        <v>1427400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721">
        <v>2</v>
      </c>
      <c r="C99" s="723" t="s">
        <v>513</v>
      </c>
      <c r="D99" s="305" t="str">
        <f ca="1">IF(ISERROR(OFFSET('HARGA SATUAN'!$D$6,MATCH(RAB!C99,'HARGA SATUAN'!$C$7:$C$1495,0),0)),"",OFFSET('HARGA SATUAN'!$D$6,MATCH(RAB!C99,'HARGA SATUAN'!$C$7:$C$1495,0),0))</f>
        <v>MDU-KD</v>
      </c>
      <c r="E99" s="306" t="str">
        <f ca="1">IF(B99="+","Unit",IF(ISERROR(OFFSET('HARGA SATUAN'!$E$6,MATCH(RAB!C99,'HARGA SATUAN'!$C$7:$C$1495,0),0)),"",OFFSET('HARGA SATUAN'!$E$6,MATCH(RAB!C99,'HARGA SATUAN'!$C$7:$C$1495,0),0)))</f>
        <v>Unit</v>
      </c>
      <c r="F99" s="464">
        <f>F97*1</f>
        <v>1</v>
      </c>
      <c r="G99" s="307">
        <f ca="1">IF(ISERROR(OFFSET('HARGA SATUAN'!$I$6,MATCH(RAB!C99,'HARGA SATUAN'!$C$7:$C$1495,0),0)),0,OFFSET('HARGA SATUAN'!$I$6,MATCH(RAB!C99,'HARGA SATUAN'!$C$7:$C$1495,0),0))</f>
        <v>3564900</v>
      </c>
      <c r="H99" s="308">
        <f t="shared" ca="1" si="35"/>
        <v>3564900</v>
      </c>
      <c r="I99" s="308">
        <f t="shared" ca="1" si="36"/>
        <v>0</v>
      </c>
      <c r="J99" s="308">
        <f t="shared" ca="1" si="37"/>
        <v>0</v>
      </c>
      <c r="K99" s="309">
        <f t="shared" ca="1" si="38"/>
        <v>3564900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721">
        <v>3</v>
      </c>
      <c r="C100" s="723" t="s">
        <v>1141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Unit</v>
      </c>
      <c r="F100" s="464">
        <f>F97*1</f>
        <v>1</v>
      </c>
      <c r="G100" s="307">
        <f ca="1">IF(ISERROR(OFFSET('HARGA SATUAN'!$I$6,MATCH(RAB!C100,'HARGA SATUAN'!$C$7:$C$1495,0),0)),0,OFFSET('HARGA SATUAN'!$I$6,MATCH(RAB!C100,'HARGA SATUAN'!$C$7:$C$1495,0),0))</f>
        <v>1113900</v>
      </c>
      <c r="H100" s="308">
        <f t="shared" ca="1" si="35"/>
        <v>0</v>
      </c>
      <c r="I100" s="308">
        <f t="shared" ca="1" si="36"/>
        <v>1113900</v>
      </c>
      <c r="J100" s="308">
        <f t="shared" ca="1" si="37"/>
        <v>0</v>
      </c>
      <c r="K100" s="309">
        <f t="shared" ca="1" si="38"/>
        <v>1113900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721">
        <v>4</v>
      </c>
      <c r="C101" s="109" t="s">
        <v>1402</v>
      </c>
      <c r="D101" s="305" t="str">
        <f ca="1">IF(ISERROR(OFFSET('HARGA SATUAN'!$D$6,MATCH(RAB!C101,'HARGA SATUAN'!$C$7:$C$1495,0),0)),"",OFFSET('HARGA SATUAN'!$D$6,MATCH(RAB!C101,'HARGA SATUAN'!$C$7:$C$1495,0),0))</f>
        <v>MDU-KD</v>
      </c>
      <c r="E101" s="306" t="str">
        <f ca="1">IF(B101="+","Unit",IF(ISERROR(OFFSET('HARGA SATUAN'!$E$6,MATCH(RAB!C101,'HARGA SATUAN'!$C$7:$C$1495,0),0)),"",OFFSET('HARGA SATUAN'!$E$6,MATCH(RAB!C101,'HARGA SATUAN'!$C$7:$C$1495,0),0)))</f>
        <v>Mtr</v>
      </c>
      <c r="F101" s="464">
        <v>45</v>
      </c>
      <c r="G101" s="307">
        <f ca="1">IF(ISERROR(OFFSET('HARGA SATUAN'!$I$6,MATCH(RAB!C101,'HARGA SATUAN'!$C$7:$C$1495,0),0)),0,OFFSET('HARGA SATUAN'!$I$6,MATCH(RAB!C101,'HARGA SATUAN'!$C$7:$C$1495,0),0))</f>
        <v>30400</v>
      </c>
      <c r="H101" s="308">
        <f t="shared" ca="1" si="35"/>
        <v>1368000</v>
      </c>
      <c r="I101" s="308">
        <f t="shared" ca="1" si="36"/>
        <v>0</v>
      </c>
      <c r="J101" s="308">
        <f t="shared" ca="1" si="37"/>
        <v>0</v>
      </c>
      <c r="K101" s="309">
        <f t="shared" ca="1" si="38"/>
        <v>1368000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721">
        <v>5</v>
      </c>
      <c r="C102" s="723" t="s">
        <v>799</v>
      </c>
      <c r="D102" s="305" t="str">
        <f ca="1">IF(ISERROR(OFFSET('HARGA SATUAN'!$D$6,MATCH(RAB!C102,'HARGA SATUAN'!$C$7:$C$1495,0),0)),"",OFFSET('HARGA SATUAN'!$D$6,MATCH(RAB!C102,'HARGA SATUAN'!$C$7:$C$1495,0),0))</f>
        <v>JASA</v>
      </c>
      <c r="E102" s="306" t="str">
        <f ca="1">IF(B102="+","Unit",IF(ISERROR(OFFSET('HARGA SATUAN'!$E$6,MATCH(RAB!C102,'HARGA SATUAN'!$C$7:$C$1495,0),0)),"",OFFSET('HARGA SATUAN'!$E$6,MATCH(RAB!C102,'HARGA SATUAN'!$C$7:$C$1495,0),0)))</f>
        <v>Unit</v>
      </c>
      <c r="F102" s="464">
        <f>F97*1</f>
        <v>1</v>
      </c>
      <c r="G102" s="307">
        <f ca="1">IF(ISERROR(OFFSET('HARGA SATUAN'!$I$6,MATCH(RAB!C102,'HARGA SATUAN'!$C$7:$C$1495,0),0)),0,OFFSET('HARGA SATUAN'!$I$6,MATCH(RAB!C102,'HARGA SATUAN'!$C$7:$C$1495,0),0))</f>
        <v>106400</v>
      </c>
      <c r="H102" s="308">
        <f t="shared" ref="H102" ca="1" si="39">IF(OR(D102="MDU",D102="MDU-KD"),(IF($O$3="RAB NON MDU","PLN KD",G102*F102)),0)</f>
        <v>0</v>
      </c>
      <c r="I102" s="308">
        <f t="shared" ref="I102" ca="1" si="40">IF(D102="HDW",G102*F102,0)</f>
        <v>0</v>
      </c>
      <c r="J102" s="308">
        <f t="shared" ref="J102" ca="1" si="41">IF(D102="JASA",G102*F102,0)</f>
        <v>106400</v>
      </c>
      <c r="K102" s="309">
        <f t="shared" ref="K102" ca="1" si="42">SUM(H102:J102)</f>
        <v>106400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318"/>
      <c r="C103" s="319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3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35"/>
        <v>0</v>
      </c>
      <c r="I103" s="308">
        <f t="shared" ca="1" si="36"/>
        <v>0</v>
      </c>
      <c r="J103" s="308">
        <f t="shared" ca="1" si="37"/>
        <v>0</v>
      </c>
      <c r="K103" s="309">
        <f t="shared" ca="1" si="38"/>
        <v>0</v>
      </c>
      <c r="L103" s="316"/>
      <c r="M103" s="289" t="str">
        <f ca="1">IF(AND(F103&gt;0,F96=0),"",IF(AND(ISBLANK(F103)=FALSE,K103=0),"WARNING",""))</f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318" t="s">
        <v>1035</v>
      </c>
      <c r="C104" s="319" t="s">
        <v>1621</v>
      </c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>Unit</v>
      </c>
      <c r="F104" s="452">
        <v>1</v>
      </c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35"/>
        <v>0</v>
      </c>
      <c r="I104" s="308">
        <f t="shared" ca="1" si="36"/>
        <v>0</v>
      </c>
      <c r="J104" s="308">
        <f t="shared" ca="1" si="37"/>
        <v>0</v>
      </c>
      <c r="K104" s="309">
        <f t="shared" ca="1" si="38"/>
        <v>0</v>
      </c>
      <c r="L104" s="316"/>
      <c r="M104" s="289" t="str">
        <f t="shared" si="26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318">
        <v>1</v>
      </c>
      <c r="C105" s="319" t="s">
        <v>29</v>
      </c>
      <c r="D105" s="305" t="str">
        <f ca="1">IF(ISERROR(OFFSET('HARGA SATUAN'!$D$6,MATCH(RAB!C105,'HARGA SATUAN'!$C$7:$C$1495,0),0)),"",OFFSET('HARGA SATUAN'!$D$6,MATCH(RAB!C105,'HARGA SATUAN'!$C$7:$C$1495,0),0))</f>
        <v>HDW</v>
      </c>
      <c r="E105" s="306" t="str">
        <f ca="1">IF(B105="+","Unit",IF(ISERROR(OFFSET('HARGA SATUAN'!$E$6,MATCH(RAB!C105,'HARGA SATUAN'!$C$7:$C$1495,0),0)),"",OFFSET('HARGA SATUAN'!$E$6,MATCH(RAB!C105,'HARGA SATUAN'!$C$7:$C$1495,0),0)))</f>
        <v>Bh</v>
      </c>
      <c r="F105" s="452">
        <f>F104*1</f>
        <v>1</v>
      </c>
      <c r="G105" s="307">
        <f ca="1">IF(ISERROR(OFFSET('HARGA SATUAN'!$I$6,MATCH(RAB!C105,'HARGA SATUAN'!$C$7:$C$1495,0),0)),0,OFFSET('HARGA SATUAN'!$I$6,MATCH(RAB!C105,'HARGA SATUAN'!$C$7:$C$1495,0),0))</f>
        <v>185200</v>
      </c>
      <c r="H105" s="308">
        <f t="shared" ca="1" si="35"/>
        <v>0</v>
      </c>
      <c r="I105" s="308">
        <f t="shared" ca="1" si="36"/>
        <v>185200</v>
      </c>
      <c r="J105" s="308">
        <f t="shared" ca="1" si="37"/>
        <v>0</v>
      </c>
      <c r="K105" s="309">
        <f t="shared" ca="1" si="38"/>
        <v>185200</v>
      </c>
      <c r="L105" s="316"/>
      <c r="M105" s="289" t="str">
        <f t="shared" ca="1" si="26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318">
        <v>2</v>
      </c>
      <c r="C106" s="319" t="s">
        <v>30</v>
      </c>
      <c r="D106" s="305" t="str">
        <f ca="1">IF(ISERROR(OFFSET('HARGA SATUAN'!$D$6,MATCH(RAB!C106,'HARGA SATUAN'!$C$7:$C$1495,0),0)),"",OFFSET('HARGA SATUAN'!$D$6,MATCH(RAB!C106,'HARGA SATUAN'!$C$7:$C$1495,0),0))</f>
        <v>HDW</v>
      </c>
      <c r="E106" s="306" t="str">
        <f ca="1">IF(B106="+","Unit",IF(ISERROR(OFFSET('HARGA SATUAN'!$E$6,MATCH(RAB!C106,'HARGA SATUAN'!$C$7:$C$1495,0),0)),"",OFFSET('HARGA SATUAN'!$E$6,MATCH(RAB!C106,'HARGA SATUAN'!$C$7:$C$1495,0),0)))</f>
        <v>Bh</v>
      </c>
      <c r="F106" s="452">
        <f>F104*1</f>
        <v>1</v>
      </c>
      <c r="G106" s="307">
        <f ca="1">IF(ISERROR(OFFSET('HARGA SATUAN'!$I$6,MATCH(RAB!C106,'HARGA SATUAN'!$C$7:$C$1495,0),0)),0,OFFSET('HARGA SATUAN'!$I$6,MATCH(RAB!C106,'HARGA SATUAN'!$C$7:$C$1495,0),0))</f>
        <v>47459</v>
      </c>
      <c r="H106" s="308">
        <f t="shared" ca="1" si="35"/>
        <v>0</v>
      </c>
      <c r="I106" s="308">
        <f t="shared" ca="1" si="36"/>
        <v>47459</v>
      </c>
      <c r="J106" s="308">
        <f t="shared" ca="1" si="37"/>
        <v>0</v>
      </c>
      <c r="K106" s="309">
        <f t="shared" ca="1" si="38"/>
        <v>47459</v>
      </c>
      <c r="L106" s="316"/>
      <c r="M106" s="289" t="str">
        <f t="shared" ca="1" si="26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318">
        <v>3</v>
      </c>
      <c r="C107" s="319" t="s">
        <v>32</v>
      </c>
      <c r="D107" s="305" t="str">
        <f ca="1">IF(ISERROR(OFFSET('HARGA SATUAN'!$D$6,MATCH(RAB!C107,'HARGA SATUAN'!$C$7:$C$1495,0),0)),"",OFFSET('HARGA SATUAN'!$D$6,MATCH(RAB!C107,'HARGA SATUAN'!$C$7:$C$1495,0),0))</f>
        <v>HDW</v>
      </c>
      <c r="E107" s="306" t="str">
        <f ca="1">IF(B107="+","Unit",IF(ISERROR(OFFSET('HARGA SATUAN'!$E$6,MATCH(RAB!C107,'HARGA SATUAN'!$C$7:$C$1495,0),0)),"",OFFSET('HARGA SATUAN'!$E$6,MATCH(RAB!C107,'HARGA SATUAN'!$C$7:$C$1495,0),0)))</f>
        <v>Mtr</v>
      </c>
      <c r="F107" s="452">
        <f>F104*1.5</f>
        <v>1.5</v>
      </c>
      <c r="G107" s="307">
        <f ca="1">IF(ISERROR(OFFSET('HARGA SATUAN'!$I$6,MATCH(RAB!C107,'HARGA SATUAN'!$C$7:$C$1495,0),0)),0,OFFSET('HARGA SATUAN'!$I$6,MATCH(RAB!C107,'HARGA SATUAN'!$C$7:$C$1495,0),0))</f>
        <v>30000</v>
      </c>
      <c r="H107" s="308">
        <f t="shared" ca="1" si="35"/>
        <v>0</v>
      </c>
      <c r="I107" s="308">
        <f t="shared" ca="1" si="36"/>
        <v>45000</v>
      </c>
      <c r="J107" s="308">
        <f t="shared" ca="1" si="37"/>
        <v>0</v>
      </c>
      <c r="K107" s="309">
        <f t="shared" ca="1" si="38"/>
        <v>45000</v>
      </c>
      <c r="L107" s="316"/>
      <c r="M107" s="289" t="str">
        <f t="shared" ca="1" si="26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318">
        <v>4</v>
      </c>
      <c r="C108" s="319" t="s">
        <v>33</v>
      </c>
      <c r="D108" s="305" t="str">
        <f ca="1">IF(ISERROR(OFFSET('HARGA SATUAN'!$D$6,MATCH(RAB!C108,'HARGA SATUAN'!$C$7:$C$1495,0),0)),"",OFFSET('HARGA SATUAN'!$D$6,MATCH(RAB!C108,'HARGA SATUAN'!$C$7:$C$1495,0),0))</f>
        <v>HDW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452">
        <f>F104*2</f>
        <v>2</v>
      </c>
      <c r="G108" s="307">
        <f ca="1">IF(ISERROR(OFFSET('HARGA SATUAN'!$I$6,MATCH(RAB!C108,'HARGA SATUAN'!$C$7:$C$1495,0),0)),0,OFFSET('HARGA SATUAN'!$I$6,MATCH(RAB!C108,'HARGA SATUAN'!$C$7:$C$1495,0),0))</f>
        <v>9500</v>
      </c>
      <c r="H108" s="308">
        <f t="shared" ca="1" si="35"/>
        <v>0</v>
      </c>
      <c r="I108" s="308">
        <f t="shared" ca="1" si="36"/>
        <v>19000</v>
      </c>
      <c r="J108" s="308">
        <f t="shared" ca="1" si="37"/>
        <v>0</v>
      </c>
      <c r="K108" s="309">
        <f t="shared" ca="1" si="38"/>
        <v>19000</v>
      </c>
      <c r="L108" s="316"/>
      <c r="M108" s="289" t="str">
        <f t="shared" ca="1" si="26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318">
        <v>5</v>
      </c>
      <c r="C109" s="319" t="s">
        <v>735</v>
      </c>
      <c r="D109" s="305" t="str">
        <f ca="1">IF(ISERROR(OFFSET('HARGA SATUAN'!$D$6,MATCH(RAB!C109,'HARGA SATUAN'!$C$7:$C$1495,0),0)),"",OFFSET('HARGA SATUAN'!$D$6,MATCH(RAB!C109,'HARGA SATUAN'!$C$7:$C$1495,0),0))</f>
        <v>JASA</v>
      </c>
      <c r="E109" s="306" t="str">
        <f ca="1">IF(B109="+","Unit",IF(ISERROR(OFFSET('HARGA SATUAN'!$E$6,MATCH(RAB!C109,'HARGA SATUAN'!$C$7:$C$1495,0),0)),"",OFFSET('HARGA SATUAN'!$E$6,MATCH(RAB!C109,'HARGA SATUAN'!$C$7:$C$1495,0),0)))</f>
        <v>Unit</v>
      </c>
      <c r="F109" s="452">
        <f>F104*1</f>
        <v>1</v>
      </c>
      <c r="G109" s="307">
        <f ca="1">IF(ISERROR(OFFSET('HARGA SATUAN'!$I$6,MATCH(RAB!C109,'HARGA SATUAN'!$C$7:$C$1495,0),0)),0,OFFSET('HARGA SATUAN'!$I$6,MATCH(RAB!C109,'HARGA SATUAN'!$C$7:$C$1495,0),0))</f>
        <v>56400</v>
      </c>
      <c r="H109" s="308">
        <f t="shared" ca="1" si="35"/>
        <v>0</v>
      </c>
      <c r="I109" s="308">
        <f t="shared" ca="1" si="36"/>
        <v>0</v>
      </c>
      <c r="J109" s="308">
        <f t="shared" ca="1" si="37"/>
        <v>56400</v>
      </c>
      <c r="K109" s="309">
        <f t="shared" ca="1" si="38"/>
        <v>56400</v>
      </c>
      <c r="L109" s="316"/>
      <c r="M109" s="289" t="str">
        <f t="shared" ca="1" si="26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418" t="s">
        <v>22</v>
      </c>
      <c r="C110" s="421" t="s">
        <v>802</v>
      </c>
      <c r="D110" s="305" t="str">
        <f ca="1">IF(ISERROR(OFFSET('HARGA SATUAN'!$D$6,MATCH(RAB!C110,'HARGA SATUAN'!$C$7:$C$1495,0),0)),"",OFFSET('HARGA SATUAN'!$D$6,MATCH(RAB!C110,'HARGA SATUAN'!$C$7:$C$1495,0),0))</f>
        <v/>
      </c>
      <c r="E110" s="306">
        <f ca="1">IF(B110="+","Unit",IF(ISERROR(OFFSET('HARGA SATUAN'!$E$6,MATCH(RAB!C110,'HARGA SATUAN'!$C$7:$C$1495,0),0)),"",OFFSET('HARGA SATUAN'!$E$6,MATCH(RAB!C110,'HARGA SATUAN'!$C$7:$C$1495,0),0)))</f>
        <v>0</v>
      </c>
      <c r="F110" s="452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ref="H110" ca="1" si="43">IF(OR(D110="MDU",D110="MDU-KD"),(IF($O$3="RAB NON MDU","PLN KD",G110*F110)),0)</f>
        <v>0</v>
      </c>
      <c r="I110" s="308">
        <f t="shared" ref="I110" ca="1" si="44">IF(D110="HDW",G110*F110,0)</f>
        <v>0</v>
      </c>
      <c r="J110" s="308">
        <f t="shared" ref="J110" ca="1" si="45">IF(D110="JASA",G110*F110,0)</f>
        <v>0</v>
      </c>
      <c r="K110" s="309">
        <f t="shared" ref="K110" ca="1" si="46">SUM(H110:J110)</f>
        <v>0</v>
      </c>
      <c r="L110" s="316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>
      <c r="B111" s="320">
        <v>1</v>
      </c>
      <c r="C111" s="109" t="s">
        <v>981</v>
      </c>
      <c r="D111" s="305" t="str">
        <f ca="1">IF(ISERROR(OFFSET('HARGA SATUAN'!$D$6,MATCH(RAB!C111,'HARGA SATUAN'!$C$7:$C$1495,0),0)),"",OFFSET('HARGA SATUAN'!$D$6,MATCH(RAB!C111,'HARGA SATUAN'!$C$7:$C$1495,0),0))</f>
        <v>JASA</v>
      </c>
      <c r="E111" s="306" t="str">
        <f ca="1">IF(B111="+","Unit",IF(ISERROR(OFFSET('HARGA SATUAN'!$E$6,MATCH(RAB!C111,'HARGA SATUAN'!$C$7:$C$1495,0),0)),"",OFFSET('HARGA SATUAN'!$E$6,MATCH(RAB!C111,'HARGA SATUAN'!$C$7:$C$1495,0),0)))</f>
        <v>Unit</v>
      </c>
      <c r="F111" s="315">
        <v>1</v>
      </c>
      <c r="G111" s="307">
        <f ca="1">IF(ISERROR(OFFSET('HARGA SATUAN'!$I$6,MATCH(RAB!C111,'HARGA SATUAN'!$C$7:$C$1495,0),0)),0,OFFSET('HARGA SATUAN'!$I$6,MATCH(RAB!C111,'HARGA SATUAN'!$C$7:$C$1495,0),0))</f>
        <v>32640</v>
      </c>
      <c r="H111" s="308">
        <f t="shared" ca="1" si="35"/>
        <v>0</v>
      </c>
      <c r="I111" s="308">
        <f t="shared" ca="1" si="36"/>
        <v>0</v>
      </c>
      <c r="J111" s="308">
        <f t="shared" ca="1" si="37"/>
        <v>32640</v>
      </c>
      <c r="K111" s="309">
        <f t="shared" ca="1" si="38"/>
        <v>32640</v>
      </c>
      <c r="M111" s="289" t="str">
        <f ca="1">IF(AND(F111&gt;0,F109=0),"",IF(AND(ISBLANK(F111)=FALSE,K111=0),"WARNING",""))</f>
        <v/>
      </c>
    </row>
    <row r="112" spans="1:22">
      <c r="B112" s="321"/>
      <c r="C112" s="322" t="s">
        <v>475</v>
      </c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315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31"/>
        <v>0</v>
      </c>
      <c r="I112" s="308">
        <f t="shared" ca="1" si="32"/>
        <v>0</v>
      </c>
      <c r="J112" s="308">
        <f t="shared" ca="1" si="33"/>
        <v>0</v>
      </c>
      <c r="K112" s="309">
        <f t="shared" ca="1" si="34"/>
        <v>0</v>
      </c>
      <c r="M112" s="289" t="e">
        <f>IF(AND(F112&gt;0,#REF!=0),"",IF(AND(ISBLANK(F112)=FALSE,K112=0),"WARNING",""))</f>
        <v>#REF!</v>
      </c>
    </row>
    <row r="113" spans="2:13">
      <c r="B113" s="324">
        <v>1</v>
      </c>
      <c r="C113" s="325" t="s">
        <v>1091</v>
      </c>
      <c r="D113" s="326" t="str">
        <f ca="1">IF(ISERROR(OFFSET('HARGA SATUAN'!$D$6,MATCH(RAB!C113,'HARGA SATUAN'!$C$7:$C$1495,0),0)),"",OFFSET('HARGA SATUAN'!$D$6,MATCH(RAB!C113,'HARGA SATUAN'!$C$7:$C$1495,0),0))</f>
        <v>JASA</v>
      </c>
      <c r="E113" s="327" t="str">
        <f ca="1">IF(ISERROR(OFFSET('HARGA SATUAN'!$E$6,MATCH(RAB!C113,'HARGA SATUAN'!$C$7:$C$1495,0),0)),"",OFFSET('HARGA SATUAN'!$E$6,MATCH(RAB!C113,'HARGA SATUAN'!$C$7:$C$1495,0),0))</f>
        <v>Lot</v>
      </c>
      <c r="F113" s="328">
        <v>1</v>
      </c>
      <c r="G113" s="329">
        <f ca="1">IF(ISERROR(OFFSET('HARGA SATUAN'!$I$6,MATCH(RAB!C113,'HARGA SATUAN'!$C$7:$C$1495,0),0)),0,OFFSET('HARGA SATUAN'!$I$6,MATCH(RAB!C113,'HARGA SATUAN'!$C$7:$C$1495,0),0))</f>
        <v>2.5000000000000001E-2</v>
      </c>
      <c r="H113" s="330">
        <f ca="1">SUM(H14:H112)*G113</f>
        <v>1365411.25</v>
      </c>
      <c r="I113" s="330">
        <f ca="1">SUM(I14:I112)*G113</f>
        <v>403287.30000000005</v>
      </c>
      <c r="J113" s="330">
        <f ca="1">SUM(J14:J112)*G113</f>
        <v>41157.666666666672</v>
      </c>
      <c r="K113" s="330">
        <f ca="1">SUM(K14:K112)*G113</f>
        <v>1809856.2166666666</v>
      </c>
      <c r="M113" s="289" t="str">
        <f t="shared" ref="M113" si="47">IF(AND(F113&gt;0,F112=0),"",IF(AND(ISBLANK(F113)=FALSE,K113=0),"WARNING",""))</f>
        <v/>
      </c>
    </row>
    <row r="114" spans="2:13">
      <c r="B114" s="331"/>
      <c r="C114" s="332"/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IF(ISERROR(OFFSET('HARGA SATUAN'!$E$6,MATCH(RAB!C114,'HARGA SATUAN'!$C$7:$C$1495,0),0)),"",OFFSET('HARGA SATUAN'!$E$6,MATCH(RAB!C114,'HARGA SATUAN'!$C$7:$C$1495,0),0))</f>
        <v/>
      </c>
      <c r="F114" s="323"/>
      <c r="G114" s="307" t="str">
        <f ca="1">IF(ISERROR(OFFSET('HARGA SATUAN'!$I$6,MATCH(RAB!C114,'HARGA SATUAN'!$C$7:$C$1495,0),0)),"",OFFSET('HARGA SATUAN'!$I$6,MATCH(RAB!C114,'HARGA SATUAN'!$C$7:$C$1495,0),0))</f>
        <v/>
      </c>
      <c r="H114" s="308">
        <f ca="1">IF(OR(D114="MDU",D114="MDU-KD"),IF(G114="PLN",0,G114*F114),0)</f>
        <v>0</v>
      </c>
      <c r="I114" s="308">
        <f ca="1">IF(D114="HDW",IF(G114="PLN",0,G114*F114),0)</f>
        <v>0</v>
      </c>
      <c r="J114" s="308">
        <f ca="1">IF(D114="JASA",IF(G114="PLN",0,G114*F114),0)</f>
        <v>0</v>
      </c>
      <c r="K114" s="309">
        <f ca="1">SUM(H114:J114)</f>
        <v>0</v>
      </c>
    </row>
    <row r="115" spans="2:13" ht="15.75" thickBot="1">
      <c r="B115" s="333"/>
      <c r="C115" s="334"/>
      <c r="D115" s="335"/>
      <c r="E115" s="336"/>
      <c r="F115" s="336"/>
      <c r="G115" s="336"/>
      <c r="H115" s="337"/>
      <c r="I115" s="337"/>
      <c r="J115" s="337"/>
      <c r="K115" s="338"/>
    </row>
    <row r="116" spans="2:13">
      <c r="B116" s="339"/>
      <c r="C116" s="619" t="s">
        <v>1008</v>
      </c>
      <c r="D116" s="619"/>
      <c r="E116" s="619"/>
      <c r="F116" s="619"/>
      <c r="G116" s="340" t="s">
        <v>9</v>
      </c>
      <c r="H116" s="341">
        <f ca="1">SUM(H14:H114)</f>
        <v>55981861.25</v>
      </c>
      <c r="I116" s="341">
        <f ca="1">SUM(I14:I114)</f>
        <v>16534779.300000001</v>
      </c>
      <c r="J116" s="341">
        <f ca="1">SUM(J14:J114)</f>
        <v>1687464.3333333335</v>
      </c>
      <c r="K116" s="341">
        <f ca="1">SUM(K14:K114)</f>
        <v>74204104.883333325</v>
      </c>
    </row>
    <row r="117" spans="2:13">
      <c r="B117" s="342"/>
      <c r="C117" s="636" t="s">
        <v>1455</v>
      </c>
      <c r="D117" s="636"/>
      <c r="E117" s="636"/>
      <c r="F117" s="636"/>
      <c r="G117" s="343" t="s">
        <v>9</v>
      </c>
      <c r="H117" s="344">
        <f ca="1">H116*0.11</f>
        <v>6158004.7374999998</v>
      </c>
      <c r="I117" s="344">
        <f ca="1">I116*0.11</f>
        <v>1818825.723</v>
      </c>
      <c r="J117" s="344">
        <f ca="1">J116*0.11</f>
        <v>185621.07666666669</v>
      </c>
      <c r="K117" s="344">
        <f ca="1">K116*0.11</f>
        <v>8162451.5371666662</v>
      </c>
    </row>
    <row r="118" spans="2:13" ht="15.75" thickBot="1">
      <c r="B118" s="342"/>
      <c r="C118" s="633" t="s">
        <v>463</v>
      </c>
      <c r="D118" s="633"/>
      <c r="E118" s="633"/>
      <c r="F118" s="633"/>
      <c r="G118" s="345" t="s">
        <v>9</v>
      </c>
      <c r="H118" s="346">
        <f ca="1">SUM(H116:H117)</f>
        <v>62139865.987499997</v>
      </c>
      <c r="I118" s="346">
        <f ca="1">SUM(I116:I117)</f>
        <v>18353605.023000002</v>
      </c>
      <c r="J118" s="345">
        <f ca="1">SUM(J116:J117)</f>
        <v>1873085.4100000001</v>
      </c>
      <c r="K118" s="345">
        <f ca="1">SUM(K116:K117)</f>
        <v>82366556.420499995</v>
      </c>
      <c r="M118" s="410"/>
    </row>
    <row r="119" spans="2:13">
      <c r="B119" s="637" t="str">
        <f ca="1">"Terbilang : "&amp;PROPER(IF(K118=0,"nol",IF(K118&lt;0,"minus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IF(--MID(TEXT(ABS(K118),"000000000000000"),1,3)=0,"",MID(TEXT(ABS(K118),"000000000000000"),1,1)&amp;" ratus "&amp;MID(TEXT(ABS(K118),"000000000000000"),2,1)&amp;" puluh "&amp;MID(TEXT(ABS(K118),"000000000000000"),3,1)&amp;" trilyun ")&amp; IF(--MID(TEXT(ABS(K118),"000000000000000"),4,3)=0,"",MID(TEXT(ABS(K118),"000000000000000"),4,1)&amp;" ratus "&amp;MID(TEXT(ABS(K118),"000000000000000"),5,1)&amp;" puluh "&amp;MID(TEXT(ABS(K118),"000000000000000"),6,1)&amp;" milyar ")&amp; IF(--MID(TEXT(ABS(K118),"000000000000000"),7,3)=0,"",MID(TEXT(ABS(K118),"000000000000000"),7,1)&amp;" ratus "&amp;MID(TEXT(ABS(K118),"000000000000000"),8,1)&amp;" puluh "&amp;MID(TEXT(ABS(K118),"000000000000000"),9,1)&amp;" juta ")&amp; IF(--MID(TEXT(ABS(K118),"000000000000000"),10,3)=0,"",IF(--MID(TEXT(ABS(K118),"000000000000000"),10,3)=1,"*",MID(TEXT(ABS(K118),"000000000000000"),10,1)&amp;" ratus "&amp;MID(TEXT(ABS(K118),"000000000000000"),11,1)&amp;" puluh ")&amp;MID(TEXT(ABS(K118),"000000000000000"),12,1)&amp;" ribu ")&amp; IF(--MID(TEXT(ABS(K118),"000000000000000"),13,3)=0,"",MID(TEXT(ABS(K118),"000000000000000"),13,1)&amp;" ratus "&amp;MID(TEXT(ABS(K118),"000000000000000"),14,1)&amp;" puluh "&amp;MID(TEXT(ABS(K118),"000000000000000"),15,1)),1,"satu"),2,"dua"),3,"tiga"),4,"empat"),5,"lima"),6,"enam"),7,"tujuh"),8,"delapan"),9,"sembilan"),"0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Dua Juta Tiga Ratus Enam Puluh Enam Ribu Lima Ratus Lima Puluh Enam Rupiah</v>
      </c>
      <c r="C119" s="638"/>
      <c r="D119" s="638"/>
      <c r="E119" s="638"/>
      <c r="F119" s="638"/>
      <c r="G119" s="638"/>
      <c r="H119" s="638"/>
      <c r="I119" s="638"/>
      <c r="J119" s="638"/>
      <c r="K119" s="639"/>
    </row>
    <row r="120" spans="2:13">
      <c r="B120" s="640"/>
      <c r="C120" s="641"/>
      <c r="D120" s="641"/>
      <c r="E120" s="641"/>
      <c r="F120" s="641"/>
      <c r="G120" s="641"/>
      <c r="H120" s="641"/>
      <c r="I120" s="641"/>
      <c r="J120" s="641"/>
      <c r="K120" s="642"/>
    </row>
    <row r="121" spans="2:13" ht="15.75" thickBot="1">
      <c r="B121" s="347" t="str">
        <f>"Harga yang dipakai adalah "&amp;'HARGA SATUAN'!I5&amp;""</f>
        <v>Harga yang dipakai adalah RAB HSS 2023</v>
      </c>
      <c r="C121" s="348"/>
      <c r="D121" s="349"/>
      <c r="E121" s="349"/>
      <c r="F121" s="349"/>
      <c r="G121" s="350"/>
      <c r="H121" s="350"/>
      <c r="I121" s="350"/>
      <c r="J121" s="350"/>
      <c r="K121" s="351"/>
    </row>
    <row r="122" spans="2:13">
      <c r="C122" s="352"/>
      <c r="E122" s="354"/>
      <c r="F122" s="354"/>
      <c r="G122" s="354"/>
    </row>
    <row r="123" spans="2:13">
      <c r="C123" s="284"/>
      <c r="E123" s="354"/>
      <c r="F123" s="354"/>
      <c r="G123" s="354"/>
      <c r="H123" s="643"/>
      <c r="I123" s="643"/>
      <c r="J123" s="644"/>
      <c r="K123" s="644"/>
    </row>
    <row r="124" spans="2:13">
      <c r="C124" s="284"/>
      <c r="E124" s="354"/>
      <c r="F124" s="354"/>
      <c r="G124" s="354"/>
      <c r="H124" s="355"/>
      <c r="I124" s="632" t="s">
        <v>1619</v>
      </c>
      <c r="J124" s="632"/>
      <c r="K124" s="632"/>
    </row>
    <row r="125" spans="2:13">
      <c r="C125" s="284"/>
      <c r="E125" s="354"/>
      <c r="F125" s="354"/>
      <c r="G125" s="354"/>
      <c r="H125" s="355"/>
      <c r="I125" s="632" t="s">
        <v>1611</v>
      </c>
      <c r="J125" s="632"/>
      <c r="K125" s="632"/>
    </row>
    <row r="126" spans="2:13">
      <c r="C126" s="284"/>
      <c r="E126" s="354"/>
      <c r="F126" s="354"/>
      <c r="G126" s="354"/>
      <c r="H126" s="356"/>
      <c r="I126" s="357"/>
      <c r="J126" s="357"/>
      <c r="K126" s="357"/>
    </row>
    <row r="127" spans="2:13">
      <c r="C127" s="284"/>
      <c r="E127" s="354"/>
      <c r="F127" s="354"/>
      <c r="G127" s="354"/>
      <c r="H127" s="356"/>
      <c r="I127" s="356"/>
      <c r="J127" s="356"/>
      <c r="K127" s="356"/>
    </row>
    <row r="128" spans="2:13">
      <c r="C128" s="284"/>
      <c r="E128" s="354"/>
      <c r="F128" s="354"/>
      <c r="G128" s="354"/>
      <c r="H128" s="356"/>
      <c r="I128" s="356"/>
      <c r="J128" s="356"/>
      <c r="K128" s="356"/>
    </row>
    <row r="129" spans="3:11">
      <c r="C129" s="284"/>
      <c r="E129" s="354"/>
      <c r="F129" s="354"/>
      <c r="G129" s="354"/>
      <c r="H129" s="356"/>
      <c r="I129" s="356"/>
      <c r="J129" s="356"/>
      <c r="K129" s="356"/>
    </row>
    <row r="130" spans="3:11">
      <c r="C130" s="284"/>
      <c r="E130" s="354"/>
      <c r="F130" s="354"/>
      <c r="G130" s="354"/>
      <c r="H130" s="358"/>
      <c r="I130" s="632" t="s">
        <v>1612</v>
      </c>
      <c r="J130" s="632"/>
      <c r="K130" s="632"/>
    </row>
    <row r="131" spans="3:11">
      <c r="C131" s="352"/>
      <c r="E131" s="354"/>
      <c r="F131" s="354"/>
      <c r="G131" s="354"/>
      <c r="H131" s="356"/>
      <c r="I131" s="356"/>
      <c r="J131" s="356"/>
      <c r="K131" s="356"/>
    </row>
    <row r="132" spans="3:11">
      <c r="C132" s="352"/>
      <c r="E132" s="354"/>
      <c r="F132" s="354"/>
      <c r="G132" s="354"/>
      <c r="H132" s="356"/>
      <c r="I132" s="356"/>
      <c r="J132" s="356"/>
      <c r="K132" s="356"/>
    </row>
    <row r="133" spans="3:11">
      <c r="C133" s="352"/>
      <c r="E133" s="354"/>
      <c r="F133" s="354"/>
      <c r="G133" s="354"/>
      <c r="H133" s="356"/>
      <c r="I133" s="356"/>
      <c r="J133" s="356"/>
      <c r="K133" s="356"/>
    </row>
  </sheetData>
  <sheetProtection sort="0" autoFilter="0"/>
  <protectedRanges>
    <protectedRange sqref="B96:C96 B15 B16:C16 B19:C30 B17:B18 B74:C94 B95" name="Range1_6_1"/>
    <protectedRange sqref="B37:C61" name="Range1_6_1_1_1"/>
    <protectedRange sqref="B31:C36" name="Range1_6_1_2"/>
    <protectedRange sqref="C95" name="Range1_6_1_10"/>
    <protectedRange sqref="B103:C110 B97:B102" name="Range1_6_1_11"/>
    <protectedRange sqref="B62:C73" name="Range1_6_1_15"/>
    <protectedRange sqref="C97:C100 C102" name="Range1_6_1_18"/>
    <protectedRange sqref="C18" name="Range1_1_3_1"/>
    <protectedRange sqref="C17" name="Range1_1_3_2"/>
    <protectedRange sqref="C111" name="Range1_1_3_9"/>
    <protectedRange sqref="C101" name="Range1_1_3"/>
  </protectedRanges>
  <mergeCells count="22">
    <mergeCell ref="I125:K125"/>
    <mergeCell ref="I130:K130"/>
    <mergeCell ref="C118:F118"/>
    <mergeCell ref="G6:K6"/>
    <mergeCell ref="I124:K124"/>
    <mergeCell ref="C117:F117"/>
    <mergeCell ref="B119:K120"/>
    <mergeCell ref="H123:K123"/>
    <mergeCell ref="H11:K11"/>
    <mergeCell ref="H12:H13"/>
    <mergeCell ref="J12:J13"/>
    <mergeCell ref="K12:K13"/>
    <mergeCell ref="O3:P4"/>
    <mergeCell ref="B4:K4"/>
    <mergeCell ref="C116:F116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12" priority="96" operator="equal">
      <formula>0</formula>
    </cfRule>
  </conditionalFormatting>
  <conditionalFormatting sqref="C17:C18">
    <cfRule type="cellIs" dxfId="11" priority="10" operator="equal">
      <formula>0</formula>
    </cfRule>
  </conditionalFormatting>
  <conditionalFormatting sqref="C25">
    <cfRule type="cellIs" dxfId="10" priority="25" operator="equal">
      <formula>0</formula>
    </cfRule>
  </conditionalFormatting>
  <conditionalFormatting sqref="C111">
    <cfRule type="cellIs" dxfId="7" priority="4" operator="equal">
      <formula>0</formula>
    </cfRule>
  </conditionalFormatting>
  <conditionalFormatting sqref="E1:E3 E5:E13 H12:I12 O13 E14:K40 E113:G113 H113:K115 E114:H114 E115:F115 G41:K55 E56:K112 S14:V110">
    <cfRule type="cellIs" dxfId="6" priority="1140" stopIfTrue="1" operator="equal">
      <formula>0</formula>
    </cfRule>
  </conditionalFormatting>
  <conditionalFormatting sqref="E41:E55">
    <cfRule type="cellIs" dxfId="5" priority="8" stopIfTrue="1" operator="equal">
      <formula>0</formula>
    </cfRule>
  </conditionalFormatting>
  <conditionalFormatting sqref="G1:G13">
    <cfRule type="cellIs" dxfId="4" priority="65" stopIfTrue="1" operator="equal">
      <formula>0</formula>
    </cfRule>
  </conditionalFormatting>
  <conditionalFormatting sqref="G114:G65580 E119:E65580">
    <cfRule type="cellIs" dxfId="3" priority="274" stopIfTrue="1" operator="equal">
      <formula>0</formula>
    </cfRule>
  </conditionalFormatting>
  <conditionalFormatting sqref="F41:F55">
    <cfRule type="cellIs" dxfId="2" priority="3" stopIfTrue="1" operator="equal">
      <formula>0</formula>
    </cfRule>
  </conditionalFormatting>
  <conditionalFormatting sqref="C98">
    <cfRule type="cellIs" dxfId="1" priority="2" operator="equal">
      <formula>0</formula>
    </cfRule>
  </conditionalFormatting>
  <conditionalFormatting sqref="C10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04:F110 C22:C24 F95 H14:K115 F16:F9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11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3" zoomScale="90" zoomScaleNormal="90" zoomScaleSheetLayoutView="100" workbookViewId="0">
      <selection activeCell="W29" sqref="W29:X29"/>
    </sheetView>
  </sheetViews>
  <sheetFormatPr defaultColWidth="9.140625" defaultRowHeight="12"/>
  <cols>
    <col min="1" max="2" width="1.42578125" style="467" customWidth="1"/>
    <col min="3" max="3" width="7.42578125" style="467" customWidth="1"/>
    <col min="4" max="23" width="5.7109375" style="467" customWidth="1"/>
    <col min="24" max="24" width="6.28515625" style="467" customWidth="1"/>
    <col min="25" max="26" width="5.7109375" style="467" customWidth="1"/>
    <col min="27" max="27" width="6.5703125" style="467" customWidth="1"/>
    <col min="28" max="118" width="5.7109375" style="467" customWidth="1"/>
    <col min="119" max="16384" width="9.140625" style="467"/>
  </cols>
  <sheetData>
    <row r="1" spans="3:30" ht="12.75" thickBot="1"/>
    <row r="2" spans="3:30" ht="12.75" customHeight="1">
      <c r="C2" s="468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 s="469"/>
      <c r="U2" s="469"/>
      <c r="V2" s="469"/>
      <c r="W2" s="702" t="s">
        <v>1438</v>
      </c>
      <c r="X2" s="703"/>
      <c r="Y2" s="703"/>
      <c r="Z2" s="703"/>
      <c r="AA2" s="703"/>
      <c r="AB2" s="703"/>
      <c r="AC2" s="703"/>
      <c r="AD2" s="704"/>
    </row>
    <row r="3" spans="3:30">
      <c r="C3" s="470"/>
      <c r="W3" s="705"/>
      <c r="X3" s="706"/>
      <c r="Y3" s="706"/>
      <c r="Z3" s="706"/>
      <c r="AA3" s="706"/>
      <c r="AB3" s="706"/>
      <c r="AC3" s="706"/>
      <c r="AD3" s="707"/>
    </row>
    <row r="4" spans="3:30">
      <c r="C4" s="470"/>
      <c r="G4" s="471" t="s">
        <v>1638</v>
      </c>
      <c r="W4" s="472" t="s">
        <v>987</v>
      </c>
      <c r="AD4" s="473"/>
    </row>
    <row r="5" spans="3:30">
      <c r="C5" s="470"/>
      <c r="W5" s="474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470"/>
      <c r="W6" s="474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470"/>
      <c r="W7" s="474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470"/>
      <c r="W8" s="474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470"/>
      <c r="W9" s="474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470"/>
      <c r="W10" s="474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470"/>
      <c r="W11" s="474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470"/>
      <c r="W12" s="474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470"/>
      <c r="W13" s="474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470"/>
      <c r="W14" s="474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470"/>
      <c r="W15" s="474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470"/>
      <c r="W16" s="474">
        <v>11</v>
      </c>
      <c r="X16" s="649" t="s">
        <v>1454</v>
      </c>
      <c r="Y16" s="649"/>
      <c r="Z16" s="649"/>
      <c r="AA16" s="649"/>
      <c r="AB16" s="649"/>
      <c r="AC16" s="649"/>
      <c r="AD16" s="650"/>
    </row>
    <row r="17" spans="3:30">
      <c r="C17" s="470"/>
      <c r="S17" s="476"/>
      <c r="W17" s="474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477"/>
      <c r="D18" s="478"/>
      <c r="E18" s="478"/>
      <c r="W18" s="474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470"/>
      <c r="W19" s="479"/>
      <c r="X19" s="691"/>
      <c r="Y19" s="691"/>
      <c r="Z19" s="691"/>
      <c r="AA19" s="691"/>
      <c r="AB19" s="691"/>
      <c r="AC19" s="691"/>
      <c r="AD19" s="692"/>
    </row>
    <row r="20" spans="3:30">
      <c r="C20" s="470"/>
      <c r="Q20" s="480"/>
      <c r="W20" s="693" t="s">
        <v>992</v>
      </c>
      <c r="X20" s="694"/>
      <c r="Y20" s="694"/>
      <c r="Z20" s="694"/>
      <c r="AA20" s="694"/>
      <c r="AB20" s="694"/>
      <c r="AC20" s="694"/>
      <c r="AD20" s="695"/>
    </row>
    <row r="21" spans="3:30">
      <c r="C21" s="470"/>
      <c r="W21" s="696" t="s">
        <v>985</v>
      </c>
      <c r="X21" s="697"/>
      <c r="Y21" s="697"/>
      <c r="Z21" s="698"/>
      <c r="AA21" s="699" t="s">
        <v>986</v>
      </c>
      <c r="AB21" s="700"/>
      <c r="AC21" s="700"/>
      <c r="AD21" s="701"/>
    </row>
    <row r="22" spans="3:30">
      <c r="C22" s="470"/>
      <c r="S22" s="481"/>
      <c r="W22" s="685" t="s">
        <v>1630</v>
      </c>
      <c r="X22" s="686"/>
      <c r="Y22" s="482" t="s">
        <v>1620</v>
      </c>
      <c r="Z22" s="483">
        <v>1</v>
      </c>
      <c r="AA22" s="687" t="s">
        <v>1634</v>
      </c>
      <c r="AB22" s="688"/>
      <c r="AC22" s="484"/>
      <c r="AD22" s="485"/>
    </row>
    <row r="23" spans="3:30">
      <c r="C23" s="470"/>
      <c r="W23" s="685" t="s">
        <v>1641</v>
      </c>
      <c r="X23" s="686"/>
      <c r="Y23" s="482" t="s">
        <v>1620</v>
      </c>
      <c r="Z23" s="483">
        <v>1</v>
      </c>
      <c r="AA23" s="677"/>
      <c r="AB23" s="678"/>
      <c r="AC23" s="484"/>
      <c r="AD23" s="485"/>
    </row>
    <row r="24" spans="3:30">
      <c r="C24" s="470"/>
      <c r="W24" s="685" t="s">
        <v>1635</v>
      </c>
      <c r="X24" s="686"/>
      <c r="Y24" s="482" t="s">
        <v>1632</v>
      </c>
      <c r="Z24" s="483">
        <v>1</v>
      </c>
      <c r="AA24" s="689"/>
      <c r="AB24" s="690"/>
      <c r="AC24" s="484"/>
      <c r="AD24" s="485"/>
    </row>
    <row r="25" spans="3:30">
      <c r="C25" s="470"/>
      <c r="W25" s="685" t="s">
        <v>1613</v>
      </c>
      <c r="X25" s="686"/>
      <c r="Y25" s="482" t="s">
        <v>1620</v>
      </c>
      <c r="Z25" s="483">
        <v>2</v>
      </c>
      <c r="AA25" s="677"/>
      <c r="AB25" s="678"/>
      <c r="AC25" s="484"/>
      <c r="AD25" s="485"/>
    </row>
    <row r="26" spans="3:30">
      <c r="C26" s="470"/>
      <c r="W26" s="683" t="s">
        <v>1636</v>
      </c>
      <c r="X26" s="684"/>
      <c r="Y26" s="482" t="s">
        <v>1620</v>
      </c>
      <c r="Z26" s="483">
        <v>1</v>
      </c>
      <c r="AA26" s="677"/>
      <c r="AB26" s="678"/>
      <c r="AC26" s="484"/>
      <c r="AD26" s="485"/>
    </row>
    <row r="27" spans="3:30">
      <c r="C27" s="470"/>
      <c r="W27" s="683" t="s">
        <v>1633</v>
      </c>
      <c r="X27" s="684"/>
      <c r="Y27" s="482" t="s">
        <v>1620</v>
      </c>
      <c r="Z27" s="483">
        <v>1</v>
      </c>
      <c r="AA27" s="677"/>
      <c r="AB27" s="678"/>
      <c r="AC27" s="484"/>
      <c r="AD27" s="485"/>
    </row>
    <row r="28" spans="3:30">
      <c r="C28" s="470"/>
      <c r="W28" s="675"/>
      <c r="X28" s="676"/>
      <c r="Y28" s="482"/>
      <c r="Z28" s="483"/>
      <c r="AA28" s="677"/>
      <c r="AB28" s="678"/>
      <c r="AC28" s="484"/>
      <c r="AD28" s="485"/>
    </row>
    <row r="29" spans="3:30">
      <c r="C29" s="470"/>
      <c r="W29" s="683"/>
      <c r="X29" s="684"/>
      <c r="Y29" s="482"/>
      <c r="Z29" s="483"/>
      <c r="AA29" s="677"/>
      <c r="AB29" s="678"/>
      <c r="AC29" s="484"/>
      <c r="AD29" s="485"/>
    </row>
    <row r="30" spans="3:30" ht="11.25" customHeight="1">
      <c r="C30" s="470"/>
      <c r="W30" s="675"/>
      <c r="X30" s="676"/>
      <c r="Y30" s="482"/>
      <c r="Z30" s="483"/>
      <c r="AA30" s="677"/>
      <c r="AB30" s="678"/>
      <c r="AC30" s="484"/>
      <c r="AD30" s="485"/>
    </row>
    <row r="31" spans="3:30">
      <c r="C31" s="470"/>
      <c r="U31" s="490"/>
      <c r="W31" s="488" t="s">
        <v>1621</v>
      </c>
      <c r="X31" s="489"/>
      <c r="Y31" s="482" t="s">
        <v>1620</v>
      </c>
      <c r="Z31" s="483">
        <v>1</v>
      </c>
      <c r="AA31" s="677"/>
      <c r="AB31" s="678"/>
      <c r="AC31" s="484"/>
      <c r="AD31" s="485"/>
    </row>
    <row r="32" spans="3:30">
      <c r="C32" s="470"/>
      <c r="U32" s="490"/>
      <c r="W32" s="486"/>
      <c r="X32" s="487"/>
      <c r="Y32" s="482"/>
      <c r="Z32" s="483"/>
      <c r="AA32" s="677"/>
      <c r="AB32" s="678"/>
      <c r="AC32" s="484"/>
      <c r="AD32" s="485"/>
    </row>
    <row r="33" spans="3:30">
      <c r="C33" s="470"/>
      <c r="W33" s="675"/>
      <c r="X33" s="676"/>
      <c r="Y33" s="482"/>
      <c r="Z33" s="483"/>
      <c r="AA33" s="677"/>
      <c r="AB33" s="678"/>
      <c r="AC33" s="484"/>
      <c r="AD33" s="485"/>
    </row>
    <row r="34" spans="3:30">
      <c r="C34" s="470"/>
      <c r="Q34" s="467" t="s">
        <v>1607</v>
      </c>
      <c r="W34" s="675"/>
      <c r="X34" s="676"/>
      <c r="Y34" s="482"/>
      <c r="Z34" s="483"/>
      <c r="AA34" s="677"/>
      <c r="AB34" s="678"/>
      <c r="AC34" s="484"/>
      <c r="AD34" s="485"/>
    </row>
    <row r="35" spans="3:30">
      <c r="C35" s="470"/>
      <c r="W35" s="675"/>
      <c r="X35" s="676"/>
      <c r="Y35" s="482"/>
      <c r="Z35" s="483"/>
      <c r="AA35" s="677"/>
      <c r="AB35" s="678"/>
      <c r="AC35" s="484"/>
      <c r="AD35" s="485"/>
    </row>
    <row r="36" spans="3:30">
      <c r="C36" s="470"/>
      <c r="W36" s="675"/>
      <c r="X36" s="676"/>
      <c r="Y36" s="482"/>
      <c r="Z36" s="483"/>
      <c r="AA36" s="677"/>
      <c r="AB36" s="678"/>
      <c r="AC36" s="484"/>
      <c r="AD36" s="485"/>
    </row>
    <row r="37" spans="3:30" ht="12.75" customHeight="1">
      <c r="C37" s="470"/>
      <c r="W37" s="488"/>
      <c r="X37" s="491"/>
      <c r="Y37" s="482"/>
      <c r="Z37" s="483"/>
      <c r="AA37" s="679"/>
      <c r="AB37" s="680"/>
      <c r="AC37" s="484"/>
      <c r="AD37" s="492"/>
    </row>
    <row r="38" spans="3:30" ht="12.75" customHeight="1">
      <c r="C38" s="470"/>
      <c r="W38" s="493"/>
      <c r="X38" s="494"/>
      <c r="Y38" s="482"/>
      <c r="Z38" s="495"/>
      <c r="AA38" s="681"/>
      <c r="AB38" s="682"/>
      <c r="AC38" s="484"/>
      <c r="AD38" s="492"/>
    </row>
    <row r="39" spans="3:30" ht="12" customHeight="1">
      <c r="C39" s="470"/>
      <c r="W39" s="493"/>
      <c r="X39" s="494"/>
      <c r="Y39" s="482"/>
      <c r="Z39" s="495"/>
      <c r="AA39" s="663"/>
      <c r="AB39" s="664"/>
      <c r="AC39" s="484"/>
      <c r="AD39" s="492"/>
    </row>
    <row r="40" spans="3:30" ht="12" customHeight="1">
      <c r="C40" s="470"/>
      <c r="W40" s="496"/>
      <c r="X40" s="497"/>
      <c r="Y40" s="498"/>
      <c r="Z40" s="495"/>
      <c r="AA40" s="499"/>
      <c r="AB40" s="500"/>
      <c r="AC40" s="501"/>
      <c r="AD40" s="502"/>
    </row>
    <row r="41" spans="3:30" ht="12" customHeight="1">
      <c r="C41" s="470"/>
      <c r="W41" s="665"/>
      <c r="X41" s="666"/>
      <c r="Y41" s="503"/>
      <c r="Z41" s="504"/>
      <c r="AA41" s="667"/>
      <c r="AB41" s="668"/>
      <c r="AC41" s="501"/>
      <c r="AD41" s="502"/>
    </row>
    <row r="42" spans="3:30" ht="12" customHeight="1">
      <c r="C42" s="470"/>
      <c r="W42" s="669" t="s">
        <v>1627</v>
      </c>
      <c r="X42" s="670"/>
      <c r="Y42" s="670"/>
      <c r="Z42" s="670"/>
      <c r="AA42" s="670"/>
      <c r="AB42" s="670"/>
      <c r="AC42" s="670"/>
      <c r="AD42" s="671"/>
    </row>
    <row r="43" spans="3:30" ht="12" customHeight="1">
      <c r="C43" s="470"/>
      <c r="V43" s="505"/>
      <c r="W43" s="672"/>
      <c r="X43" s="673"/>
      <c r="Y43" s="673"/>
      <c r="Z43" s="673"/>
      <c r="AA43" s="673"/>
      <c r="AB43" s="673"/>
      <c r="AC43" s="673"/>
      <c r="AD43" s="674"/>
    </row>
    <row r="44" spans="3:30">
      <c r="C44" s="506"/>
      <c r="D44" s="507"/>
      <c r="E44" s="507"/>
      <c r="F44" s="507"/>
      <c r="G44" s="507"/>
      <c r="H44" s="507"/>
      <c r="I44" s="507"/>
      <c r="N44" s="507"/>
      <c r="O44" s="507"/>
      <c r="P44" s="507"/>
      <c r="Q44" s="507"/>
      <c r="R44" s="507"/>
      <c r="S44" s="507"/>
      <c r="T44" s="507"/>
      <c r="U44" s="507"/>
      <c r="V44" s="505"/>
      <c r="W44" s="661" t="s">
        <v>11</v>
      </c>
      <c r="X44" s="648"/>
      <c r="Y44" s="649"/>
      <c r="Z44" s="649"/>
      <c r="AA44" s="649"/>
      <c r="AB44" s="649"/>
      <c r="AC44" s="649"/>
      <c r="AD44" s="650"/>
    </row>
    <row r="45" spans="3:30">
      <c r="C45" s="506"/>
      <c r="D45" s="507"/>
      <c r="E45" s="507"/>
      <c r="F45" s="507"/>
      <c r="G45" s="507"/>
      <c r="H45" s="507"/>
      <c r="I45" s="507"/>
      <c r="N45" s="507"/>
      <c r="O45" s="507"/>
      <c r="P45" s="507"/>
      <c r="Q45" s="507"/>
      <c r="R45" s="507"/>
      <c r="S45" s="507"/>
      <c r="T45" s="507"/>
      <c r="U45" s="507"/>
      <c r="V45" s="505"/>
      <c r="W45" s="661" t="s">
        <v>984</v>
      </c>
      <c r="X45" s="648"/>
      <c r="Y45" s="649">
        <v>1</v>
      </c>
      <c r="Z45" s="649"/>
      <c r="AA45" s="649"/>
      <c r="AB45" s="649" t="s">
        <v>12</v>
      </c>
      <c r="AC45" s="649"/>
      <c r="AD45" s="475" t="s">
        <v>13</v>
      </c>
    </row>
    <row r="46" spans="3:30">
      <c r="C46" s="506"/>
      <c r="D46" s="507"/>
      <c r="E46" s="507"/>
      <c r="F46" s="507"/>
      <c r="G46" s="507"/>
      <c r="H46" s="507"/>
      <c r="I46" s="507"/>
      <c r="J46" s="507"/>
      <c r="K46" s="507"/>
      <c r="L46" s="507"/>
      <c r="M46" s="507"/>
      <c r="N46" s="507"/>
      <c r="O46" s="507"/>
      <c r="P46" s="507"/>
      <c r="Q46" s="507"/>
      <c r="R46" s="507"/>
      <c r="S46" s="507"/>
      <c r="T46" s="507"/>
      <c r="U46" s="507"/>
      <c r="V46" s="505"/>
      <c r="W46" s="661" t="s">
        <v>15</v>
      </c>
      <c r="X46" s="648"/>
      <c r="Y46" s="662"/>
      <c r="Z46" s="662"/>
      <c r="AA46" s="662"/>
      <c r="AB46" s="649" t="s">
        <v>16</v>
      </c>
      <c r="AC46" s="649"/>
      <c r="AD46" s="508"/>
    </row>
    <row r="47" spans="3:30">
      <c r="C47" s="506"/>
      <c r="D47" s="507"/>
      <c r="E47" s="507"/>
      <c r="F47" s="507"/>
      <c r="G47" s="507"/>
      <c r="H47" s="507"/>
      <c r="I47" s="507"/>
      <c r="J47" s="507"/>
      <c r="K47" s="507"/>
      <c r="L47" s="507"/>
      <c r="M47" s="507"/>
      <c r="N47" s="507"/>
      <c r="O47" s="507"/>
      <c r="P47" s="507"/>
      <c r="Q47" s="507"/>
      <c r="R47" s="507"/>
      <c r="S47" s="507"/>
      <c r="T47" s="507"/>
      <c r="U47" s="507"/>
      <c r="V47" s="505"/>
      <c r="W47" s="655" t="s">
        <v>17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506"/>
      <c r="D48" s="507"/>
      <c r="E48" s="507"/>
      <c r="F48" s="507"/>
      <c r="G48" s="507"/>
      <c r="H48" s="507"/>
      <c r="I48" s="507"/>
      <c r="J48" s="507"/>
      <c r="K48" s="507"/>
      <c r="L48" s="507"/>
      <c r="M48" s="507"/>
      <c r="R48" s="507"/>
      <c r="S48" s="507"/>
      <c r="T48" s="507"/>
      <c r="U48" s="507"/>
      <c r="V48" s="505"/>
      <c r="W48" s="657" t="s">
        <v>1637</v>
      </c>
      <c r="X48" s="657"/>
      <c r="Y48" s="657"/>
      <c r="Z48" s="657"/>
      <c r="AA48" s="657"/>
      <c r="AB48" s="657"/>
      <c r="AC48" s="657"/>
      <c r="AD48" s="658"/>
    </row>
    <row r="49" spans="3:30">
      <c r="C49" s="506"/>
      <c r="D49" s="509"/>
      <c r="E49" s="507"/>
      <c r="F49" s="507"/>
      <c r="G49" s="507"/>
      <c r="I49" s="507"/>
      <c r="J49" s="507"/>
      <c r="K49" s="507"/>
      <c r="L49" s="507"/>
      <c r="M49" s="507"/>
      <c r="R49" s="507"/>
      <c r="S49" s="507"/>
      <c r="T49" s="507"/>
      <c r="U49" s="507"/>
      <c r="V49" s="510"/>
      <c r="W49" s="657"/>
      <c r="X49" s="657"/>
      <c r="Y49" s="657"/>
      <c r="Z49" s="657"/>
      <c r="AA49" s="657"/>
      <c r="AB49" s="657"/>
      <c r="AC49" s="657"/>
      <c r="AD49" s="658"/>
    </row>
    <row r="50" spans="3:30">
      <c r="C50" s="506"/>
      <c r="D50" s="511"/>
      <c r="E50" s="511"/>
      <c r="F50" s="511"/>
      <c r="G50" s="511"/>
      <c r="I50" s="507"/>
      <c r="J50" s="507"/>
      <c r="K50" s="507"/>
      <c r="L50" s="507"/>
      <c r="M50" s="507"/>
      <c r="N50" s="507"/>
      <c r="O50" s="507"/>
      <c r="P50" s="507"/>
      <c r="Q50" s="507"/>
      <c r="R50" s="507"/>
      <c r="S50" s="507"/>
      <c r="T50" s="507"/>
      <c r="U50" s="507"/>
      <c r="V50" s="510"/>
      <c r="W50" s="657"/>
      <c r="X50" s="657"/>
      <c r="Y50" s="657"/>
      <c r="Z50" s="657"/>
      <c r="AA50" s="657"/>
      <c r="AB50" s="657"/>
      <c r="AC50" s="657"/>
      <c r="AD50" s="658"/>
    </row>
    <row r="51" spans="3:30" ht="19.5" customHeight="1">
      <c r="C51" s="506"/>
      <c r="D51" s="511"/>
      <c r="E51" s="511"/>
      <c r="F51" s="511"/>
      <c r="G51" s="511"/>
      <c r="I51" s="507"/>
      <c r="J51" s="507"/>
      <c r="K51" s="507"/>
      <c r="L51" s="507"/>
      <c r="M51" s="507"/>
      <c r="N51" s="507"/>
      <c r="O51" s="507"/>
      <c r="P51" s="507"/>
      <c r="Q51" s="507"/>
      <c r="R51" s="507"/>
      <c r="S51" s="507"/>
      <c r="T51" s="507"/>
      <c r="U51" s="507"/>
      <c r="V51" s="510"/>
      <c r="W51" s="659"/>
      <c r="X51" s="659"/>
      <c r="Y51" s="659"/>
      <c r="Z51" s="659"/>
      <c r="AA51" s="659"/>
      <c r="AB51" s="659"/>
      <c r="AC51" s="659"/>
      <c r="AD51" s="660"/>
    </row>
    <row r="52" spans="3:30">
      <c r="C52" s="506"/>
      <c r="D52" s="512"/>
      <c r="E52" s="512"/>
      <c r="F52" s="512"/>
      <c r="G52" s="512"/>
      <c r="I52" s="507"/>
      <c r="J52" s="507"/>
      <c r="K52" s="507"/>
      <c r="L52" s="422"/>
      <c r="M52" s="507"/>
      <c r="N52" s="507"/>
      <c r="O52" s="507"/>
      <c r="P52" s="507"/>
      <c r="Q52" s="507"/>
      <c r="R52" s="507"/>
      <c r="S52" s="507"/>
      <c r="T52" s="507"/>
      <c r="U52" s="507"/>
      <c r="V52" s="505"/>
      <c r="W52" s="647" t="s">
        <v>18</v>
      </c>
      <c r="X52" s="648"/>
      <c r="Y52" s="649" t="s">
        <v>1626</v>
      </c>
      <c r="Z52" s="649"/>
      <c r="AA52" s="649"/>
      <c r="AB52" s="649"/>
      <c r="AC52" s="649"/>
      <c r="AD52" s="650"/>
    </row>
    <row r="53" spans="3:30">
      <c r="C53" s="506"/>
      <c r="D53" s="511"/>
      <c r="E53" s="511"/>
      <c r="F53" s="511"/>
      <c r="G53" s="511"/>
      <c r="I53" s="507"/>
      <c r="J53" s="507"/>
      <c r="K53" s="507"/>
      <c r="L53" s="507"/>
      <c r="M53" s="507"/>
      <c r="N53" s="507"/>
      <c r="O53" s="507"/>
      <c r="P53" s="507"/>
      <c r="Q53" s="507"/>
      <c r="R53" s="507"/>
      <c r="S53" s="507"/>
      <c r="T53" s="507"/>
      <c r="V53" s="505"/>
      <c r="W53" s="647" t="s">
        <v>19</v>
      </c>
      <c r="X53" s="648"/>
      <c r="Y53" s="649" t="s">
        <v>1625</v>
      </c>
      <c r="Z53" s="649"/>
      <c r="AA53" s="649"/>
      <c r="AB53" s="649"/>
      <c r="AC53" s="649"/>
      <c r="AD53" s="650"/>
    </row>
    <row r="54" spans="3:30">
      <c r="C54" s="506"/>
      <c r="D54" s="423"/>
      <c r="E54" s="423"/>
      <c r="F54" s="423"/>
      <c r="G54" s="423"/>
      <c r="I54" s="507"/>
      <c r="J54" s="507"/>
      <c r="K54" s="507"/>
      <c r="L54" s="507"/>
      <c r="M54" s="507"/>
      <c r="N54" s="507"/>
      <c r="O54" s="507"/>
      <c r="P54" s="507"/>
      <c r="Q54" s="507"/>
      <c r="R54" s="507"/>
      <c r="S54" s="507"/>
      <c r="T54" s="507"/>
      <c r="V54" s="505"/>
      <c r="W54" s="647" t="s">
        <v>20</v>
      </c>
      <c r="X54" s="648"/>
      <c r="Y54" s="649" t="s">
        <v>1625</v>
      </c>
      <c r="Z54" s="649"/>
      <c r="AA54" s="649"/>
      <c r="AB54" s="649"/>
      <c r="AC54" s="649"/>
      <c r="AD54" s="650"/>
    </row>
    <row r="55" spans="3:30" ht="12.75" thickBot="1">
      <c r="C55" s="513"/>
      <c r="D55" s="514"/>
      <c r="E55" s="514"/>
      <c r="F55" s="514"/>
      <c r="G55" s="514"/>
      <c r="H55" s="514"/>
      <c r="I55" s="514"/>
      <c r="J55" s="514"/>
      <c r="K55" s="514"/>
      <c r="L55" s="514"/>
      <c r="M55" s="514"/>
      <c r="N55" s="514"/>
      <c r="O55" s="514"/>
      <c r="P55" s="514"/>
      <c r="Q55" s="514"/>
      <c r="R55" s="514"/>
      <c r="S55" s="514"/>
      <c r="T55" s="514"/>
      <c r="U55" s="515"/>
      <c r="V55" s="516"/>
      <c r="W55" s="651" t="s">
        <v>21</v>
      </c>
      <c r="X55" s="652"/>
      <c r="Y55" s="653" t="s">
        <v>1624</v>
      </c>
      <c r="Z55" s="653"/>
      <c r="AA55" s="653"/>
      <c r="AB55" s="653"/>
      <c r="AC55" s="653"/>
      <c r="AD55" s="654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A4" zoomScale="47" zoomScaleNormal="40" zoomScaleSheetLayoutView="103" workbookViewId="0">
      <selection activeCell="AC45" sqref="AC45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8" t="s">
        <v>1622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709"/>
      <c r="X3" s="709"/>
      <c r="Y3" s="709"/>
      <c r="Z3" s="709"/>
      <c r="AA3" s="709"/>
      <c r="AB3" s="710"/>
      <c r="AC3" s="430"/>
      <c r="AD3" s="428"/>
      <c r="AE3" s="428"/>
    </row>
    <row r="4" spans="2:31" ht="13.5" customHeight="1" thickBot="1">
      <c r="B4" s="429"/>
      <c r="C4" s="711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3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D9" sqref="D9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4" t="s">
        <v>1623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206"/>
      <c r="AE4" s="205"/>
      <c r="AF4" s="205"/>
    </row>
    <row r="5" spans="2:32" ht="13.5" customHeight="1" thickBot="1">
      <c r="B5" s="204"/>
      <c r="C5" s="204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2024-06-28T02:05:51Z</dcterms:modified>
</cp:coreProperties>
</file>