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366827B7-4007-44B2-BCA2-88907A66754F}" xr6:coauthVersionLast="47" xr6:coauthVersionMax="47" xr10:uidLastSave="{00000000-0000-0000-0000-000000000000}"/>
  <bookViews>
    <workbookView xWindow="-120" yWindow="-120" windowWidth="15600" windowHeight="11160" tabRatio="859" firstSheet="2" activeTab="5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RAB!$A$1:$K$83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D16" i="60" l="1"/>
  <c r="G61" i="11"/>
  <c r="D61" i="11"/>
  <c r="I61" i="11" s="1"/>
  <c r="E61" i="11"/>
  <c r="D19" i="11"/>
  <c r="F52" i="11"/>
  <c r="F50" i="11"/>
  <c r="F49" i="11"/>
  <c r="F48" i="11"/>
  <c r="J61" i="11" l="1"/>
  <c r="H61" i="11"/>
  <c r="K61" i="11" l="1"/>
  <c r="G60" i="11" l="1"/>
  <c r="D60" i="11"/>
  <c r="H60" i="11" s="1"/>
  <c r="E60" i="11"/>
  <c r="J60" i="11" l="1"/>
  <c r="I60" i="11"/>
  <c r="K60" i="11" l="1"/>
  <c r="G48" i="11" l="1"/>
  <c r="G49" i="11"/>
  <c r="G50" i="11"/>
  <c r="G51" i="11"/>
  <c r="G52" i="11"/>
  <c r="D16" i="11"/>
  <c r="D17" i="11"/>
  <c r="F59" i="11" l="1"/>
  <c r="F58" i="11"/>
  <c r="F57" i="11"/>
  <c r="F56" i="11"/>
  <c r="F55" i="11"/>
  <c r="D52" i="11"/>
  <c r="H52" i="11" s="1"/>
  <c r="E52" i="11"/>
  <c r="G46" i="11"/>
  <c r="G47" i="11"/>
  <c r="G53" i="11"/>
  <c r="G54" i="11"/>
  <c r="G55" i="11"/>
  <c r="G56" i="11"/>
  <c r="G57" i="11"/>
  <c r="G58" i="11"/>
  <c r="G59" i="11"/>
  <c r="G62" i="11"/>
  <c r="D46" i="11"/>
  <c r="H46" i="11" s="1"/>
  <c r="E46" i="11"/>
  <c r="D47" i="11"/>
  <c r="J47" i="11" s="1"/>
  <c r="E47" i="11"/>
  <c r="D48" i="11"/>
  <c r="I48" i="11" s="1"/>
  <c r="E48" i="11"/>
  <c r="D49" i="11"/>
  <c r="E49" i="11"/>
  <c r="D50" i="11"/>
  <c r="E50" i="11"/>
  <c r="D51" i="11"/>
  <c r="E51" i="11"/>
  <c r="D53" i="11"/>
  <c r="I53" i="11" s="1"/>
  <c r="E53" i="11"/>
  <c r="D54" i="11"/>
  <c r="H54" i="11" s="1"/>
  <c r="E54" i="11"/>
  <c r="D55" i="11"/>
  <c r="H55" i="11" s="1"/>
  <c r="E55" i="11"/>
  <c r="D56" i="11"/>
  <c r="J56" i="11" s="1"/>
  <c r="E56" i="11"/>
  <c r="D57" i="11"/>
  <c r="E57" i="11"/>
  <c r="D58" i="11"/>
  <c r="H58" i="11" s="1"/>
  <c r="E58" i="11"/>
  <c r="D59" i="11"/>
  <c r="H59" i="11" s="1"/>
  <c r="E59" i="11"/>
  <c r="D62" i="11"/>
  <c r="E62" i="11"/>
  <c r="G15" i="11"/>
  <c r="G16" i="11"/>
  <c r="G17" i="11"/>
  <c r="G18" i="11"/>
  <c r="J62" i="11" l="1"/>
  <c r="I57" i="11"/>
  <c r="J52" i="11"/>
  <c r="I52" i="11"/>
  <c r="H50" i="11"/>
  <c r="J51" i="11"/>
  <c r="H49" i="11"/>
  <c r="J55" i="11"/>
  <c r="H53" i="11"/>
  <c r="H47" i="11"/>
  <c r="I56" i="11"/>
  <c r="J50" i="11"/>
  <c r="H48" i="11"/>
  <c r="H56" i="11"/>
  <c r="J54" i="11"/>
  <c r="I51" i="11"/>
  <c r="J46" i="11"/>
  <c r="H57" i="11"/>
  <c r="H51" i="11"/>
  <c r="J49" i="11"/>
  <c r="I47" i="11"/>
  <c r="I62" i="11"/>
  <c r="J59" i="11"/>
  <c r="H62" i="11"/>
  <c r="I59" i="11"/>
  <c r="J58" i="11"/>
  <c r="I55" i="11"/>
  <c r="I50" i="11"/>
  <c r="I46" i="11"/>
  <c r="I58" i="11"/>
  <c r="K58" i="11" s="1"/>
  <c r="J57" i="11"/>
  <c r="I54" i="11"/>
  <c r="J53" i="11"/>
  <c r="I49" i="11"/>
  <c r="J48" i="11"/>
  <c r="K55" i="11" l="1"/>
  <c r="K52" i="11"/>
  <c r="K51" i="11"/>
  <c r="K49" i="11"/>
  <c r="K59" i="11"/>
  <c r="K57" i="11"/>
  <c r="K56" i="11"/>
  <c r="K54" i="11"/>
  <c r="K50" i="11"/>
  <c r="K48" i="11"/>
  <c r="K53" i="11"/>
  <c r="K46" i="11"/>
  <c r="K62" i="11"/>
  <c r="K47" i="11"/>
  <c r="D8" i="59" l="1"/>
  <c r="E16" i="11"/>
  <c r="E17" i="11"/>
  <c r="E18" i="11"/>
  <c r="H17" i="11" l="1"/>
  <c r="I17" i="11"/>
  <c r="J17" i="11"/>
  <c r="K17" i="11" l="1"/>
  <c r="D45" i="11" l="1"/>
  <c r="H45" i="11" s="1"/>
  <c r="D63" i="11"/>
  <c r="J63" i="11" s="1"/>
  <c r="G45" i="11"/>
  <c r="D15" i="11"/>
  <c r="D18" i="11"/>
  <c r="H19" i="11"/>
  <c r="G19" i="11"/>
  <c r="K6" i="60"/>
  <c r="M64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41" i="11"/>
  <c r="E41" i="11"/>
  <c r="D41" i="11"/>
  <c r="G40" i="11"/>
  <c r="E40" i="11"/>
  <c r="D40" i="11"/>
  <c r="H40" i="11" s="1"/>
  <c r="G39" i="11"/>
  <c r="E39" i="11"/>
  <c r="D39" i="11"/>
  <c r="G38" i="11"/>
  <c r="E38" i="11"/>
  <c r="D38" i="11"/>
  <c r="J38" i="11" s="1"/>
  <c r="G37" i="11"/>
  <c r="E37" i="11"/>
  <c r="D37" i="11"/>
  <c r="I37" i="11" s="1"/>
  <c r="G36" i="11"/>
  <c r="E36" i="11"/>
  <c r="D36" i="11"/>
  <c r="G35" i="11"/>
  <c r="E35" i="11"/>
  <c r="D35" i="11"/>
  <c r="H35" i="11" s="1"/>
  <c r="G34" i="11"/>
  <c r="E34" i="11"/>
  <c r="D34" i="11"/>
  <c r="G33" i="11"/>
  <c r="E33" i="11"/>
  <c r="D33" i="11"/>
  <c r="G32" i="11"/>
  <c r="E32" i="11"/>
  <c r="D32" i="11"/>
  <c r="G31" i="11"/>
  <c r="E31" i="11"/>
  <c r="D31" i="11"/>
  <c r="J31" i="11" s="1"/>
  <c r="G30" i="11"/>
  <c r="E30" i="11"/>
  <c r="D30" i="11"/>
  <c r="J30" i="11" s="1"/>
  <c r="G29" i="11"/>
  <c r="E29" i="11"/>
  <c r="D29" i="11"/>
  <c r="G28" i="11"/>
  <c r="E28" i="11"/>
  <c r="D28" i="11"/>
  <c r="G27" i="11"/>
  <c r="E27" i="11"/>
  <c r="D27" i="11"/>
  <c r="G26" i="11"/>
  <c r="E26" i="11"/>
  <c r="D26" i="11"/>
  <c r="G25" i="11"/>
  <c r="E25" i="11"/>
  <c r="D25" i="11"/>
  <c r="J25" i="11" s="1"/>
  <c r="G24" i="11"/>
  <c r="E24" i="11"/>
  <c r="D24" i="11"/>
  <c r="G23" i="11"/>
  <c r="E23" i="11"/>
  <c r="D23" i="11"/>
  <c r="G22" i="11"/>
  <c r="E22" i="11"/>
  <c r="D22" i="11"/>
  <c r="G21" i="11"/>
  <c r="E21" i="11"/>
  <c r="D21" i="11"/>
  <c r="G20" i="11"/>
  <c r="E20" i="11"/>
  <c r="D20" i="11"/>
  <c r="M20" i="11"/>
  <c r="D14" i="59"/>
  <c r="D5" i="60" s="1"/>
  <c r="K5" i="60" s="1"/>
  <c r="E19" i="11"/>
  <c r="E15" i="11"/>
  <c r="A15" i="11"/>
  <c r="D19" i="59"/>
  <c r="D18" i="59"/>
  <c r="M16" i="11"/>
  <c r="E45" i="11"/>
  <c r="D42" i="11"/>
  <c r="E42" i="11"/>
  <c r="D43" i="11"/>
  <c r="E43" i="11"/>
  <c r="M45" i="11"/>
  <c r="D44" i="11"/>
  <c r="E44" i="11"/>
  <c r="E63" i="11"/>
  <c r="G63" i="11"/>
  <c r="D14" i="11"/>
  <c r="H14" i="11" s="1"/>
  <c r="E14" i="11"/>
  <c r="G14" i="11"/>
  <c r="K19" i="60"/>
  <c r="D19" i="60"/>
  <c r="M63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 s="1"/>
  <c r="D6" i="60"/>
  <c r="D9" i="60"/>
  <c r="D64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64" i="11"/>
  <c r="D65" i="11"/>
  <c r="E65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65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44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43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64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72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42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54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21" i="11" l="1"/>
  <c r="H15" i="11"/>
  <c r="I15" i="11"/>
  <c r="J15" i="11"/>
  <c r="H18" i="11"/>
  <c r="I18" i="11"/>
  <c r="J18" i="11"/>
  <c r="J16" i="11"/>
  <c r="H16" i="11"/>
  <c r="I16" i="11"/>
  <c r="H44" i="11"/>
  <c r="D312" i="29"/>
  <c r="E312" i="29" s="1"/>
  <c r="D802" i="41"/>
  <c r="E802" i="41" s="1"/>
  <c r="D22" i="59"/>
  <c r="K8" i="60" s="1"/>
  <c r="D21" i="59"/>
  <c r="M55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56" i="11"/>
  <c r="M57" i="11"/>
  <c r="M59" i="11"/>
  <c r="M58" i="11"/>
  <c r="E776" i="41"/>
  <c r="E272" i="29"/>
  <c r="F717" i="41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E1048" i="41"/>
  <c r="E1170" i="41"/>
  <c r="E1130" i="41"/>
  <c r="E1136" i="41"/>
  <c r="E813" i="41"/>
  <c r="E1106" i="41"/>
  <c r="E895" i="41"/>
  <c r="F810" i="41"/>
  <c r="E1053" i="41"/>
  <c r="F769" i="41"/>
  <c r="E1080" i="41"/>
  <c r="E1303" i="41"/>
  <c r="E891" i="41"/>
  <c r="E955" i="41"/>
  <c r="E1306" i="41"/>
  <c r="E918" i="41"/>
  <c r="E1103" i="41"/>
  <c r="E986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F866" i="41"/>
  <c r="E1029" i="41"/>
  <c r="E784" i="41"/>
  <c r="E973" i="41"/>
  <c r="F322" i="29"/>
  <c r="F250" i="29"/>
  <c r="E273" i="29"/>
  <c r="E1292" i="41"/>
  <c r="E1132" i="41"/>
  <c r="E939" i="41"/>
  <c r="E781" i="41"/>
  <c r="E818" i="41"/>
  <c r="E1203" i="41"/>
  <c r="E952" i="41"/>
  <c r="E1090" i="41"/>
  <c r="F320" i="29"/>
  <c r="F229" i="29"/>
  <c r="F868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44" i="1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42" i="11"/>
  <c r="I42" i="11"/>
  <c r="F806" i="41"/>
  <c r="E1081" i="41"/>
  <c r="E1027" i="41"/>
  <c r="F861" i="41"/>
  <c r="E861" i="41"/>
  <c r="E230" i="29"/>
  <c r="E346" i="29"/>
  <c r="E274" i="29"/>
  <c r="F274" i="29"/>
  <c r="H65" i="11"/>
  <c r="J65" i="11"/>
  <c r="J44" i="11"/>
  <c r="E340" i="29"/>
  <c r="I25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H25" i="1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331" i="29"/>
  <c r="E267" i="29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9" i="41"/>
  <c r="E749" i="41"/>
  <c r="F783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E287" i="29"/>
  <c r="F287" i="29"/>
  <c r="J43" i="11"/>
  <c r="I43" i="11"/>
  <c r="E348" i="29"/>
  <c r="E59" i="39"/>
  <c r="E290" i="29"/>
  <c r="F323" i="29"/>
  <c r="E260" i="29"/>
  <c r="E236" i="29"/>
  <c r="E73" i="39"/>
  <c r="E341" i="29"/>
  <c r="F341" i="29"/>
  <c r="F299" i="29"/>
  <c r="J41" i="11"/>
  <c r="H41" i="11"/>
  <c r="I41" i="11"/>
  <c r="F300" i="29"/>
  <c r="E284" i="29"/>
  <c r="J19" i="11"/>
  <c r="F233" i="29"/>
  <c r="E58" i="39"/>
  <c r="F319" i="29"/>
  <c r="F310" i="29"/>
  <c r="H43" i="11"/>
  <c r="H42" i="11"/>
  <c r="M53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20" i="11"/>
  <c r="H20" i="11"/>
  <c r="H24" i="11"/>
  <c r="J24" i="11"/>
  <c r="I24" i="11"/>
  <c r="J28" i="11"/>
  <c r="I28" i="11"/>
  <c r="H28" i="11"/>
  <c r="J32" i="11"/>
  <c r="H32" i="11"/>
  <c r="I36" i="11"/>
  <c r="J36" i="11"/>
  <c r="H36" i="11"/>
  <c r="I20" i="11"/>
  <c r="I23" i="11"/>
  <c r="H23" i="11"/>
  <c r="J23" i="11"/>
  <c r="I27" i="11"/>
  <c r="J27" i="11"/>
  <c r="H27" i="11"/>
  <c r="H31" i="11"/>
  <c r="I31" i="11"/>
  <c r="I35" i="11"/>
  <c r="J35" i="11"/>
  <c r="I39" i="11"/>
  <c r="H39" i="11"/>
  <c r="J39" i="11"/>
  <c r="I65" i="11"/>
  <c r="J22" i="11"/>
  <c r="H22" i="11"/>
  <c r="I22" i="11"/>
  <c r="J26" i="11"/>
  <c r="H26" i="11"/>
  <c r="I26" i="11"/>
  <c r="I30" i="11"/>
  <c r="H30" i="11"/>
  <c r="J34" i="11"/>
  <c r="H34" i="11"/>
  <c r="I34" i="11"/>
  <c r="H38" i="11"/>
  <c r="I38" i="11"/>
  <c r="I32" i="11"/>
  <c r="H21" i="11"/>
  <c r="J21" i="11"/>
  <c r="I29" i="11"/>
  <c r="H29" i="11"/>
  <c r="J29" i="11"/>
  <c r="J33" i="11"/>
  <c r="H33" i="11"/>
  <c r="I33" i="11"/>
  <c r="J37" i="11"/>
  <c r="H37" i="11"/>
  <c r="I40" i="11"/>
  <c r="I63" i="11"/>
  <c r="J45" i="11"/>
  <c r="J40" i="11"/>
  <c r="I19" i="11"/>
  <c r="H63" i="11"/>
  <c r="I45" i="11"/>
  <c r="F781" i="41" l="1"/>
  <c r="F291" i="29"/>
  <c r="F779" i="41"/>
  <c r="F289" i="29"/>
  <c r="F805" i="41"/>
  <c r="F315" i="29"/>
  <c r="F838" i="4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46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8" i="11"/>
  <c r="M18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K45" i="11"/>
  <c r="K35" i="11"/>
  <c r="M35" i="11" s="1"/>
  <c r="K25" i="11"/>
  <c r="M25" i="11" s="1"/>
  <c r="K44" i="11"/>
  <c r="M44" i="11" s="1"/>
  <c r="K19" i="11"/>
  <c r="M19" i="11" s="1"/>
  <c r="M62" i="11"/>
  <c r="K65" i="11"/>
  <c r="K41" i="11"/>
  <c r="M41" i="11" s="1"/>
  <c r="K42" i="11"/>
  <c r="M42" i="11" s="1"/>
  <c r="F350" i="29"/>
  <c r="K38" i="11"/>
  <c r="M38" i="11" s="1"/>
  <c r="K40" i="11"/>
  <c r="M40" i="11" s="1"/>
  <c r="K21" i="11"/>
  <c r="M21" i="11" s="1"/>
  <c r="K31" i="11"/>
  <c r="M31" i="11" s="1"/>
  <c r="K24" i="11"/>
  <c r="M24" i="11" s="1"/>
  <c r="K29" i="11"/>
  <c r="M29" i="11" s="1"/>
  <c r="K43" i="11"/>
  <c r="M43" i="11" s="1"/>
  <c r="K63" i="11"/>
  <c r="K26" i="11"/>
  <c r="M26" i="11" s="1"/>
  <c r="H64" i="11"/>
  <c r="H67" i="11" s="1"/>
  <c r="F312" i="29"/>
  <c r="F339" i="29"/>
  <c r="F226" i="29"/>
  <c r="F345" i="29"/>
  <c r="F239" i="29"/>
  <c r="I64" i="11"/>
  <c r="I67" i="11" s="1"/>
  <c r="J64" i="11"/>
  <c r="J67" i="11" s="1"/>
  <c r="K30" i="11"/>
  <c r="M30" i="11" s="1"/>
  <c r="K39" i="11"/>
  <c r="M39" i="11" s="1"/>
  <c r="K32" i="11"/>
  <c r="M32" i="11" s="1"/>
  <c r="K20" i="11"/>
  <c r="K33" i="11"/>
  <c r="M33" i="11" s="1"/>
  <c r="K36" i="11"/>
  <c r="M36" i="11" s="1"/>
  <c r="K37" i="11"/>
  <c r="M37" i="11" s="1"/>
  <c r="K34" i="11"/>
  <c r="M34" i="11" s="1"/>
  <c r="K22" i="11"/>
  <c r="M22" i="11" s="1"/>
  <c r="K27" i="11"/>
  <c r="M27" i="11" s="1"/>
  <c r="K23" i="11"/>
  <c r="M23" i="11" s="1"/>
  <c r="K28" i="11"/>
  <c r="M28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68" i="11"/>
  <c r="J69" i="11" s="1"/>
  <c r="H68" i="11"/>
  <c r="H69" i="11" s="1"/>
  <c r="I68" i="11"/>
  <c r="I69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G23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67" i="29"/>
  <c r="G21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64" i="11"/>
  <c r="K67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G26" i="39" l="1"/>
  <c r="B23" i="39"/>
  <c r="E23" i="39" s="1"/>
  <c r="D106" i="29"/>
  <c r="H106" i="29" s="1"/>
  <c r="D28" i="39"/>
  <c r="H28" i="39" s="1"/>
  <c r="D21" i="39"/>
  <c r="I21" i="39" s="1"/>
  <c r="D68" i="29"/>
  <c r="G25" i="39"/>
  <c r="D92" i="29"/>
  <c r="I92" i="29" s="1"/>
  <c r="B124" i="29"/>
  <c r="E124" i="29" s="1"/>
  <c r="D148" i="29"/>
  <c r="I148" i="29" s="1"/>
  <c r="D90" i="29"/>
  <c r="H90" i="29" s="1"/>
  <c r="G18" i="39"/>
  <c r="G77" i="29"/>
  <c r="I30" i="39"/>
  <c r="G133" i="29"/>
  <c r="G29" i="39"/>
  <c r="G24" i="29"/>
  <c r="D124" i="29"/>
  <c r="H124" i="29" s="1"/>
  <c r="D33" i="39"/>
  <c r="I33" i="39" s="1"/>
  <c r="B112" i="29"/>
  <c r="E112" i="29" s="1"/>
  <c r="B149" i="29"/>
  <c r="E149" i="29" s="1"/>
  <c r="D85" i="29"/>
  <c r="I85" i="29" s="1"/>
  <c r="B33" i="39"/>
  <c r="E33" i="39" s="1"/>
  <c r="D115" i="29"/>
  <c r="J115" i="29" s="1"/>
  <c r="G112" i="29"/>
  <c r="D58" i="29"/>
  <c r="B33" i="29"/>
  <c r="E33" i="29" s="1"/>
  <c r="G143" i="29"/>
  <c r="B18" i="39"/>
  <c r="E18" i="39" s="1"/>
  <c r="D29" i="39"/>
  <c r="J29" i="39" s="1"/>
  <c r="B28" i="39"/>
  <c r="E28" i="39" s="1"/>
  <c r="D20" i="39"/>
  <c r="J20" i="39" s="1"/>
  <c r="B38" i="29"/>
  <c r="E38" i="29" s="1"/>
  <c r="G85" i="29"/>
  <c r="G115" i="29"/>
  <c r="G58" i="29"/>
  <c r="D122" i="29"/>
  <c r="J122" i="29" s="1"/>
  <c r="D143" i="29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H132" i="29" s="1"/>
  <c r="G32" i="39"/>
  <c r="D18" i="29"/>
  <c r="I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68" i="11"/>
  <c r="K69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148" i="29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J85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I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J100" i="29"/>
  <c r="I100" i="29"/>
  <c r="H100" i="29"/>
  <c r="I25" i="29"/>
  <c r="J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60" i="29"/>
  <c r="H160" i="29"/>
  <c r="J160" i="29"/>
  <c r="H58" i="29"/>
  <c r="J58" i="29"/>
  <c r="I58" i="29"/>
  <c r="H113" i="29"/>
  <c r="J113" i="29"/>
  <c r="I33" i="29"/>
  <c r="H33" i="29"/>
  <c r="J33" i="29"/>
  <c r="H67" i="29"/>
  <c r="J67" i="29"/>
  <c r="I67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J106" i="29" l="1"/>
  <c r="K106" i="29" s="1"/>
  <c r="J132" i="29"/>
  <c r="H33" i="39"/>
  <c r="H92" i="29"/>
  <c r="J21" i="39"/>
  <c r="H21" i="39"/>
  <c r="J148" i="29"/>
  <c r="K148" i="29" s="1"/>
  <c r="H29" i="39"/>
  <c r="K29" i="39" s="1"/>
  <c r="H85" i="29"/>
  <c r="K85" i="29" s="1"/>
  <c r="I22" i="39"/>
  <c r="K30" i="39"/>
  <c r="H122" i="29"/>
  <c r="J20" i="29"/>
  <c r="J18" i="29"/>
  <c r="I17" i="39"/>
  <c r="I20" i="29"/>
  <c r="J92" i="29"/>
  <c r="J35" i="29"/>
  <c r="I122" i="29"/>
  <c r="I132" i="29"/>
  <c r="J33" i="39"/>
  <c r="I90" i="29"/>
  <c r="J90" i="29"/>
  <c r="I86" i="29"/>
  <c r="I81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K35" i="29" s="1"/>
  <c r="H18" i="29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22" i="39"/>
  <c r="K63" i="29"/>
  <c r="K112" i="29"/>
  <c r="K24" i="29"/>
  <c r="K116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73" i="29"/>
  <c r="K21" i="29"/>
  <c r="K72" i="29"/>
  <c r="K124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70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132" i="29" l="1"/>
  <c r="K33" i="39"/>
  <c r="K92" i="29"/>
  <c r="K21" i="39"/>
  <c r="K18" i="29"/>
  <c r="K81" i="29"/>
  <c r="K20" i="29"/>
  <c r="K90" i="29"/>
  <c r="K122" i="29"/>
  <c r="K17" i="39"/>
  <c r="K86" i="29"/>
  <c r="K157" i="29"/>
  <c r="K47" i="29"/>
  <c r="K162" i="29"/>
  <c r="K34" i="39"/>
  <c r="K115" i="29"/>
  <c r="K30" i="2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<sst xmlns="http://schemas.openxmlformats.org/spreadsheetml/2006/main" count="4727" uniqueCount="1636">
  <si>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</si>
  <si>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</si>
  <si>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</si>
  <si>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</si>
  <si>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</si>
  <si>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</si>
  <si>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</si>
  <si>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</si>
  <si>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</si>
  <si>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</si>
  <si>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</si>
  <si>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</si>
  <si>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</si>
  <si>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</si>
  <si>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</si>
  <si>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</si>
  <si>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</si>
  <si>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</si>
  <si>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</si>
  <si>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</si>
  <si>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</si>
  <si>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</si>
  <si>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</si>
  <si>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</si>
  <si>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</si>
  <si>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</si>
  <si>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</si>
  <si>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</si>
  <si>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</si>
  <si>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</si>
  <si>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</si>
  <si>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</si>
  <si>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</si>
  <si>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</si>
  <si>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</si>
  <si>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</si>
  <si>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</si>
  <si>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</si>
  <si>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</si>
  <si>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</si>
  <si>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</si>
  <si>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</si>
  <si>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</si>
  <si>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</si>
  <si>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</si>
  <si>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</si>
  <si>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</si>
  <si>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</si>
  <si>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</si>
  <si>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</si>
  <si>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</si>
  <si>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</si>
  <si>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</si>
  <si>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</si>
  <si>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</si>
  <si>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</si>
  <si>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</si>
  <si>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</si>
  <si>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</si>
  <si>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</si>
  <si>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</si>
  <si>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</si>
  <si>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</si>
  <si>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</si>
  <si>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</si>
  <si>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</si>
  <si>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</si>
  <si>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</si>
  <si>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</si>
  <si>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</si>
  <si>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</si>
  <si>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</si>
  <si>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</si>
  <si>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</si>
  <si>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</si>
  <si>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</si>
  <si>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</si>
  <si>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</si>
  <si>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</si>
  <si>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</si>
  <si>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</si>
  <si>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</si>
  <si>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</si>
  <si>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</si>
  <si>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</si>
  <si>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</si>
  <si>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</si>
  <si>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</si>
  <si>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</si>
  <si>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</si>
  <si>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</si>
  <si>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</si>
  <si>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</si>
  <si>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</si>
  <si>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</si>
  <si>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</si>
  <si>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</si>
  <si>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</si>
  <si>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</si>
  <si>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</si>
  <si>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</si>
  <si>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</si>
  <si>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</si>
  <si>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</si>
  <si>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</si>
  <si>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</si>
  <si>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</si>
  <si>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</si>
  <si>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</si>
  <si>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</si>
  <si>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</si>
  <si>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</si>
  <si>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</si>
  <si>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</si>
  <si>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</si>
  <si>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</si>
  <si>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</si>
  <si>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</si>
  <si>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</si>
  <si>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</si>
  <si>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</si>
  <si>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</si>
  <si>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</si>
  <si>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</si>
  <si>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</si>
  <si>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</si>
  <si>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</si>
  <si>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</si>
  <si>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</si>
  <si>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</si>
  <si>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</si>
  <si>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</si>
  <si>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</si>
  <si>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</si>
  <si>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</si>
  <si>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</si>
  <si>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</si>
  <si>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</si>
  <si>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</si>
  <si>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</si>
  <si>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</si>
  <si>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</si>
  <si>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</si>
  <si>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</si>
  <si>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</si>
  <si>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</si>
  <si>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</si>
  <si>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</si>
  <si>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</si>
  <si>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</si>
  <si>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</si>
  <si>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</si>
  <si>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</si>
  <si>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</si>
  <si>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</si>
  <si>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</si>
  <si>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</si>
  <si>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</si>
  <si>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</si>
  <si>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</si>
  <si>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</si>
  <si>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</si>
  <si>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</si>
  <si>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</si>
  <si>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</si>
  <si>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</si>
  <si>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</si>
  <si>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</si>
  <si>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</si>
  <si>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</si>
  <si>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</si>
  <si>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</si>
  <si>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</si>
  <si>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</si>
  <si>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</si>
  <si>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</si>
  <si>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</si>
  <si>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</si>
  <si>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</si>
  <si>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</si>
  <si>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</si>
  <si>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</si>
  <si>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</si>
  <si>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</si>
  <si>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</si>
  <si>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</si>
  <si>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</si>
  <si>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</si>
  <si>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</si>
  <si>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</si>
  <si>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</si>
  <si>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</si>
  <si>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</si>
  <si>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</si>
  <si>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</si>
  <si>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</si>
  <si>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</si>
  <si>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</si>
  <si>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</si>
  <si>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</si>
  <si>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</si>
  <si>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</si>
  <si>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</si>
  <si>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</si>
  <si>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</si>
  <si>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</si>
  <si>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</si>
  <si>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</si>
  <si>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</si>
  <si>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</si>
  <si>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</si>
  <si>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</si>
  <si>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</si>
  <si>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</si>
  <si>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</si>
  <si>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</si>
  <si>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</si>
  <si>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</si>
  <si>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</si>
  <si>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</si>
  <si>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</si>
  <si>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</si>
  <si>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</si>
  <si>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</si>
  <si>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</si>
  <si>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</si>
  <si>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</si>
  <si>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</si>
  <si>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</si>
  <si>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</si>
  <si>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</si>
  <si>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</si>
  <si>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</si>
  <si>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</si>
  <si>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</si>
  <si>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</si>
  <si>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</si>
  <si>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</si>
  <si>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</si>
  <si>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</si>
  <si>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</si>
  <si>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</si>
  <si>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</si>
  <si>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</si>
  <si>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</si>
  <si>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</si>
  <si>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</si>
  <si>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</si>
  <si>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</si>
  <si>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</si>
  <si>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</si>
  <si>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</si>
  <si>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</si>
  <si>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</si>
  <si>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</si>
  <si>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</si>
  <si>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</si>
  <si>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</si>
  <si>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</si>
  <si>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</si>
  <si>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</si>
  <si>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</si>
  <si>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</si>
  <si>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</si>
  <si>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</si>
  <si>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</si>
  <si>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</si>
  <si>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</si>
  <si>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</si>
  <si>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</si>
  <si>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</si>
  <si>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</si>
  <si>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</si>
  <si>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</si>
  <si>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</si>
  <si>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</si>
  <si>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</si>
  <si>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</si>
  <si>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</si>
  <si>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</si>
  <si>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</si>
  <si>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</si>
  <si>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</si>
  <si>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</si>
  <si>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</si>
  <si>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</si>
  <si>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</si>
  <si>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</si>
  <si>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</si>
  <si>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</si>
  <si>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</si>
  <si>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</si>
  <si>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</si>
  <si>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</si>
  <si>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</si>
  <si>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</si>
  <si>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</si>
  <si>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</si>
  <si>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</si>
  <si>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</si>
  <si>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</si>
  <si>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</si>
  <si>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</si>
  <si>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</si>
  <si>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</si>
  <si>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</si>
  <si>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</si>
  <si>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</si>
  <si>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</si>
  <si>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</si>
  <si>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</si>
  <si>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</si>
  <si>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</si>
  <si>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</si>
  <si>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</si>
  <si>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</si>
  <si>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</si>
  <si>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</si>
  <si>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</si>
  <si>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</si>
  <si>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</si>
  <si>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</si>
  <si>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</si>
  <si>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</si>
  <si>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</si>
  <si>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</si>
  <si>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</si>
  <si>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</si>
  <si>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</si>
  <si>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</si>
  <si>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</si>
  <si>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</si>
  <si>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</si>
  <si>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</si>
  <si>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</si>
  <si>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</si>
  <si>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</si>
  <si>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</si>
  <si>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</si>
  <si>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</si>
  <si>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</si>
  <si>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</si>
  <si>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</si>
  <si>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</si>
  <si>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</si>
  <si>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</si>
  <si>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</si>
  <si>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</si>
  <si>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</si>
  <si>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</si>
  <si>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</si>
  <si>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</si>
  <si>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</si>
  <si>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</si>
  <si>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</si>
  <si>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</si>
  <si>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</si>
  <si>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</si>
  <si>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</si>
  <si>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</si>
  <si>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</si>
  <si>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</si>
  <si>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</si>
  <si>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</si>
  <si>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</si>
  <si>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</si>
  <si>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</si>
  <si>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</si>
  <si>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</si>
  <si>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</si>
  <si>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</si>
  <si>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</si>
  <si>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</si>
  <si>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</si>
  <si>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</si>
  <si>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</si>
  <si>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</si>
  <si>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</si>
  <si>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</si>
  <si>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</si>
  <si>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</si>
  <si>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</si>
  <si>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</si>
  <si>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</si>
  <si>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</si>
  <si>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</si>
  <si>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</si>
  <si>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</si>
  <si>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</si>
  <si>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</si>
  <si>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</si>
  <si>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</si>
  <si>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</si>
  <si>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</si>
  <si>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</si>
  <si>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</si>
  <si>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</si>
  <si>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</si>
  <si>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</si>
  <si>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</si>
  <si>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</si>
  <si>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</si>
  <si>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</si>
  <si>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</si>
  <si>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</si>
  <si>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</si>
  <si>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</si>
  <si>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</si>
  <si>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</si>
  <si>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</si>
  <si>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</si>
  <si>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</si>
  <si>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</si>
  <si>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</si>
  <si>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</si>
  <si>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</si>
  <si>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</si>
  <si>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</si>
  <si>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</si>
  <si>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</si>
  <si>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</si>
  <si>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</si>
  <si>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</si>
  <si>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</si>
  <si>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</si>
  <si>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</si>
  <si>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</si>
  <si>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</si>
  <si>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</si>
  <si>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</si>
  <si>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</si>
  <si>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</si>
  <si>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</si>
  <si>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</si>
  <si>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</si>
  <si>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</si>
  <si>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</si>
  <si>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</si>
  <si>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</si>
  <si>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</si>
  <si>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</si>
  <si>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</si>
  <si>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</si>
  <si>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</si>
  <si>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</si>
  <si>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</si>
  <si>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</si>
  <si>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</si>
  <si>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</si>
  <si>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</si>
  <si>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</si>
  <si>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</si>
  <si>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</si>
  <si>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</si>
  <si>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</si>
  <si>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</si>
  <si>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</si>
  <si>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</si>
  <si>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</si>
  <si>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</si>
  <si>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</si>
  <si>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</si>
  <si>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</si>
  <si>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</si>
  <si>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</si>
  <si>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</si>
  <si>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</si>
  <si>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</si>
  <si>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</si>
  <si>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</si>
  <si>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</si>
  <si>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</si>
  <si>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</si>
  <si>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</si>
  <si>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</si>
  <si>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</si>
  <si>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</si>
  <si>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</si>
  <si>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</si>
  <si>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</si>
  <si>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</si>
  <si>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</si>
  <si>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</si>
  <si>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</si>
  <si>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</si>
  <si>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</si>
  <si>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</si>
  <si>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</si>
  <si>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</si>
  <si>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</si>
  <si>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</si>
  <si>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</si>
  <si>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</si>
  <si>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</si>
  <si>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</si>
  <si>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</si>
  <si>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</si>
  <si>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</si>
  <si>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</si>
  <si>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</si>
  <si>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</si>
  <si>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</si>
  <si>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</si>
  <si>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</si>
  <si>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</si>
  <si>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</si>
  <si>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</si>
  <si>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</si>
  <si>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</si>
  <si>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</si>
  <si>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</si>
  <si>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</si>
  <si>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</si>
  <si>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</si>
  <si>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</si>
  <si>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</si>
  <si>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</si>
  <si>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</si>
  <si>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</si>
  <si>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</si>
  <si>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</si>
  <si>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</si>
  <si>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</si>
  <si>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</si>
  <si>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</si>
  <si>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</si>
  <si>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</si>
  <si>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</si>
  <si>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</si>
  <si>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</si>
  <si>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</si>
  <si>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</si>
  <si>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</si>
  <si>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</si>
  <si>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</si>
  <si>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</si>
  <si>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</si>
  <si>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</si>
  <si>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</si>
  <si>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</si>
  <si>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</si>
  <si>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</si>
  <si>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</si>
  <si>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</si>
  <si>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</si>
  <si>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</si>
  <si>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</si>
  <si>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</si>
  <si>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</si>
  <si>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</si>
  <si>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</si>
  <si>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</si>
  <si>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</si>
  <si>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</si>
  <si>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</si>
  <si>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</si>
  <si>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</si>
  <si>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</si>
  <si>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</si>
  <si>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</si>
  <si>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</si>
  <si>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</si>
  <si>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</si>
  <si>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</si>
  <si>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</si>
  <si>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</si>
  <si>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</si>
  <si>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</si>
  <si>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</si>
  <si>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</si>
  <si>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</si>
  <si>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</si>
  <si>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</si>
  <si>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</si>
  <si>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</si>
  <si>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</si>
  <si>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</si>
  <si>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</si>
  <si>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</si>
  <si>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</si>
  <si>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</si>
  <si>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</si>
  <si>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</si>
  <si>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</si>
  <si>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</si>
  <si>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</si>
  <si>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</si>
  <si>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</si>
  <si>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</si>
  <si>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</si>
  <si>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</si>
  <si>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</si>
  <si>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</si>
  <si>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</si>
  <si>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</si>
  <si>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</si>
  <si>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</si>
  <si>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</si>
  <si>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</si>
  <si>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</si>
  <si>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</si>
  <si>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</si>
  <si>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</si>
  <si>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</si>
  <si>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</si>
  <si>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</si>
  <si>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</si>
  <si>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</si>
  <si>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</si>
  <si>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</si>
  <si>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</si>
  <si>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</si>
  <si>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</si>
  <si>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</si>
  <si>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</si>
  <si>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</si>
  <si>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</si>
  <si>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</si>
  <si>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</si>
  <si>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</si>
  <si>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</si>
  <si>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</si>
  <si>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</si>
  <si>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</si>
  <si>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</si>
  <si>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</si>
  <si>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</si>
  <si>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</si>
  <si>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</si>
  <si>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</si>
  <si>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</si>
  <si>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</si>
  <si>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</si>
  <si>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</si>
  <si>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</si>
  <si>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</si>
  <si>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</si>
  <si>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</si>
  <si>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</si>
  <si>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</si>
  <si>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</si>
  <si>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</si>
  <si>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</si>
  <si>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</si>
  <si>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</si>
  <si>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</si>
  <si>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</si>
  <si>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</si>
  <si>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</si>
  <si>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</si>
  <si>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</si>
  <si>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</si>
  <si>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</si>
  <si>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</si>
  <si>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</si>
  <si>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</si>
  <si>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</si>
  <si>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</si>
  <si>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</si>
  <si>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</si>
  <si>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</si>
  <si>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</si>
  <si>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</si>
  <si>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</si>
  <si>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</si>
  <si>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</si>
  <si>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</si>
  <si>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</si>
  <si>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</si>
  <si>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</si>
  <si>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</si>
  <si>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</si>
  <si>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</si>
  <si>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</si>
  <si>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</si>
  <si>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</si>
  <si>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</si>
  <si>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</si>
  <si>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</si>
  <si>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</si>
  <si>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</si>
  <si>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</si>
  <si>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</si>
  <si>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</si>
  <si>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</si>
  <si>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</si>
  <si>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</si>
  <si>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</si>
  <si>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</si>
  <si>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</si>
  <si>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</si>
  <si>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</si>
  <si>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</si>
  <si>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</si>
  <si>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</si>
  <si>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</si>
  <si>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</si>
  <si>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</si>
  <si>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</si>
  <si>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</si>
  <si>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</si>
  <si>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</si>
  <si>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</si>
  <si>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</si>
  <si>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</si>
  <si>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</si>
  <si>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</si>
  <si>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</si>
  <si>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</si>
  <si>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</si>
  <si>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</si>
  <si>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</si>
  <si>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</si>
  <si>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</si>
  <si>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</si>
  <si>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</si>
  <si>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</si>
  <si>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</si>
  <si>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</si>
  <si>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</si>
  <si>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</si>
  <si>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</si>
  <si>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</si>
  <si>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</si>
  <si>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</si>
  <si>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</si>
  <si>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</si>
  <si>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</si>
  <si>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</si>
  <si>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</si>
  <si>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</si>
  <si>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</si>
  <si>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</si>
  <si>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</si>
  <si>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</si>
  <si>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</si>
  <si>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</si>
  <si>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</si>
  <si>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</si>
  <si>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</si>
  <si>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</si>
  <si>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</si>
  <si>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</si>
  <si>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</si>
  <si>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</si>
  <si>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</si>
  <si>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</si>
  <si>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</si>
  <si>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</si>
  <si>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</si>
  <si>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</si>
  <si>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</si>
  <si>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</si>
  <si>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</si>
  <si>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</si>
  <si>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</si>
  <si>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</si>
  <si>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</si>
  <si>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</si>
  <si>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</si>
  <si>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</si>
  <si>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</si>
  <si>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</si>
  <si>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</si>
  <si>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</si>
  <si>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</si>
  <si>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</si>
  <si>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</si>
  <si>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</si>
  <si>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</si>
  <si>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</si>
  <si>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</si>
  <si>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</si>
  <si>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</si>
  <si>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</si>
  <si>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</si>
  <si>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</si>
  <si>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</si>
  <si>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</si>
  <si>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</si>
  <si>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</si>
  <si>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</si>
  <si>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</si>
  <si>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</si>
  <si>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</si>
  <si>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</si>
  <si>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</si>
  <si>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</si>
  <si>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</si>
  <si>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</si>
  <si>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</si>
  <si>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</si>
  <si>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</si>
  <si>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</si>
  <si>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</si>
  <si>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</si>
  <si>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</si>
  <si>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</si>
  <si>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</si>
  <si>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</si>
  <si>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</si>
  <si>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</si>
  <si>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</si>
  <si>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</si>
  <si>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</si>
  <si>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</si>
  <si>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</si>
  <si>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</si>
  <si>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</si>
  <si>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</si>
  <si>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</si>
  <si>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</si>
  <si>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</si>
  <si>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</si>
  <si>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</si>
  <si>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</si>
  <si>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</si>
  <si>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</si>
  <si>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</si>
  <si>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</si>
  <si>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</si>
  <si>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</si>
  <si>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</si>
  <si>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</si>
  <si>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</si>
  <si>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</si>
  <si>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</si>
  <si>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</si>
  <si>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</si>
  <si>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</si>
  <si>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</si>
  <si>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</si>
  <si>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</si>
  <si>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</si>
  <si>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</si>
  <si>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</si>
  <si>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</si>
  <si>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</si>
  <si>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</si>
  <si>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</si>
  <si>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</si>
  <si>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</si>
  <si>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</si>
  <si>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</si>
  <si>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</si>
  <si>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</si>
  <si>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</si>
  <si>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</si>
  <si>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</si>
  <si>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</si>
  <si>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</si>
  <si>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</si>
  <si>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</si>
  <si>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</si>
  <si>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</si>
  <si>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</si>
  <si>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</si>
  <si>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</si>
  <si>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</si>
  <si>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</si>
  <si>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</si>
  <si>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</si>
  <si>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</si>
  <si>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</si>
  <si>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</si>
  <si>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</si>
  <si>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</si>
  <si>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</si>
  <si>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</si>
  <si>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</si>
  <si>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</si>
  <si>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</si>
  <si>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</si>
  <si>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</si>
  <si>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</si>
  <si>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</si>
  <si>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</si>
  <si>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</si>
  <si>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</si>
  <si>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</si>
  <si>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</si>
  <si>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</si>
  <si>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</si>
  <si>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</si>
  <si>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</si>
  <si>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</si>
  <si>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</si>
  <si>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</si>
  <si>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</si>
  <si>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</si>
  <si>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</si>
  <si>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</si>
  <si>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</si>
  <si>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</si>
  <si>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</si>
  <si>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</si>
  <si>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</si>
  <si>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</si>
  <si>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</si>
  <si>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</si>
  <si>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</si>
  <si>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</si>
  <si>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</si>
  <si>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</si>
  <si>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</si>
  <si>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</si>
  <si>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</si>
  <si>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</si>
  <si>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</si>
  <si>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</si>
  <si>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</si>
  <si>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</si>
  <si>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</si>
  <si>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</si>
  <si>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</si>
  <si>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</si>
  <si>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</si>
  <si>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</si>
  <si>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</si>
  <si>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</si>
  <si>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</si>
  <si>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</si>
  <si>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</si>
  <si>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</si>
  <si>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</si>
  <si>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</si>
  <si>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</si>
  <si>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</si>
  <si>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</si>
  <si>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</si>
  <si>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</si>
  <si>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</si>
  <si>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</si>
  <si>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</si>
  <si>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</si>
  <si>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</si>
  <si>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</si>
  <si>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</si>
  <si>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</si>
  <si>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</si>
  <si>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</si>
  <si>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</si>
  <si>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</si>
  <si>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</si>
  <si>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</si>
  <si>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</si>
  <si>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</si>
  <si>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</si>
  <si>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</si>
  <si>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</si>
  <si>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</si>
  <si>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</si>
  <si>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</si>
  <si>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</si>
  <si>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</si>
  <si>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</si>
  <si>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</si>
  <si>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</si>
  <si>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</si>
  <si>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</si>
  <si>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</si>
  <si>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</si>
  <si>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</si>
  <si>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</si>
  <si>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</si>
  <si>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</si>
  <si>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</si>
  <si>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</si>
  <si>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</si>
  <si>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</si>
  <si>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</si>
  <si>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</si>
  <si>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</si>
  <si>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</si>
  <si>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</si>
  <si>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</si>
  <si>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</si>
  <si>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</si>
  <si>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</si>
  <si>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</si>
  <si>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</si>
  <si>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</si>
  <si>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</si>
  <si>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</si>
  <si>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</si>
  <si>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</si>
  <si>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</si>
  <si>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</si>
  <si>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</si>
  <si>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</si>
  <si>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</si>
  <si>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</si>
  <si>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</si>
  <si>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</si>
  <si>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</si>
  <si>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</si>
  <si>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</si>
  <si>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</si>
  <si>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</si>
  <si>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</si>
  <si>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</si>
  <si>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</si>
  <si>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</si>
  <si>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</si>
  <si>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</si>
  <si>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</si>
  <si>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</si>
  <si>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</si>
  <si>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</si>
  <si>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</si>
  <si>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</si>
  <si>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</si>
  <si>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</si>
  <si>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</si>
  <si>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</si>
  <si>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</si>
  <si>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</si>
  <si>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</si>
  <si>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</si>
  <si>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</si>
  <si>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</si>
  <si>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</si>
  <si>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</si>
  <si>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</si>
  <si>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</si>
  <si>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</si>
  <si>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</si>
  <si>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</si>
  <si>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</si>
  <si>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</si>
  <si>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</si>
  <si>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</si>
  <si>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</si>
  <si>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</si>
  <si>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</si>
  <si>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</si>
  <si>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</si>
  <si>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</si>
  <si>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</si>
  <si>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</si>
  <si>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</si>
  <si>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</si>
  <si>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</si>
  <si>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</si>
  <si>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</si>
  <si>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</si>
  <si>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</si>
  <si>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</si>
  <si>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</si>
  <si>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</si>
  <si>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</si>
  <si>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</si>
  <si>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</si>
  <si>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</si>
  <si>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</si>
  <si>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</si>
  <si>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</si>
  <si>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</si>
  <si>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</si>
  <si>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</si>
  <si>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</si>
  <si>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</si>
  <si>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</si>
  <si>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</si>
  <si>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</si>
  <si>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</si>
  <si>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</si>
  <si>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</si>
  <si>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</si>
  <si>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</si>
  <si>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</si>
  <si>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</si>
  <si>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</si>
  <si>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</si>
  <si>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</si>
  <si>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</si>
  <si>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</si>
  <si>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</si>
  <si>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</si>
  <si>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</si>
  <si>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</si>
  <si>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</si>
  <si>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</si>
  <si>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</si>
  <si>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</si>
  <si>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</si>
  <si>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</si>
  <si>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</si>
  <si>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</si>
  <si>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</si>
  <si>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</si>
  <si>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</si>
  <si>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</si>
  <si>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</si>
  <si>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</si>
  <si>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</si>
  <si>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</si>
  <si>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</si>
  <si>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</si>
  <si>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</si>
  <si>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</si>
  <si>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</si>
  <si>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</si>
  <si>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</si>
  <si>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</si>
  <si>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</si>
  <si>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</si>
  <si>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</si>
  <si>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</si>
  <si>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</si>
  <si>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</si>
  <si>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</si>
  <si>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</si>
  <si>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</si>
  <si>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</si>
  <si>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</si>
  <si>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</si>
  <si>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</si>
  <si>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</si>
  <si>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</si>
  <si>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</si>
  <si>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</si>
  <si>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</si>
  <si>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</si>
  <si>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</si>
  <si>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</si>
  <si>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</si>
  <si>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</si>
  <si>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</si>
  <si>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</si>
  <si>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</si>
  <si>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</si>
  <si>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</si>
  <si>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</si>
  <si>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</si>
  <si>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</si>
  <si>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</si>
  <si>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</si>
  <si>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</si>
  <si>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</si>
  <si>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</si>
  <si>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</si>
  <si>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</si>
  <si>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</si>
  <si>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</si>
  <si>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</si>
  <si>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</si>
  <si>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</si>
  <si>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</si>
  <si>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</si>
  <si>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</si>
  <si>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</si>
  <si>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</si>
  <si>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</si>
  <si>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</si>
  <si>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</si>
  <si>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</si>
  <si>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</si>
  <si>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</si>
  <si>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</si>
  <si>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</si>
  <si>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</si>
  <si>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</si>
  <si>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</si>
  <si>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</si>
  <si>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</si>
  <si>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</si>
  <si>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</si>
  <si>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</si>
  <si>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</si>
  <si>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</si>
  <si>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</si>
  <si>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</si>
  <si>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</si>
  <si>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</si>
  <si>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</si>
  <si>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</si>
  <si>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</si>
  <si>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</si>
  <si>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</si>
  <si>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</si>
  <si>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</si>
  <si>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</si>
  <si>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</si>
  <si>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</si>
  <si>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</si>
  <si>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</si>
  <si>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</si>
  <si>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</si>
  <si>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</si>
  <si>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</si>
  <si>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</si>
  <si>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</si>
  <si>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</si>
  <si>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</si>
  <si>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</si>
  <si>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</si>
  <si>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</si>
  <si>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</si>
  <si>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</si>
  <si>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</si>
  <si>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</si>
  <si>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</si>
  <si>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</si>
  <si>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</si>
  <si>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</si>
  <si>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</si>
  <si>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</si>
  <si>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</si>
  <si>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</si>
  <si>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</si>
  <si>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</si>
  <si>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</si>
  <si>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</si>
  <si>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</si>
  <si>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</si>
  <si>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</si>
  <si>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</si>
  <si>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</si>
  <si>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</si>
  <si>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</si>
  <si>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</si>
  <si>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</si>
  <si>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</si>
  <si>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</si>
  <si>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</si>
  <si>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</si>
  <si>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</si>
  <si>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</si>
  <si>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</si>
  <si>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</si>
  <si>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</si>
  <si>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</si>
  <si>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</si>
  <si>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</si>
  <si>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</si>
  <si>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</si>
  <si>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</si>
  <si>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</si>
  <si>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</si>
  <si>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</si>
  <si>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</si>
  <si>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</si>
  <si>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</si>
  <si>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</si>
  <si>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</si>
  <si>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</si>
  <si>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</si>
  <si>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</si>
  <si>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</si>
  <si>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</si>
  <si>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</si>
  <si>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</si>
  <si>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</si>
  <si>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</si>
  <si>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</si>
  <si>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</si>
  <si>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</si>
  <si>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</si>
  <si>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</si>
  <si>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</si>
  <si>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</si>
  <si>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</si>
  <si>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</si>
  <si>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</si>
  <si>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</si>
  <si>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</si>
  <si>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</si>
  <si>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</si>
  <si>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</si>
  <si>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</si>
  <si>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</si>
  <si>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</si>
  <si>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</si>
  <si>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</si>
  <si>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</si>
  <si>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</si>
  <si>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</si>
  <si>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</si>
  <si>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</si>
  <si>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</si>
  <si>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</si>
  <si>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</si>
  <si>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</si>
  <si>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</si>
  <si>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</si>
  <si>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</si>
  <si>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</si>
  <si>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</si>
  <si>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</si>
  <si>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</si>
  <si>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</si>
  <si>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</si>
  <si>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</si>
  <si>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</si>
  <si>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</si>
  <si>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</si>
  <si>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</si>
  <si>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</si>
  <si>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</si>
  <si>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</si>
  <si>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</si>
  <si>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</si>
  <si>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</si>
  <si>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</si>
  <si>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</si>
  <si>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</si>
  <si>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</si>
  <si>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</si>
  <si>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</si>
  <si>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</si>
  <si>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</si>
  <si>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</si>
  <si>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</si>
  <si>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</si>
  <si>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</si>
  <si>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</si>
  <si>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</si>
  <si>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</si>
  <si>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</si>
  <si>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</si>
  <si>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</si>
  <si>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</si>
  <si>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</si>
  <si>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</si>
  <si>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</si>
  <si>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</si>
  <si>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</si>
  <si>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</si>
  <si>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</si>
  <si>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</si>
  <si>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</si>
  <si>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</si>
  <si>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</si>
  <si>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</si>
  <si>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</si>
  <si>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</si>
  <si>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</si>
  <si>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</si>
  <si>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</si>
  <si>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</si>
  <si>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</si>
  <si>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</si>
  <si>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</si>
  <si>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</si>
  <si>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</si>
  <si>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</si>
  <si>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</si>
  <si>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</si>
  <si>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</si>
  <si>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</si>
  <si>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</si>
  <si>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</si>
  <si>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</si>
  <si>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</si>
  <si>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</si>
  <si>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</si>
  <si>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</si>
  <si>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</si>
  <si>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</si>
  <si>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</si>
  <si>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</si>
  <si>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</si>
  <si>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</si>
  <si>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</si>
  <si>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</si>
  <si>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</si>
  <si>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</si>
  <si>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</si>
  <si>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</si>
  <si>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</si>
  <si>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</si>
  <si>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</si>
  <si>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</si>
  <si>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</si>
  <si>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</si>
  <si>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</si>
  <si>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</si>
  <si>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</si>
  <si>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</si>
  <si>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</si>
  <si>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</si>
  <si>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</si>
  <si>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</si>
  <si>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</si>
  <si>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</si>
  <si>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</si>
  <si>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</si>
  <si>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</si>
  <si>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</si>
  <si>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</si>
  <si>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</si>
  <si>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</si>
  <si>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</si>
  <si>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</si>
  <si>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</si>
  <si>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</si>
  <si>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</si>
  <si>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</si>
  <si>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</si>
  <si>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</si>
  <si>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</si>
  <si>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</si>
  <si>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</si>
  <si>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</si>
  <si>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</si>
  <si>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</si>
  <si>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</si>
  <si>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</si>
  <si>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</si>
  <si>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</si>
  <si>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</si>
  <si>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</si>
  <si>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</si>
  <si>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</si>
  <si>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</si>
  <si>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</si>
  <si>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</si>
  <si>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</si>
  <si>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</si>
  <si>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</si>
  <si>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</si>
  <si>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</si>
  <si>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</si>
  <si>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</si>
  <si>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</si>
  <si>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</si>
  <si>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</si>
  <si>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</si>
  <si>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</si>
  <si>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</si>
  <si>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</si>
  <si>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</si>
  <si>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</si>
  <si>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</si>
  <si>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</si>
  <si>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</si>
  <si>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</si>
  <si>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</si>
  <si>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</si>
  <si>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</si>
  <si>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</si>
  <si>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</si>
  <si>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</si>
  <si>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</si>
  <si>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</si>
  <si>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</si>
  <si>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</si>
  <si>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</si>
  <si>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</si>
  <si>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</si>
  <si>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</si>
  <si>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</si>
  <si>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</si>
  <si>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</si>
  <si>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</si>
  <si>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</si>
  <si>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</si>
  <si>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</si>
  <si>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</si>
  <si>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</si>
  <si>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</si>
  <si>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</si>
  <si>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</si>
  <si>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</si>
  <si>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</si>
  <si>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</si>
  <si>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</si>
  <si>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</si>
  <si>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</si>
  <si>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</si>
  <si>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</si>
  <si>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</si>
  <si>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</si>
  <si>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</si>
  <si>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</si>
  <si>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</si>
  <si>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</si>
  <si>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</si>
  <si>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</si>
  <si>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</si>
  <si>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</si>
  <si>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</si>
  <si>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</si>
  <si>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</si>
  <si>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</si>
  <si>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</si>
  <si>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</si>
  <si>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</si>
  <si>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</si>
  <si>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</si>
  <si>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</si>
  <si>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</si>
  <si>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</si>
  <si>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</si>
  <si>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</si>
  <si>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</si>
  <si>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</si>
  <si>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</si>
  <si>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</si>
  <si>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</si>
  <si>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</si>
  <si>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</si>
  <si>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</si>
  <si>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</si>
  <si>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</si>
  <si>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</si>
  <si>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</si>
  <si>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</si>
  <si>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</si>
  <si>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</si>
  <si>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</si>
  <si>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</si>
  <si>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</si>
  <si>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</si>
  <si>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</si>
  <si>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</si>
  <si>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</si>
  <si>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</si>
  <si>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</si>
  <si>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</si>
  <si>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</si>
  <si>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</si>
  <si>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</si>
  <si>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</si>
  <si>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</si>
  <si>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</si>
  <si>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</si>
  <si>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</si>
  <si>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</si>
  <si>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</si>
  <si>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</si>
  <si>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</si>
  <si>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</si>
  <si>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</si>
  <si>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</si>
  <si>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</si>
  <si>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</si>
  <si>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</si>
  <si>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</si>
  <si>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</si>
  <si>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</si>
  <si>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</si>
  <si>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</si>
  <si>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</si>
  <si>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</si>
  <si>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</si>
  <si>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</si>
  <si>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</si>
  <si>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</si>
  <si>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</si>
  <si>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</si>
  <si>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</si>
  <si>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</si>
  <si>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</si>
  <si>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</si>
  <si>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</si>
  <si>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</si>
  <si>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</si>
  <si>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</si>
  <si>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</si>
  <si>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</si>
  <si>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</si>
  <si>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</si>
  <si>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</si>
  <si>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</si>
  <si>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</si>
  <si>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</si>
  <si>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</si>
  <si>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</si>
  <si>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</si>
  <si>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</si>
  <si>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</si>
  <si>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</si>
  <si>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</si>
  <si>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</si>
  <si>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</si>
  <si>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</si>
  <si>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</si>
  <si>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</si>
  <si>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</si>
  <si>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</si>
  <si>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</si>
  <si>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</si>
  <si>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</si>
  <si>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</si>
  <si>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</si>
  <si>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</si>
  <si>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</si>
  <si>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</si>
  <si>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</si>
  <si>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</si>
  <si>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</si>
  <si>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</si>
  <si>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</si>
  <si>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</si>
  <si>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</si>
  <si>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</si>
  <si>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</si>
  <si>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</si>
  <si>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</si>
  <si>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</si>
  <si>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</si>
  <si>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</si>
  <si>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</si>
  <si>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</si>
  <si>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</si>
  <si>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</si>
  <si>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</si>
  <si>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</si>
  <si>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</si>
  <si>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</si>
  <si>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</si>
  <si>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</si>
  <si>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</si>
  <si>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</si>
  <si>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</si>
  <si>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</si>
  <si>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</si>
  <si>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</si>
  <si>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</si>
  <si>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</si>
  <si>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</si>
  <si>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</si>
  <si>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</si>
  <si>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MTR</t>
  </si>
  <si>
    <t>LVTC 3X35+35</t>
  </si>
  <si>
    <t>DC PWI04-K2-750 - PWI12-K2-750</t>
  </si>
  <si>
    <t>SR APP 1P</t>
  </si>
  <si>
    <t>PWI12</t>
  </si>
  <si>
    <t>SR APP 23KVA</t>
  </si>
  <si>
    <t>PD PUSKESMAS TOROH 11-23KVA</t>
  </si>
  <si>
    <t xml:space="preserve">-7.147955, 110.901955 </t>
  </si>
  <si>
    <t>TOROH</t>
  </si>
  <si>
    <t>Daya 23.000 VA</t>
  </si>
  <si>
    <t>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</si>
</sst>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  <font>
      <sz val="11"/>
      <name val="Arial"/>
      <family val="2"/>
    </font>
    <font>
      <u/>
      <sz val="8"/>
      <color rgb="FF000000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</cellStyleXfs>
  <cellXfs count="718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124" fillId="0" borderId="20" xfId="1652" applyFont="1" applyBorder="1" applyAlignment="1">
      <alignment horizontal="center" vertical="center"/>
    </xf>
    <xf numFmtId="0" fontId="124" fillId="0" borderId="21" xfId="1652" applyFont="1" applyBorder="1" applyAlignment="1">
      <alignment horizontal="left" vertical="center" wrapText="1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quotePrefix="1" applyFont="1" applyFill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2" fillId="33" borderId="3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0" xfId="2677" applyFont="1" applyFill="1" applyAlignment="1">
      <alignment horizontal="center"/>
    </xf>
    <xf numFmtId="0" fontId="89" fillId="33" borderId="40" xfId="2677" applyFont="1" applyFill="1" applyBorder="1" applyAlignment="1">
      <alignment horizontal="center" vertical="center"/>
    </xf>
    <xf numFmtId="0" fontId="89" fillId="33" borderId="47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115" fillId="33" borderId="0" xfId="2677" applyFont="1" applyFill="1" applyAlignment="1">
      <alignment horizontal="center"/>
    </xf>
    <xf numFmtId="0" fontId="89" fillId="33" borderId="69" xfId="2677" applyFont="1" applyFill="1" applyBorder="1" applyAlignment="1">
      <alignment horizontal="left" vertical="center"/>
    </xf>
    <xf numFmtId="0" fontId="112" fillId="33" borderId="39" xfId="2677" applyFont="1" applyFill="1" applyBorder="1" applyAlignment="1">
      <alignment horizontal="center" vertical="top" wrapText="1"/>
    </xf>
    <xf numFmtId="0" fontId="170" fillId="33" borderId="59" xfId="2677" applyFont="1" applyFill="1" applyBorder="1" applyAlignment="1">
      <alignment horizontal="left" vertical="center"/>
    </xf>
    <xf numFmtId="0" fontId="170" fillId="33" borderId="69" xfId="2677" applyFont="1" applyFill="1" applyBorder="1" applyAlignment="1">
      <alignment horizontal="left" vertical="center"/>
    </xf>
    <xf numFmtId="0" fontId="89" fillId="33" borderId="98" xfId="2677" applyFont="1" applyFill="1" applyBorder="1" applyAlignment="1">
      <alignment horizontal="center" vertical="center"/>
    </xf>
    <xf numFmtId="0" fontId="170" fillId="33" borderId="101" xfId="2677" applyFont="1" applyFill="1" applyBorder="1" applyAlignment="1">
      <alignment horizontal="left" vertical="center"/>
    </xf>
    <xf numFmtId="0" fontId="170" fillId="33" borderId="100" xfId="2677" applyFont="1" applyFill="1" applyBorder="1" applyAlignment="1">
      <alignment horizontal="left" vertical="center"/>
    </xf>
    <xf numFmtId="0" fontId="170" fillId="33" borderId="99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16" fillId="33" borderId="95" xfId="2677" applyFont="1" applyFill="1" applyBorder="1" applyAlignment="1">
      <alignment horizontal="center" vertical="top" wrapText="1"/>
    </xf>
    <xf numFmtId="0" fontId="116" fillId="33" borderId="94" xfId="2677" applyFont="1" applyFill="1" applyBorder="1" applyAlignment="1">
      <alignment horizontal="center" vertical="top" wrapText="1"/>
    </xf>
    <xf numFmtId="0" fontId="112" fillId="33" borderId="42" xfId="2677" applyFont="1" applyFill="1" applyBorder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42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/>
    </xf>
    <xf numFmtId="0" fontId="116" fillId="33" borderId="0" xfId="2677" applyFont="1" applyFill="1" applyAlignment="1">
      <alignment horizontal="center" vertical="center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6" xfId="2677" applyFont="1" applyFill="1" applyBorder="1" applyAlignment="1">
      <alignment horizontal="center"/>
    </xf>
    <xf numFmtId="0" fontId="172" fillId="0" borderId="0" xfId="0" applyFont="1"/>
    <xf numFmtId="0" fontId="2" fillId="0" borderId="21" xfId="1652" applyFont="1" applyBorder="1" applyAlignment="1">
      <alignment horizontal="center" vertical="center"/>
    </xf>
    <xf numFmtId="0" fontId="173" fillId="0" borderId="0" xfId="0" applyFont="1" applyAlignment="1">
      <alignment horizontal="center" vertic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109" fillId="38" borderId="3" xfId="1538" applyFill="1" applyBorder="1" applyAlignment="1">
      <alignment horizontal="center" vertical="center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 wrapText="1"/>
    </xf>
    <xf numFmtId="0" fontId="49" fillId="0" borderId="44" xfId="1538" applyFont="1" applyBorder="1" applyAlignment="1">
      <alignment horizontal="left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50" fillId="35" borderId="3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27" fillId="35" borderId="55" xfId="2677" applyFont="1" applyFill="1" applyBorder="1" applyAlignment="1">
      <alignment horizontal="center" vertical="center"/>
    </xf>
    <xf numFmtId="0" fontId="127" fillId="35" borderId="36" xfId="2677" applyFont="1" applyFill="1" applyBorder="1" applyAlignment="1">
      <alignment horizontal="center" vertical="center"/>
    </xf>
    <xf numFmtId="0" fontId="127" fillId="35" borderId="48" xfId="2677" applyFont="1" applyFill="1" applyBorder="1" applyAlignment="1">
      <alignment horizontal="center" vertical="center"/>
    </xf>
    <xf numFmtId="0" fontId="127" fillId="35" borderId="43" xfId="2677" applyFont="1" applyFill="1" applyBorder="1" applyAlignment="1">
      <alignment horizontal="center" vertical="center"/>
    </xf>
    <xf numFmtId="0" fontId="127" fillId="35" borderId="44" xfId="2677" applyFont="1" applyFill="1" applyBorder="1" applyAlignment="1">
      <alignment horizontal="center" vertical="center"/>
    </xf>
    <xf numFmtId="0" fontId="127" fillId="35" borderId="45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49" fontId="89" fillId="33" borderId="102" xfId="2677" applyNumberFormat="1" applyFont="1" applyFill="1" applyBorder="1" applyAlignment="1">
      <alignment horizontal="left" vertical="center"/>
    </xf>
    <xf numFmtId="49" fontId="89" fillId="33" borderId="40" xfId="2677" applyNumberFormat="1" applyFont="1" applyFill="1" applyBorder="1" applyAlignment="1">
      <alignment horizontal="left" vertical="center"/>
    </xf>
    <xf numFmtId="49" fontId="171" fillId="33" borderId="102" xfId="2677" applyNumberFormat="1" applyFont="1" applyFill="1" applyBorder="1" applyAlignment="1">
      <alignment horizontal="left" vertical="center"/>
    </xf>
    <xf numFmtId="49" fontId="171" fillId="33" borderId="40" xfId="2677" applyNumberFormat="1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horizontal="left" vertical="center"/>
    </xf>
    <xf numFmtId="49" fontId="112" fillId="33" borderId="41" xfId="2677" applyNumberFormat="1" applyFont="1" applyFill="1" applyBorder="1" applyAlignment="1">
      <alignment horizontal="left" vertical="center"/>
    </xf>
    <xf numFmtId="0" fontId="171" fillId="33" borderId="59" xfId="2677" applyFont="1" applyFill="1" applyBorder="1" applyAlignment="1">
      <alignment horizontal="left" vertical="center"/>
    </xf>
    <xf numFmtId="0" fontId="171" fillId="33" borderId="60" xfId="2677" applyFont="1" applyFill="1" applyBorder="1" applyAlignment="1">
      <alignment horizontal="left" vertical="center"/>
    </xf>
    <xf numFmtId="0" fontId="112" fillId="33" borderId="56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8" fillId="33" borderId="50" xfId="2677" applyFont="1" applyFill="1" applyBorder="1" applyAlignment="1">
      <alignment horizontal="center" vertical="center"/>
    </xf>
    <xf numFmtId="0" fontId="128" fillId="33" borderId="7" xfId="2677" applyFont="1" applyFill="1" applyBorder="1" applyAlignment="1">
      <alignment horizontal="center" vertical="center"/>
    </xf>
    <xf numFmtId="0" fontId="128" fillId="33" borderId="41" xfId="2677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8" xfId="2677" applyFont="1" applyFill="1" applyBorder="1" applyAlignment="1">
      <alignment horizontal="center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vertical="center"/>
    </xf>
    <xf numFmtId="49" fontId="112" fillId="33" borderId="41" xfId="2677" applyNumberFormat="1" applyFont="1" applyFill="1" applyBorder="1" applyAlignment="1">
      <alignment vertical="center"/>
    </xf>
    <xf numFmtId="49" fontId="112" fillId="33" borderId="50" xfId="2677" applyNumberFormat="1" applyFont="1" applyFill="1" applyBorder="1" applyAlignment="1">
      <alignment vertical="top" wrapText="1"/>
    </xf>
    <xf numFmtId="49" fontId="112" fillId="33" borderId="41" xfId="2677" applyNumberFormat="1" applyFont="1" applyFill="1" applyBorder="1" applyAlignment="1">
      <alignment vertical="top" wrapText="1"/>
    </xf>
    <xf numFmtId="0" fontId="112" fillId="33" borderId="7" xfId="2677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/>
    </xf>
    <xf numFmtId="15" fontId="112" fillId="33" borderId="3" xfId="2677" applyNumberFormat="1" applyFont="1" applyFill="1" applyBorder="1" applyAlignment="1">
      <alignment horizontal="center"/>
    </xf>
    <xf numFmtId="0" fontId="112" fillId="33" borderId="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vertical="top" wrapText="1"/>
    </xf>
    <xf numFmtId="0" fontId="116" fillId="33" borderId="97" xfId="2677" applyFont="1" applyFill="1" applyBorder="1" applyAlignment="1">
      <alignment horizontal="center" vertical="center" wrapText="1"/>
    </xf>
    <xf numFmtId="0" fontId="116" fillId="33" borderId="96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56" xfId="2677" applyFont="1" applyFill="1" applyBorder="1" applyAlignment="1">
      <alignment horizontal="left" vertical="top" wrapText="1"/>
    </xf>
    <xf numFmtId="0" fontId="113" fillId="33" borderId="57" xfId="2677" applyFont="1" applyFill="1" applyBorder="1" applyAlignment="1">
      <alignment horizontal="left" vertical="top" wrapText="1"/>
    </xf>
    <xf numFmtId="0" fontId="113" fillId="33" borderId="43" xfId="2677" applyFont="1" applyFill="1" applyBorder="1" applyAlignment="1">
      <alignment horizontal="left" vertical="top" wrapText="1"/>
    </xf>
    <xf numFmtId="0" fontId="113" fillId="33" borderId="44" xfId="2677" applyFont="1" applyFill="1" applyBorder="1" applyAlignment="1">
      <alignment horizontal="left" vertical="top" wrapText="1"/>
    </xf>
    <xf numFmtId="0" fontId="113" fillId="33" borderId="45" xfId="2677" applyFont="1" applyFill="1" applyBorder="1" applyAlignment="1">
      <alignment horizontal="left" vertical="top" wrapText="1"/>
    </xf>
    <xf numFmtId="0" fontId="112" fillId="33" borderId="50" xfId="2677" applyFont="1" applyFill="1" applyBorder="1" applyAlignment="1">
      <alignment horizontal="center"/>
    </xf>
    <xf numFmtId="0" fontId="112" fillId="33" borderId="87" xfId="2677" applyFont="1" applyFill="1" applyBorder="1" applyAlignment="1">
      <alignment horizontal="center"/>
    </xf>
    <xf numFmtId="0" fontId="112" fillId="33" borderId="62" xfId="2677" applyFont="1" applyFill="1" applyBorder="1" applyAlignment="1">
      <alignment horizontal="center"/>
    </xf>
    <xf numFmtId="0" fontId="112" fillId="33" borderId="63" xfId="2677" applyFont="1" applyFill="1" applyBorder="1" applyAlignment="1">
      <alignment horizontal="center"/>
    </xf>
    <xf numFmtId="0" fontId="112" fillId="33" borderId="64" xfId="2677" applyFont="1" applyFill="1" applyBorder="1" applyAlignment="1">
      <alignment horizontal="center"/>
    </xf>
    <xf numFmtId="0" fontId="112" fillId="33" borderId="56" xfId="2677" applyFont="1" applyFill="1" applyBorder="1" applyAlignment="1">
      <alignment horizontal="center" vertical="center"/>
    </xf>
    <xf numFmtId="0" fontId="112" fillId="33" borderId="57" xfId="2677" applyFont="1" applyFill="1" applyBorder="1" applyAlignment="1">
      <alignment horizontal="center" vertical="center"/>
    </xf>
    <xf numFmtId="0" fontId="117" fillId="33" borderId="0" xfId="2677" applyFont="1" applyFill="1" applyAlignment="1">
      <alignment horizontal="center" vertical="center" wrapText="1"/>
    </xf>
    <xf numFmtId="0" fontId="117" fillId="33" borderId="37" xfId="2677" applyFont="1" applyFill="1" applyBorder="1" applyAlignment="1">
      <alignment horizontal="center" vertical="center" wrapText="1"/>
    </xf>
    <xf numFmtId="0" fontId="117" fillId="33" borderId="44" xfId="2677" applyFont="1" applyFill="1" applyBorder="1" applyAlignment="1">
      <alignment horizontal="center" vertical="center" wrapText="1"/>
    </xf>
    <xf numFmtId="0" fontId="117" fillId="33" borderId="45" xfId="2677" applyFont="1" applyFill="1" applyBorder="1" applyAlignment="1">
      <alignment horizontal="center" vertical="center" wrapText="1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0.60470223819248425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4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4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0397" y="802340"/>
          <a:ext cx="72053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3388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2480" y="1990841"/>
          <a:ext cx="190391" cy="116315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8489" y="1991424"/>
          <a:ext cx="198434" cy="116314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7550" y="2155022"/>
          <a:ext cx="314406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9241" y="21550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6099" y="1856727"/>
          <a:ext cx="110650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3264" y="1857433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3538" y="8764313"/>
          <a:ext cx="83822" cy="7863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9658" y="2242427"/>
          <a:ext cx="107252" cy="6095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6130" y="2383160"/>
          <a:ext cx="139135" cy="6252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1837" y="2815494"/>
          <a:ext cx="206054" cy="11631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5889" y="2816077"/>
          <a:ext cx="206054" cy="11631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4527" y="2979676"/>
          <a:ext cx="322449" cy="79680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4261" y="2979676"/>
          <a:ext cx="322449" cy="79680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5456" y="2684343"/>
          <a:ext cx="126313" cy="5781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0664" y="2685049"/>
          <a:ext cx="126313" cy="5781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35463</xdr:colOff>
      <xdr:row>10</xdr:row>
      <xdr:rowOff>115500</xdr:rowOff>
    </xdr:from>
    <xdr:to>
      <xdr:col>9</xdr:col>
      <xdr:colOff>243415</xdr:colOff>
      <xdr:row>45</xdr:row>
      <xdr:rowOff>42334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 rot="5400000">
          <a:off x="541147" y="4086566"/>
          <a:ext cx="5144418" cy="207952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3917" y="8498417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7777" y="8481696"/>
          <a:ext cx="158386" cy="13694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3082" y="8515561"/>
          <a:ext cx="157278" cy="136941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82537</xdr:colOff>
      <xdr:row>20</xdr:row>
      <xdr:rowOff>68084</xdr:rowOff>
    </xdr:from>
    <xdr:to>
      <xdr:col>10</xdr:col>
      <xdr:colOff>227089</xdr:colOff>
      <xdr:row>21</xdr:row>
      <xdr:rowOff>64517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3437454" y="3063167"/>
          <a:ext cx="144552" cy="144600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0807" y="8509846"/>
          <a:ext cx="125502" cy="137384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8962" y="8475980"/>
          <a:ext cx="125502" cy="14460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9502" y="8532707"/>
          <a:ext cx="144423" cy="150694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9087" y="8447405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0932" y="866944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6387" y="8778029"/>
          <a:ext cx="83822" cy="7863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7367" y="8780886"/>
          <a:ext cx="139135" cy="6252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0727" y="8765645"/>
          <a:ext cx="139135" cy="6252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88044</xdr:colOff>
      <xdr:row>11</xdr:row>
      <xdr:rowOff>89701</xdr:rowOff>
    </xdr:from>
    <xdr:to>
      <xdr:col>10</xdr:col>
      <xdr:colOff>232596</xdr:colOff>
      <xdr:row>12</xdr:row>
      <xdr:rowOff>86134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3442961" y="1740701"/>
          <a:ext cx="144552" cy="144600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258074</xdr:colOff>
      <xdr:row>32</xdr:row>
      <xdr:rowOff>80572</xdr:rowOff>
    </xdr:from>
    <xdr:to>
      <xdr:col>8</xdr:col>
      <xdr:colOff>327416</xdr:colOff>
      <xdr:row>35</xdr:row>
      <xdr:rowOff>84667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2280364" y="4662282"/>
          <a:ext cx="448595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74083</xdr:colOff>
      <xdr:row>10</xdr:row>
      <xdr:rowOff>91109</xdr:rowOff>
    </xdr:from>
    <xdr:to>
      <xdr:col>10</xdr:col>
      <xdr:colOff>82826</xdr:colOff>
      <xdr:row>42</xdr:row>
      <xdr:rowOff>84666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 flipV="1">
          <a:off x="3429000" y="1593942"/>
          <a:ext cx="8743" cy="476664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167623</xdr:colOff>
      <xdr:row>33</xdr:row>
      <xdr:rowOff>4307</xdr:rowOff>
    </xdr:from>
    <xdr:to>
      <xdr:col>8</xdr:col>
      <xdr:colOff>333358</xdr:colOff>
      <xdr:row>34</xdr:row>
      <xdr:rowOff>4306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2760540" y="4925557"/>
          <a:ext cx="165735" cy="14816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210812</xdr:colOff>
      <xdr:row>31</xdr:row>
      <xdr:rowOff>31807</xdr:rowOff>
    </xdr:from>
    <xdr:to>
      <xdr:col>12</xdr:col>
      <xdr:colOff>335069</xdr:colOff>
      <xdr:row>32</xdr:row>
      <xdr:rowOff>5821</xdr:rowOff>
    </xdr:to>
    <xdr:cxnSp macro="">
      <xdr:nvCxnSpPr>
        <xdr:cNvPr id="203" name="Straight Connector 164">
          <a:extLst>
            <a:ext uri="{FF2B5EF4-FFF2-40B4-BE49-F238E27FC236}">
              <a16:creationId xmlns:a16="http://schemas.microsoft.com/office/drawing/2014/main" id="{4F670979-6467-4FA6-8FD1-DF99101CA223}"/>
            </a:ext>
          </a:extLst>
        </xdr:cNvPr>
        <xdr:cNvCxnSpPr>
          <a:cxnSpLocks/>
          <a:stCxn id="190" idx="6"/>
          <a:endCxn id="260" idx="3"/>
        </xdr:cNvCxnSpPr>
      </xdr:nvCxnSpPr>
      <xdr:spPr bwMode="auto">
        <a:xfrm>
          <a:off x="3565729" y="4656724"/>
          <a:ext cx="886257" cy="12218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147053</xdr:colOff>
      <xdr:row>29</xdr:row>
      <xdr:rowOff>30104</xdr:rowOff>
    </xdr:from>
    <xdr:to>
      <xdr:col>12</xdr:col>
      <xdr:colOff>166463</xdr:colOff>
      <xdr:row>30</xdr:row>
      <xdr:rowOff>71538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3501970" y="4358687"/>
          <a:ext cx="781410" cy="189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ysClr val="windowText" lastClr="000000"/>
              </a:solidFill>
              <a:effectLst/>
            </a:rPr>
            <a:t>3</a:t>
          </a:r>
          <a:r>
            <a:rPr lang="en-ID" sz="800" baseline="0">
              <a:solidFill>
                <a:sysClr val="windowText" lastClr="000000"/>
              </a:solidFill>
              <a:effectLst/>
            </a:rPr>
            <a:t> Ph </a:t>
          </a:r>
          <a:r>
            <a:rPr lang="en-US" sz="800" baseline="0">
              <a:solidFill>
                <a:sysClr val="windowText" lastClr="000000"/>
              </a:solidFill>
              <a:effectLst/>
            </a:rPr>
            <a:t>16</a:t>
          </a:r>
          <a:r>
            <a:rPr lang="xx-YY" sz="800" baseline="0">
              <a:solidFill>
                <a:sysClr val="windowText" lastClr="000000"/>
              </a:solidFill>
              <a:effectLst/>
            </a:rPr>
            <a:t>0</a:t>
          </a:r>
          <a:r>
            <a:rPr lang="en-ID" sz="800" baseline="0">
              <a:solidFill>
                <a:sysClr val="windowText" lastClr="000000"/>
              </a:solidFill>
              <a:effectLst/>
            </a:rPr>
            <a:t> kVA</a:t>
          </a:r>
          <a:endParaRPr lang="en-ID" sz="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222250</xdr:colOff>
      <xdr:row>10</xdr:row>
      <xdr:rowOff>132522</xdr:rowOff>
    </xdr:from>
    <xdr:to>
      <xdr:col>10</xdr:col>
      <xdr:colOff>223631</xdr:colOff>
      <xdr:row>42</xdr:row>
      <xdr:rowOff>31750</xdr:rowOff>
    </xdr:to>
    <xdr:cxnSp macro="">
      <xdr:nvCxnSpPr>
        <xdr:cNvPr id="227" name="Straight Connector 139">
          <a:extLst>
            <a:ext uri="{FF2B5EF4-FFF2-40B4-BE49-F238E27FC236}">
              <a16:creationId xmlns:a16="http://schemas.microsoft.com/office/drawing/2014/main" id="{FAE8C6FB-CCCA-49AB-9C5E-C35DC426DEAF}"/>
            </a:ext>
          </a:extLst>
        </xdr:cNvPr>
        <xdr:cNvCxnSpPr>
          <a:cxnSpLocks/>
        </xdr:cNvCxnSpPr>
      </xdr:nvCxnSpPr>
      <xdr:spPr bwMode="auto">
        <a:xfrm flipH="1">
          <a:off x="3577167" y="1635355"/>
          <a:ext cx="1381" cy="467231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176066</xdr:colOff>
      <xdr:row>16</xdr:row>
      <xdr:rowOff>113824</xdr:rowOff>
    </xdr:from>
    <xdr:to>
      <xdr:col>10</xdr:col>
      <xdr:colOff>255624</xdr:colOff>
      <xdr:row>17</xdr:row>
      <xdr:rowOff>48559</xdr:rowOff>
    </xdr:to>
    <xdr:grpSp>
      <xdr:nvGrpSpPr>
        <xdr:cNvPr id="228" name="Group 73">
          <a:extLst>
            <a:ext uri="{FF2B5EF4-FFF2-40B4-BE49-F238E27FC236}">
              <a16:creationId xmlns:a16="http://schemas.microsoft.com/office/drawing/2014/main" id="{53230C4E-9ECD-47F8-9426-9173DDF2B6B9}"/>
            </a:ext>
          </a:extLst>
        </xdr:cNvPr>
        <xdr:cNvGrpSpPr/>
      </xdr:nvGrpSpPr>
      <xdr:grpSpPr>
        <a:xfrm rot="16200000">
          <a:off x="3529311" y="2517913"/>
          <a:ext cx="82901" cy="79558"/>
          <a:chOff x="12175074" y="2285812"/>
          <a:chExt cx="107252" cy="65186"/>
        </a:xfrm>
      </xdr:grpSpPr>
      <xdr:cxnSp macro="">
        <xdr:nvCxnSpPr>
          <xdr:cNvPr id="229" name="Straight Connector 74">
            <a:extLst>
              <a:ext uri="{FF2B5EF4-FFF2-40B4-BE49-F238E27FC236}">
                <a16:creationId xmlns:a16="http://schemas.microsoft.com/office/drawing/2014/main" id="{28E8803B-E4AF-B714-E73F-E73D3A4452F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75">
            <a:extLst>
              <a:ext uri="{FF2B5EF4-FFF2-40B4-BE49-F238E27FC236}">
                <a16:creationId xmlns:a16="http://schemas.microsoft.com/office/drawing/2014/main" id="{942633BE-DFCE-C59D-F872-7EDFEAC883B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76">
            <a:extLst>
              <a:ext uri="{FF2B5EF4-FFF2-40B4-BE49-F238E27FC236}">
                <a16:creationId xmlns:a16="http://schemas.microsoft.com/office/drawing/2014/main" id="{BD68FEAF-0DA9-A568-BF96-EE2B2CFD02B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250662</xdr:colOff>
      <xdr:row>31</xdr:row>
      <xdr:rowOff>74552</xdr:rowOff>
    </xdr:from>
    <xdr:to>
      <xdr:col>8</xdr:col>
      <xdr:colOff>250491</xdr:colOff>
      <xdr:row>33</xdr:row>
      <xdr:rowOff>4307</xdr:rowOff>
    </xdr:to>
    <xdr:cxnSp macro="">
      <xdr:nvCxnSpPr>
        <xdr:cNvPr id="233" name="Straight Connector 164">
          <a:extLst>
            <a:ext uri="{FF2B5EF4-FFF2-40B4-BE49-F238E27FC236}">
              <a16:creationId xmlns:a16="http://schemas.microsoft.com/office/drawing/2014/main" id="{E62B86F0-D778-411D-A35B-40D6503E6357}"/>
            </a:ext>
          </a:extLst>
        </xdr:cNvPr>
        <xdr:cNvCxnSpPr>
          <a:cxnSpLocks/>
          <a:stCxn id="202" idx="0"/>
          <a:endCxn id="270" idx="5"/>
        </xdr:cNvCxnSpPr>
      </xdr:nvCxnSpPr>
      <xdr:spPr bwMode="auto">
        <a:xfrm flipH="1" flipV="1">
          <a:off x="2462579" y="4699469"/>
          <a:ext cx="380829" cy="2260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66260</xdr:colOff>
      <xdr:row>30</xdr:row>
      <xdr:rowOff>107674</xdr:rowOff>
    </xdr:from>
    <xdr:to>
      <xdr:col>10</xdr:col>
      <xdr:colOff>210812</xdr:colOff>
      <xdr:row>31</xdr:row>
      <xdr:rowOff>104107</xdr:rowOff>
    </xdr:to>
    <xdr:grpSp>
      <xdr:nvGrpSpPr>
        <xdr:cNvPr id="2" name="Group 13">
          <a:extLst>
            <a:ext uri="{FF2B5EF4-FFF2-40B4-BE49-F238E27FC236}">
              <a16:creationId xmlns:a16="http://schemas.microsoft.com/office/drawing/2014/main" id="{CC9014CE-7447-4F4A-B7B0-5DFF6EB38771}"/>
            </a:ext>
          </a:extLst>
        </xdr:cNvPr>
        <xdr:cNvGrpSpPr/>
      </xdr:nvGrpSpPr>
      <xdr:grpSpPr>
        <a:xfrm>
          <a:off x="3421177" y="4616174"/>
          <a:ext cx="144552" cy="144600"/>
          <a:chOff x="9937028" y="802652"/>
          <a:chExt cx="83991" cy="77961"/>
        </a:xfrm>
      </xdr:grpSpPr>
      <xdr:sp macro="" textlink="">
        <xdr:nvSpPr>
          <xdr:cNvPr id="190" name="Oval 1">
            <a:extLst>
              <a:ext uri="{FF2B5EF4-FFF2-40B4-BE49-F238E27FC236}">
                <a16:creationId xmlns:a16="http://schemas.microsoft.com/office/drawing/2014/main" id="{26811F17-67A6-2BEE-4FDD-6837123679C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2" name="Straight Connector 3">
            <a:extLst>
              <a:ext uri="{FF2B5EF4-FFF2-40B4-BE49-F238E27FC236}">
                <a16:creationId xmlns:a16="http://schemas.microsoft.com/office/drawing/2014/main" id="{FEBDC0AA-46D5-224C-4C09-03168D38DA5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7">
            <a:extLst>
              <a:ext uri="{FF2B5EF4-FFF2-40B4-BE49-F238E27FC236}">
                <a16:creationId xmlns:a16="http://schemas.microsoft.com/office/drawing/2014/main" id="{8E457AB2-0956-1745-AD7B-5A3FA1DA660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182218</xdr:colOff>
      <xdr:row>26</xdr:row>
      <xdr:rowOff>91108</xdr:rowOff>
    </xdr:from>
    <xdr:to>
      <xdr:col>10</xdr:col>
      <xdr:colOff>261776</xdr:colOff>
      <xdr:row>27</xdr:row>
      <xdr:rowOff>25844</xdr:rowOff>
    </xdr:to>
    <xdr:grpSp>
      <xdr:nvGrpSpPr>
        <xdr:cNvPr id="201" name="Group 73">
          <a:extLst>
            <a:ext uri="{FF2B5EF4-FFF2-40B4-BE49-F238E27FC236}">
              <a16:creationId xmlns:a16="http://schemas.microsoft.com/office/drawing/2014/main" id="{CA950C3F-BACA-4A5F-BA40-6D805F6FCAA6}"/>
            </a:ext>
          </a:extLst>
        </xdr:cNvPr>
        <xdr:cNvGrpSpPr/>
      </xdr:nvGrpSpPr>
      <xdr:grpSpPr>
        <a:xfrm rot="16200000">
          <a:off x="3535462" y="4008614"/>
          <a:ext cx="82903" cy="79558"/>
          <a:chOff x="12175074" y="2285812"/>
          <a:chExt cx="107252" cy="65186"/>
        </a:xfrm>
      </xdr:grpSpPr>
      <xdr:cxnSp macro="">
        <xdr:nvCxnSpPr>
          <xdr:cNvPr id="210" name="Straight Connector 74">
            <a:extLst>
              <a:ext uri="{FF2B5EF4-FFF2-40B4-BE49-F238E27FC236}">
                <a16:creationId xmlns:a16="http://schemas.microsoft.com/office/drawing/2014/main" id="{E2196B68-FBF0-F8D1-3BC0-CC774219DB25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5">
            <a:extLst>
              <a:ext uri="{FF2B5EF4-FFF2-40B4-BE49-F238E27FC236}">
                <a16:creationId xmlns:a16="http://schemas.microsoft.com/office/drawing/2014/main" id="{016C0705-B729-7D14-757B-43DE199C667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76">
            <a:extLst>
              <a:ext uri="{FF2B5EF4-FFF2-40B4-BE49-F238E27FC236}">
                <a16:creationId xmlns:a16="http://schemas.microsoft.com/office/drawing/2014/main" id="{0C2CBC64-3B25-0AF8-80AC-96171EBE14FA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74083</xdr:colOff>
      <xdr:row>39</xdr:row>
      <xdr:rowOff>63499</xdr:rowOff>
    </xdr:from>
    <xdr:to>
      <xdr:col>10</xdr:col>
      <xdr:colOff>218506</xdr:colOff>
      <xdr:row>40</xdr:row>
      <xdr:rowOff>66027</xdr:rowOff>
    </xdr:to>
    <xdr:grpSp>
      <xdr:nvGrpSpPr>
        <xdr:cNvPr id="219" name="Group 13">
          <a:extLst>
            <a:ext uri="{FF2B5EF4-FFF2-40B4-BE49-F238E27FC236}">
              <a16:creationId xmlns:a16="http://schemas.microsoft.com/office/drawing/2014/main" id="{D5F00E08-8533-4AA4-BD5C-5E6683D7D2FA}"/>
            </a:ext>
          </a:extLst>
        </xdr:cNvPr>
        <xdr:cNvGrpSpPr/>
      </xdr:nvGrpSpPr>
      <xdr:grpSpPr>
        <a:xfrm>
          <a:off x="3429000" y="5926666"/>
          <a:ext cx="144423" cy="150694"/>
          <a:chOff x="9937028" y="802652"/>
          <a:chExt cx="83991" cy="77961"/>
        </a:xfrm>
      </xdr:grpSpPr>
      <xdr:sp macro="" textlink="">
        <xdr:nvSpPr>
          <xdr:cNvPr id="220" name="Oval 1">
            <a:extLst>
              <a:ext uri="{FF2B5EF4-FFF2-40B4-BE49-F238E27FC236}">
                <a16:creationId xmlns:a16="http://schemas.microsoft.com/office/drawing/2014/main" id="{FDAEC620-F1A1-9291-5335-49A34ACD0F3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1" name="Straight Connector 3">
            <a:extLst>
              <a:ext uri="{FF2B5EF4-FFF2-40B4-BE49-F238E27FC236}">
                <a16:creationId xmlns:a16="http://schemas.microsoft.com/office/drawing/2014/main" id="{D9F490D7-DA02-DB37-4352-6198FA89FBB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7">
            <a:extLst>
              <a:ext uri="{FF2B5EF4-FFF2-40B4-BE49-F238E27FC236}">
                <a16:creationId xmlns:a16="http://schemas.microsoft.com/office/drawing/2014/main" id="{47778103-76E8-4B7F-B401-7D259450A47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349251</xdr:colOff>
      <xdr:row>32</xdr:row>
      <xdr:rowOff>21169</xdr:rowOff>
    </xdr:from>
    <xdr:to>
      <xdr:col>8</xdr:col>
      <xdr:colOff>107386</xdr:colOff>
      <xdr:row>32</xdr:row>
      <xdr:rowOff>83694</xdr:rowOff>
    </xdr:to>
    <xdr:grpSp>
      <xdr:nvGrpSpPr>
        <xdr:cNvPr id="248" name="Grup 234">
          <a:extLst>
            <a:ext uri="{FF2B5EF4-FFF2-40B4-BE49-F238E27FC236}">
              <a16:creationId xmlns:a16="http://schemas.microsoft.com/office/drawing/2014/main" id="{34FE0A66-BD7C-42AA-92B2-0F48B3243262}"/>
            </a:ext>
          </a:extLst>
        </xdr:cNvPr>
        <xdr:cNvGrpSpPr/>
      </xdr:nvGrpSpPr>
      <xdr:grpSpPr>
        <a:xfrm rot="20117523">
          <a:off x="2561168" y="4826002"/>
          <a:ext cx="139135" cy="62525"/>
          <a:chOff x="13302191" y="2320613"/>
          <a:chExt cx="139135" cy="57233"/>
        </a:xfrm>
      </xdr:grpSpPr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0A98AACA-DFD7-BEE4-8D2F-4DB45F473E60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909BB1A9-9278-40FE-DE6D-2BF0A3BDB81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DCF0004F-5D44-843C-179F-3BAEC1A8E63C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F12E6C26-98E1-F47D-D629-50EA85DAFE0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211671</xdr:colOff>
      <xdr:row>31</xdr:row>
      <xdr:rowOff>42334</xdr:rowOff>
    </xdr:from>
    <xdr:to>
      <xdr:col>14</xdr:col>
      <xdr:colOff>281013</xdr:colOff>
      <xdr:row>36</xdr:row>
      <xdr:rowOff>144018</xdr:rowOff>
    </xdr:to>
    <xdr:sp macro="" textlink="">
      <xdr:nvSpPr>
        <xdr:cNvPr id="259" name="Rectangle 1">
          <a:extLst>
            <a:ext uri="{FF2B5EF4-FFF2-40B4-BE49-F238E27FC236}">
              <a16:creationId xmlns:a16="http://schemas.microsoft.com/office/drawing/2014/main" id="{9830379C-ED85-4DD5-99A2-B426128BA603}"/>
            </a:ext>
          </a:extLst>
        </xdr:cNvPr>
        <xdr:cNvSpPr/>
      </xdr:nvSpPr>
      <xdr:spPr>
        <a:xfrm rot="16200000">
          <a:off x="4323000" y="4672839"/>
          <a:ext cx="842517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169334</xdr:colOff>
      <xdr:row>31</xdr:row>
      <xdr:rowOff>84666</xdr:rowOff>
    </xdr:from>
    <xdr:to>
      <xdr:col>12</xdr:col>
      <xdr:colOff>335069</xdr:colOff>
      <xdr:row>32</xdr:row>
      <xdr:rowOff>75141</xdr:rowOff>
    </xdr:to>
    <xdr:sp macro="" textlink="">
      <xdr:nvSpPr>
        <xdr:cNvPr id="260" name="Rectangle 146">
          <a:extLst>
            <a:ext uri="{FF2B5EF4-FFF2-40B4-BE49-F238E27FC236}">
              <a16:creationId xmlns:a16="http://schemas.microsoft.com/office/drawing/2014/main" id="{03862C1A-DA73-4E5C-979C-8F5C6B4B6724}"/>
            </a:ext>
          </a:extLst>
        </xdr:cNvPr>
        <xdr:cNvSpPr/>
      </xdr:nvSpPr>
      <xdr:spPr>
        <a:xfrm>
          <a:off x="4286251" y="4709583"/>
          <a:ext cx="165735" cy="138641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11</xdr:col>
      <xdr:colOff>186470</xdr:colOff>
      <xdr:row>31</xdr:row>
      <xdr:rowOff>35779</xdr:rowOff>
    </xdr:from>
    <xdr:to>
      <xdr:col>11</xdr:col>
      <xdr:colOff>248995</xdr:colOff>
      <xdr:row>32</xdr:row>
      <xdr:rowOff>26748</xdr:rowOff>
    </xdr:to>
    <xdr:grpSp>
      <xdr:nvGrpSpPr>
        <xdr:cNvPr id="262" name="Grup 234">
          <a:extLst>
            <a:ext uri="{FF2B5EF4-FFF2-40B4-BE49-F238E27FC236}">
              <a16:creationId xmlns:a16="http://schemas.microsoft.com/office/drawing/2014/main" id="{373A57C2-4447-458E-9FBD-978597151B97}"/>
            </a:ext>
          </a:extLst>
        </xdr:cNvPr>
        <xdr:cNvGrpSpPr/>
      </xdr:nvGrpSpPr>
      <xdr:grpSpPr>
        <a:xfrm rot="5400000">
          <a:off x="3884082" y="4730751"/>
          <a:ext cx="139135" cy="62525"/>
          <a:chOff x="13302191" y="2320613"/>
          <a:chExt cx="139135" cy="57233"/>
        </a:xfrm>
      </xdr:grpSpPr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F074BDFA-C08C-836E-A2C3-30E8A09CEB7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4" name="Straight Connector 263">
            <a:extLst>
              <a:ext uri="{FF2B5EF4-FFF2-40B4-BE49-F238E27FC236}">
                <a16:creationId xmlns:a16="http://schemas.microsoft.com/office/drawing/2014/main" id="{EE69C5B0-2D2F-28AA-7CF1-D1094898544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Connector 264">
            <a:extLst>
              <a:ext uri="{FF2B5EF4-FFF2-40B4-BE49-F238E27FC236}">
                <a16:creationId xmlns:a16="http://schemas.microsoft.com/office/drawing/2014/main" id="{85556BC9-871A-C924-FA4C-1B6A5FB072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64EDA224-70FF-59BC-FEB9-43FEAEDF5829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169334</xdr:colOff>
      <xdr:row>29</xdr:row>
      <xdr:rowOff>52917</xdr:rowOff>
    </xdr:from>
    <xdr:to>
      <xdr:col>14</xdr:col>
      <xdr:colOff>370417</xdr:colOff>
      <xdr:row>31</xdr:row>
      <xdr:rowOff>10583</xdr:rowOff>
    </xdr:to>
    <xdr:sp macro="" textlink="">
      <xdr:nvSpPr>
        <xdr:cNvPr id="267" name="TextBox 157">
          <a:extLst>
            <a:ext uri="{FF2B5EF4-FFF2-40B4-BE49-F238E27FC236}">
              <a16:creationId xmlns:a16="http://schemas.microsoft.com/office/drawing/2014/main" id="{3DA7554E-7C53-4384-814F-C937A8F65172}"/>
            </a:ext>
          </a:extLst>
        </xdr:cNvPr>
        <xdr:cNvSpPr txBox="1"/>
      </xdr:nvSpPr>
      <xdr:spPr>
        <a:xfrm>
          <a:off x="4286251" y="4381500"/>
          <a:ext cx="963083" cy="2540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41,5</a:t>
          </a:r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359832</xdr:colOff>
      <xdr:row>33</xdr:row>
      <xdr:rowOff>31750</xdr:rowOff>
    </xdr:from>
    <xdr:to>
      <xdr:col>7</xdr:col>
      <xdr:colOff>179915</xdr:colOff>
      <xdr:row>34</xdr:row>
      <xdr:rowOff>137583</xdr:rowOff>
    </xdr:to>
    <xdr:sp macro="" textlink="">
      <xdr:nvSpPr>
        <xdr:cNvPr id="268" name="TextBox 157">
          <a:extLst>
            <a:ext uri="{FF2B5EF4-FFF2-40B4-BE49-F238E27FC236}">
              <a16:creationId xmlns:a16="http://schemas.microsoft.com/office/drawing/2014/main" id="{76C19C66-2F8A-4CD9-8B18-C2893DFCF00F}"/>
            </a:ext>
          </a:extLst>
        </xdr:cNvPr>
        <xdr:cNvSpPr txBox="1"/>
      </xdr:nvSpPr>
      <xdr:spPr>
        <a:xfrm>
          <a:off x="1428749" y="4984750"/>
          <a:ext cx="963083" cy="2540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23</a:t>
          </a:r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116417</xdr:colOff>
      <xdr:row>30</xdr:row>
      <xdr:rowOff>105833</xdr:rowOff>
    </xdr:from>
    <xdr:to>
      <xdr:col>7</xdr:col>
      <xdr:colOff>273695</xdr:colOff>
      <xdr:row>31</xdr:row>
      <xdr:rowOff>94607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7A675843-AB05-4FD3-98E7-EB8F2E9C1BDF}"/>
            </a:ext>
          </a:extLst>
        </xdr:cNvPr>
        <xdr:cNvGrpSpPr/>
      </xdr:nvGrpSpPr>
      <xdr:grpSpPr>
        <a:xfrm>
          <a:off x="2328334" y="4614333"/>
          <a:ext cx="157278" cy="136941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652452FA-AAB7-1DF6-04D6-D8F96AD9FE7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DD6C3736-05AC-149D-1337-27952F52115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45BECB5C-D90A-8E8E-C0F4-984571122F3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232833</xdr:colOff>
      <xdr:row>30</xdr:row>
      <xdr:rowOff>74084</xdr:rowOff>
    </xdr:from>
    <xdr:to>
      <xdr:col>11</xdr:col>
      <xdr:colOff>82836</xdr:colOff>
      <xdr:row>31</xdr:row>
      <xdr:rowOff>11108</xdr:rowOff>
    </xdr:to>
    <xdr:grpSp>
      <xdr:nvGrpSpPr>
        <xdr:cNvPr id="274" name="Group 134">
          <a:extLst>
            <a:ext uri="{FF2B5EF4-FFF2-40B4-BE49-F238E27FC236}">
              <a16:creationId xmlns:a16="http://schemas.microsoft.com/office/drawing/2014/main" id="{D56AC954-CBA5-46F7-98A3-2CCB0ADFEA3A}"/>
            </a:ext>
          </a:extLst>
        </xdr:cNvPr>
        <xdr:cNvGrpSpPr/>
      </xdr:nvGrpSpPr>
      <xdr:grpSpPr>
        <a:xfrm>
          <a:off x="3587750" y="4582584"/>
          <a:ext cx="23100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75" name="Isosceles Triangle 118">
            <a:extLst>
              <a:ext uri="{FF2B5EF4-FFF2-40B4-BE49-F238E27FC236}">
                <a16:creationId xmlns:a16="http://schemas.microsoft.com/office/drawing/2014/main" id="{0DA78995-3A9A-068A-2F36-FB2BDE1B125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6" name="Isosceles Triangle 119">
            <a:extLst>
              <a:ext uri="{FF2B5EF4-FFF2-40B4-BE49-F238E27FC236}">
                <a16:creationId xmlns:a16="http://schemas.microsoft.com/office/drawing/2014/main" id="{6352DB10-BA39-5597-7044-963984C1315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7" name="Isosceles Triangle 120">
            <a:extLst>
              <a:ext uri="{FF2B5EF4-FFF2-40B4-BE49-F238E27FC236}">
                <a16:creationId xmlns:a16="http://schemas.microsoft.com/office/drawing/2014/main" id="{100FCFBF-AAA3-A1E7-4352-1C4C61169159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0</xdr:colOff>
      <xdr:row>31</xdr:row>
      <xdr:rowOff>84666</xdr:rowOff>
    </xdr:from>
    <xdr:to>
      <xdr:col>10</xdr:col>
      <xdr:colOff>95251</xdr:colOff>
      <xdr:row>31</xdr:row>
      <xdr:rowOff>84666</xdr:rowOff>
    </xdr:to>
    <xdr:cxnSp macro="">
      <xdr:nvCxnSpPr>
        <xdr:cNvPr id="304" name="Straight Connector 303">
          <a:extLst>
            <a:ext uri="{FF2B5EF4-FFF2-40B4-BE49-F238E27FC236}">
              <a16:creationId xmlns:a16="http://schemas.microsoft.com/office/drawing/2014/main" id="{A61EC141-90BA-49D9-BF40-07627B4BB5D4}"/>
            </a:ext>
          </a:extLst>
        </xdr:cNvPr>
        <xdr:cNvCxnSpPr/>
      </xdr:nvCxnSpPr>
      <xdr:spPr>
        <a:xfrm>
          <a:off x="1830917" y="4709583"/>
          <a:ext cx="161925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243418</xdr:colOff>
      <xdr:row>35</xdr:row>
      <xdr:rowOff>126999</xdr:rowOff>
    </xdr:from>
    <xdr:to>
      <xdr:col>8</xdr:col>
      <xdr:colOff>312760</xdr:colOff>
      <xdr:row>38</xdr:row>
      <xdr:rowOff>109927</xdr:rowOff>
    </xdr:to>
    <xdr:sp macro="" textlink="">
      <xdr:nvSpPr>
        <xdr:cNvPr id="215" name="Rectangle 1">
          <a:extLst>
            <a:ext uri="{FF2B5EF4-FFF2-40B4-BE49-F238E27FC236}">
              <a16:creationId xmlns:a16="http://schemas.microsoft.com/office/drawing/2014/main" id="{82D3A6D8-2E78-4AFC-AF6C-E4FCBCBCC554}"/>
            </a:ext>
          </a:extLst>
        </xdr:cNvPr>
        <xdr:cNvSpPr/>
      </xdr:nvSpPr>
      <xdr:spPr>
        <a:xfrm rot="16200000">
          <a:off x="2265708" y="5153209"/>
          <a:ext cx="448595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21167</xdr:colOff>
      <xdr:row>35</xdr:row>
      <xdr:rowOff>31751</xdr:rowOff>
    </xdr:from>
    <xdr:to>
      <xdr:col>15</xdr:col>
      <xdr:colOff>116417</xdr:colOff>
      <xdr:row>37</xdr:row>
      <xdr:rowOff>130782</xdr:rowOff>
    </xdr:to>
    <xdr:sp macro="" textlink="">
      <xdr:nvSpPr>
        <xdr:cNvPr id="243" name="TextBox 157">
          <a:extLst>
            <a:ext uri="{FF2B5EF4-FFF2-40B4-BE49-F238E27FC236}">
              <a16:creationId xmlns:a16="http://schemas.microsoft.com/office/drawing/2014/main" id="{F52AB729-0B0A-4859-960C-1ACACAF8273A}"/>
            </a:ext>
          </a:extLst>
        </xdr:cNvPr>
        <xdr:cNvSpPr txBox="1"/>
      </xdr:nvSpPr>
      <xdr:spPr>
        <a:xfrm>
          <a:off x="4138084" y="5281084"/>
          <a:ext cx="1238250" cy="40594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23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3X35+35 = 50 MTR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193092</xdr:colOff>
      <xdr:row>36</xdr:row>
      <xdr:rowOff>60908</xdr:rowOff>
    </xdr:from>
    <xdr:to>
      <xdr:col>10</xdr:col>
      <xdr:colOff>271730</xdr:colOff>
      <xdr:row>36</xdr:row>
      <xdr:rowOff>144730</xdr:rowOff>
    </xdr:to>
    <xdr:grpSp>
      <xdr:nvGrpSpPr>
        <xdr:cNvPr id="244" name="Group 73">
          <a:extLst>
            <a:ext uri="{FF2B5EF4-FFF2-40B4-BE49-F238E27FC236}">
              <a16:creationId xmlns:a16="http://schemas.microsoft.com/office/drawing/2014/main" id="{91365258-07E8-41E8-B2E1-9A5FF036BF6B}"/>
            </a:ext>
          </a:extLst>
        </xdr:cNvPr>
        <xdr:cNvGrpSpPr/>
      </xdr:nvGrpSpPr>
      <xdr:grpSpPr>
        <a:xfrm rot="15037085">
          <a:off x="3545417" y="5461000"/>
          <a:ext cx="83822" cy="78638"/>
          <a:chOff x="12175074" y="2285812"/>
          <a:chExt cx="107252" cy="65186"/>
        </a:xfrm>
      </xdr:grpSpPr>
      <xdr:cxnSp macro="">
        <xdr:nvCxnSpPr>
          <xdr:cNvPr id="247" name="Straight Connector 74">
            <a:extLst>
              <a:ext uri="{FF2B5EF4-FFF2-40B4-BE49-F238E27FC236}">
                <a16:creationId xmlns:a16="http://schemas.microsoft.com/office/drawing/2014/main" id="{40440C62-E59B-8422-D862-724FA6B6355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75">
            <a:extLst>
              <a:ext uri="{FF2B5EF4-FFF2-40B4-BE49-F238E27FC236}">
                <a16:creationId xmlns:a16="http://schemas.microsoft.com/office/drawing/2014/main" id="{2D478784-C36F-18A9-4D89-4EBAA2EC14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" name="Straight Connector 76">
            <a:extLst>
              <a:ext uri="{FF2B5EF4-FFF2-40B4-BE49-F238E27FC236}">
                <a16:creationId xmlns:a16="http://schemas.microsoft.com/office/drawing/2014/main" id="{7503AC30-23DA-17BD-EC5A-ACC59805C6E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306917</xdr:colOff>
      <xdr:row>31</xdr:row>
      <xdr:rowOff>52916</xdr:rowOff>
    </xdr:from>
    <xdr:to>
      <xdr:col>9</xdr:col>
      <xdr:colOff>9739</xdr:colOff>
      <xdr:row>31</xdr:row>
      <xdr:rowOff>131554</xdr:rowOff>
    </xdr:to>
    <xdr:grpSp>
      <xdr:nvGrpSpPr>
        <xdr:cNvPr id="280" name="Group 73">
          <a:extLst>
            <a:ext uri="{FF2B5EF4-FFF2-40B4-BE49-F238E27FC236}">
              <a16:creationId xmlns:a16="http://schemas.microsoft.com/office/drawing/2014/main" id="{69AEC7F7-12AD-42CA-8C86-29A765F5FA0F}"/>
            </a:ext>
          </a:extLst>
        </xdr:cNvPr>
        <xdr:cNvGrpSpPr/>
      </xdr:nvGrpSpPr>
      <xdr:grpSpPr>
        <a:xfrm rot="21429191">
          <a:off x="2899834" y="4709583"/>
          <a:ext cx="83822" cy="78638"/>
          <a:chOff x="12175074" y="2285812"/>
          <a:chExt cx="107252" cy="65186"/>
        </a:xfrm>
      </xdr:grpSpPr>
      <xdr:cxnSp macro="">
        <xdr:nvCxnSpPr>
          <xdr:cNvPr id="281" name="Straight Connector 74">
            <a:extLst>
              <a:ext uri="{FF2B5EF4-FFF2-40B4-BE49-F238E27FC236}">
                <a16:creationId xmlns:a16="http://schemas.microsoft.com/office/drawing/2014/main" id="{9336B013-71A6-150D-74B5-39C24A318B5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2" name="Straight Connector 75">
            <a:extLst>
              <a:ext uri="{FF2B5EF4-FFF2-40B4-BE49-F238E27FC236}">
                <a16:creationId xmlns:a16="http://schemas.microsoft.com/office/drawing/2014/main" id="{2F833C06-BE86-FE9D-15BE-AA32FDD5A44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76">
            <a:extLst>
              <a:ext uri="{FF2B5EF4-FFF2-40B4-BE49-F238E27FC236}">
                <a16:creationId xmlns:a16="http://schemas.microsoft.com/office/drawing/2014/main" id="{7B6C007C-8094-40C3-228F-8EBF8BCCBE9F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250662</xdr:colOff>
      <xdr:row>30</xdr:row>
      <xdr:rowOff>125888</xdr:rowOff>
    </xdr:from>
    <xdr:to>
      <xdr:col>10</xdr:col>
      <xdr:colOff>87429</xdr:colOff>
      <xdr:row>30</xdr:row>
      <xdr:rowOff>128850</xdr:rowOff>
    </xdr:to>
    <xdr:cxnSp macro="">
      <xdr:nvCxnSpPr>
        <xdr:cNvPr id="284" name="Straight Connector 139">
          <a:extLst>
            <a:ext uri="{FF2B5EF4-FFF2-40B4-BE49-F238E27FC236}">
              <a16:creationId xmlns:a16="http://schemas.microsoft.com/office/drawing/2014/main" id="{9ADB670A-57E6-4B9D-882A-6DB79AF75FA5}"/>
            </a:ext>
          </a:extLst>
        </xdr:cNvPr>
        <xdr:cNvCxnSpPr>
          <a:cxnSpLocks/>
          <a:stCxn id="270" idx="7"/>
          <a:endCxn id="190" idx="1"/>
        </xdr:cNvCxnSpPr>
      </xdr:nvCxnSpPr>
      <xdr:spPr bwMode="auto">
        <a:xfrm>
          <a:off x="2462579" y="4602638"/>
          <a:ext cx="979767" cy="296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197055</xdr:colOff>
      <xdr:row>30</xdr:row>
      <xdr:rowOff>56945</xdr:rowOff>
    </xdr:from>
    <xdr:to>
      <xdr:col>8</xdr:col>
      <xdr:colOff>259580</xdr:colOff>
      <xdr:row>31</xdr:row>
      <xdr:rowOff>47913</xdr:rowOff>
    </xdr:to>
    <xdr:grpSp>
      <xdr:nvGrpSpPr>
        <xdr:cNvPr id="297" name="Grup 244">
          <a:extLst>
            <a:ext uri="{FF2B5EF4-FFF2-40B4-BE49-F238E27FC236}">
              <a16:creationId xmlns:a16="http://schemas.microsoft.com/office/drawing/2014/main" id="{7CF17F4F-E738-40A0-9CDA-3F01CEA8BE57}"/>
            </a:ext>
          </a:extLst>
        </xdr:cNvPr>
        <xdr:cNvGrpSpPr/>
      </xdr:nvGrpSpPr>
      <xdr:grpSpPr>
        <a:xfrm rot="16200000">
          <a:off x="2751667" y="4603750"/>
          <a:ext cx="139135" cy="62525"/>
          <a:chOff x="13302191" y="2320613"/>
          <a:chExt cx="139135" cy="57233"/>
        </a:xfrm>
      </xdr:grpSpPr>
      <xdr:cxnSp macro="">
        <xdr:nvCxnSpPr>
          <xdr:cNvPr id="305" name="Straight Connector 81">
            <a:extLst>
              <a:ext uri="{FF2B5EF4-FFF2-40B4-BE49-F238E27FC236}">
                <a16:creationId xmlns:a16="http://schemas.microsoft.com/office/drawing/2014/main" id="{8D0039B5-8610-8D50-8181-5D1B332520B1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7" name="Straight Connector 82">
            <a:extLst>
              <a:ext uri="{FF2B5EF4-FFF2-40B4-BE49-F238E27FC236}">
                <a16:creationId xmlns:a16="http://schemas.microsoft.com/office/drawing/2014/main" id="{B3B20B10-71F8-2F8D-F711-CFFB07A5036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" name="Straight Connector 83">
            <a:extLst>
              <a:ext uri="{FF2B5EF4-FFF2-40B4-BE49-F238E27FC236}">
                <a16:creationId xmlns:a16="http://schemas.microsoft.com/office/drawing/2014/main" id="{3E0986DA-7202-9DF1-96E1-C975750FA9A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" name="Straight Connector 84">
            <a:extLst>
              <a:ext uri="{FF2B5EF4-FFF2-40B4-BE49-F238E27FC236}">
                <a16:creationId xmlns:a16="http://schemas.microsoft.com/office/drawing/2014/main" id="{86A0551B-57A0-FAA8-8374-1AF7805DE1D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10584</xdr:colOff>
      <xdr:row>22</xdr:row>
      <xdr:rowOff>31749</xdr:rowOff>
    </xdr:from>
    <xdr:to>
      <xdr:col>9</xdr:col>
      <xdr:colOff>380154</xdr:colOff>
      <xdr:row>30</xdr:row>
      <xdr:rowOff>0</xdr:rowOff>
    </xdr:to>
    <xdr:sp macro="" textlink="">
      <xdr:nvSpPr>
        <xdr:cNvPr id="311" name="TextBox 157">
          <a:extLst>
            <a:ext uri="{FF2B5EF4-FFF2-40B4-BE49-F238E27FC236}">
              <a16:creationId xmlns:a16="http://schemas.microsoft.com/office/drawing/2014/main" id="{7B0D6F30-3B74-4B05-ADBF-9911FD58ACC0}"/>
            </a:ext>
          </a:extLst>
        </xdr:cNvPr>
        <xdr:cNvSpPr txBox="1"/>
      </xdr:nvSpPr>
      <xdr:spPr>
        <a:xfrm>
          <a:off x="2222501" y="3323166"/>
          <a:ext cx="1131570" cy="118533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DC PWI04-K2-750 - PWI12-K2-750</a:t>
          </a:r>
          <a:endParaRPr lang="en-US" sz="800" u="sng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DC-C1-1H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J5-T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CJ6-T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G31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160KVA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7</xdr:col>
      <xdr:colOff>264584</xdr:colOff>
      <xdr:row>35</xdr:row>
      <xdr:rowOff>127000</xdr:rowOff>
    </xdr:from>
    <xdr:to>
      <xdr:col>8</xdr:col>
      <xdr:colOff>49319</xdr:colOff>
      <xdr:row>36</xdr:row>
      <xdr:rowOff>126999</xdr:rowOff>
    </xdr:to>
    <xdr:sp macro="" textlink="">
      <xdr:nvSpPr>
        <xdr:cNvPr id="314" name="Rectangle 146">
          <a:extLst>
            <a:ext uri="{FF2B5EF4-FFF2-40B4-BE49-F238E27FC236}">
              <a16:creationId xmlns:a16="http://schemas.microsoft.com/office/drawing/2014/main" id="{F5A73C9E-0C2A-4323-ABFD-D30756F2A67D}"/>
            </a:ext>
          </a:extLst>
        </xdr:cNvPr>
        <xdr:cNvSpPr/>
      </xdr:nvSpPr>
      <xdr:spPr>
        <a:xfrm>
          <a:off x="2476501" y="5376333"/>
          <a:ext cx="165735" cy="14816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7</xdr:col>
      <xdr:colOff>190500</xdr:colOff>
      <xdr:row>31</xdr:row>
      <xdr:rowOff>105832</xdr:rowOff>
    </xdr:from>
    <xdr:to>
      <xdr:col>7</xdr:col>
      <xdr:colOff>278089</xdr:colOff>
      <xdr:row>35</xdr:row>
      <xdr:rowOff>127000</xdr:rowOff>
    </xdr:to>
    <xdr:cxnSp macro="">
      <xdr:nvCxnSpPr>
        <xdr:cNvPr id="315" name="Straight Connector 164">
          <a:extLst>
            <a:ext uri="{FF2B5EF4-FFF2-40B4-BE49-F238E27FC236}">
              <a16:creationId xmlns:a16="http://schemas.microsoft.com/office/drawing/2014/main" id="{E4CCE07F-987C-4690-8600-4D64F7675C9C}"/>
            </a:ext>
          </a:extLst>
        </xdr:cNvPr>
        <xdr:cNvCxnSpPr>
          <a:cxnSpLocks/>
          <a:endCxn id="215" idx="3"/>
        </xdr:cNvCxnSpPr>
      </xdr:nvCxnSpPr>
      <xdr:spPr bwMode="auto">
        <a:xfrm>
          <a:off x="2402417" y="4762499"/>
          <a:ext cx="87589" cy="61383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211667</xdr:colOff>
      <xdr:row>34</xdr:row>
      <xdr:rowOff>1</xdr:rowOff>
    </xdr:from>
    <xdr:to>
      <xdr:col>7</xdr:col>
      <xdr:colOff>290305</xdr:colOff>
      <xdr:row>34</xdr:row>
      <xdr:rowOff>83823</xdr:rowOff>
    </xdr:to>
    <xdr:grpSp>
      <xdr:nvGrpSpPr>
        <xdr:cNvPr id="317" name="Group 73">
          <a:extLst>
            <a:ext uri="{FF2B5EF4-FFF2-40B4-BE49-F238E27FC236}">
              <a16:creationId xmlns:a16="http://schemas.microsoft.com/office/drawing/2014/main" id="{F1920FEC-51D0-47FA-9634-D01FC2A4F725}"/>
            </a:ext>
          </a:extLst>
        </xdr:cNvPr>
        <xdr:cNvGrpSpPr/>
      </xdr:nvGrpSpPr>
      <xdr:grpSpPr>
        <a:xfrm rot="15037085">
          <a:off x="2420992" y="5103760"/>
          <a:ext cx="83822" cy="78638"/>
          <a:chOff x="12175074" y="2285812"/>
          <a:chExt cx="107252" cy="65186"/>
        </a:xfrm>
      </xdr:grpSpPr>
      <xdr:cxnSp macro="">
        <xdr:nvCxnSpPr>
          <xdr:cNvPr id="318" name="Straight Connector 74">
            <a:extLst>
              <a:ext uri="{FF2B5EF4-FFF2-40B4-BE49-F238E27FC236}">
                <a16:creationId xmlns:a16="http://schemas.microsoft.com/office/drawing/2014/main" id="{3C08742B-0FB0-2B62-9820-F8F27A899E71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" name="Straight Connector 75">
            <a:extLst>
              <a:ext uri="{FF2B5EF4-FFF2-40B4-BE49-F238E27FC236}">
                <a16:creationId xmlns:a16="http://schemas.microsoft.com/office/drawing/2014/main" id="{95D787EC-482D-EC57-4992-B6EE51FEE741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" name="Straight Connector 76">
            <a:extLst>
              <a:ext uri="{FF2B5EF4-FFF2-40B4-BE49-F238E27FC236}">
                <a16:creationId xmlns:a16="http://schemas.microsoft.com/office/drawing/2014/main" id="{B3D120F3-75B0-2276-98BF-38EEF1E707A0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264583</xdr:colOff>
      <xdr:row>37</xdr:row>
      <xdr:rowOff>52916</xdr:rowOff>
    </xdr:from>
    <xdr:to>
      <xdr:col>8</xdr:col>
      <xdr:colOff>84666</xdr:colOff>
      <xdr:row>38</xdr:row>
      <xdr:rowOff>148166</xdr:rowOff>
    </xdr:to>
    <xdr:sp macro="" textlink="">
      <xdr:nvSpPr>
        <xdr:cNvPr id="196" name="TextBox 157">
          <a:extLst>
            <a:ext uri="{FF2B5EF4-FFF2-40B4-BE49-F238E27FC236}">
              <a16:creationId xmlns:a16="http://schemas.microsoft.com/office/drawing/2014/main" id="{A240CD9C-61A4-417C-80F8-7CE00DFCA1EC}"/>
            </a:ext>
          </a:extLst>
        </xdr:cNvPr>
        <xdr:cNvSpPr txBox="1"/>
      </xdr:nvSpPr>
      <xdr:spPr>
        <a:xfrm>
          <a:off x="1714500" y="5609166"/>
          <a:ext cx="963083" cy="2540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33</a:t>
          </a:r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158750</xdr:colOff>
      <xdr:row>33</xdr:row>
      <xdr:rowOff>63500</xdr:rowOff>
    </xdr:from>
    <xdr:to>
      <xdr:col>12</xdr:col>
      <xdr:colOff>324485</xdr:colOff>
      <xdr:row>34</xdr:row>
      <xdr:rowOff>53974</xdr:rowOff>
    </xdr:to>
    <xdr:sp macro="" textlink="">
      <xdr:nvSpPr>
        <xdr:cNvPr id="197" name="Rectangle 146">
          <a:extLst>
            <a:ext uri="{FF2B5EF4-FFF2-40B4-BE49-F238E27FC236}">
              <a16:creationId xmlns:a16="http://schemas.microsoft.com/office/drawing/2014/main" id="{B03323BB-7169-4699-AC3F-CB60CBC5D995}"/>
            </a:ext>
          </a:extLst>
        </xdr:cNvPr>
        <xdr:cNvSpPr/>
      </xdr:nvSpPr>
      <xdr:spPr>
        <a:xfrm>
          <a:off x="4275667" y="5016500"/>
          <a:ext cx="165735" cy="138641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189643</xdr:colOff>
      <xdr:row>31</xdr:row>
      <xdr:rowOff>82931</xdr:rowOff>
    </xdr:from>
    <xdr:to>
      <xdr:col>12</xdr:col>
      <xdr:colOff>187757</xdr:colOff>
      <xdr:row>33</xdr:row>
      <xdr:rowOff>90430</xdr:rowOff>
    </xdr:to>
    <xdr:cxnSp macro="">
      <xdr:nvCxnSpPr>
        <xdr:cNvPr id="198" name="Straight Connector 164">
          <a:extLst>
            <a:ext uri="{FF2B5EF4-FFF2-40B4-BE49-F238E27FC236}">
              <a16:creationId xmlns:a16="http://schemas.microsoft.com/office/drawing/2014/main" id="{C4470F6A-5BE5-4505-9CB4-95C06D493BF5}"/>
            </a:ext>
          </a:extLst>
        </xdr:cNvPr>
        <xdr:cNvCxnSpPr>
          <a:cxnSpLocks/>
          <a:stCxn id="190" idx="5"/>
        </xdr:cNvCxnSpPr>
      </xdr:nvCxnSpPr>
      <xdr:spPr bwMode="auto">
        <a:xfrm>
          <a:off x="3544560" y="4739598"/>
          <a:ext cx="760114" cy="30383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254000</xdr:colOff>
      <xdr:row>32</xdr:row>
      <xdr:rowOff>63500</xdr:rowOff>
    </xdr:from>
    <xdr:to>
      <xdr:col>11</xdr:col>
      <xdr:colOff>316525</xdr:colOff>
      <xdr:row>33</xdr:row>
      <xdr:rowOff>54468</xdr:rowOff>
    </xdr:to>
    <xdr:grpSp>
      <xdr:nvGrpSpPr>
        <xdr:cNvPr id="200" name="Grup 234">
          <a:extLst>
            <a:ext uri="{FF2B5EF4-FFF2-40B4-BE49-F238E27FC236}">
              <a16:creationId xmlns:a16="http://schemas.microsoft.com/office/drawing/2014/main" id="{395978DD-4C11-4EDE-8B42-4AADC30494AE}"/>
            </a:ext>
          </a:extLst>
        </xdr:cNvPr>
        <xdr:cNvGrpSpPr/>
      </xdr:nvGrpSpPr>
      <xdr:grpSpPr>
        <a:xfrm rot="5400000">
          <a:off x="3951612" y="4906638"/>
          <a:ext cx="139135" cy="62525"/>
          <a:chOff x="13302191" y="2320613"/>
          <a:chExt cx="139135" cy="57233"/>
        </a:xfrm>
      </xdr:grpSpPr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id="{390993F6-4F10-7DC7-F17A-5A7142C8EA10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Straight Connector 211">
            <a:extLst>
              <a:ext uri="{FF2B5EF4-FFF2-40B4-BE49-F238E27FC236}">
                <a16:creationId xmlns:a16="http://schemas.microsoft.com/office/drawing/2014/main" id="{366BE2F5-4718-2303-10EC-07D56B86945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146C6113-1EA5-BB3A-72C0-3960B1669DE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DB5F6894-EFD3-980F-E465-4931D406FB0F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28</xdr:col>
      <xdr:colOff>40531</xdr:colOff>
      <xdr:row>51</xdr:row>
      <xdr:rowOff>141861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725020-560D-5ACB-34B4-4345D7B0A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652287" cy="759973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6</xdr:row>
      <xdr:rowOff>0</xdr:rowOff>
    </xdr:from>
    <xdr:to>
      <xdr:col>28</xdr:col>
      <xdr:colOff>221512</xdr:colOff>
      <xdr:row>63</xdr:row>
      <xdr:rowOff>22151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F840A3-9010-C979-BB3C-1893E7EB8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908198"/>
          <a:ext cx="14796977" cy="886046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x"/>
      <sheetName val="JAN07"/>
      <sheetName val="Mat"/>
      <sheetName val="Pro"/>
      <sheetName val="Uph"/>
      <sheetName val="Kons"/>
      <sheetName val="Tamb"/>
      <sheetName val="SR-APP"/>
      <sheetName val="Sort"/>
      <sheetName val="PL-2"/>
      <sheetName val="graf2"/>
      <sheetName val="PUNCAK-89"/>
      <sheetName val="SortSheet"/>
      <sheetName val="ASUMSI"/>
      <sheetName val="MEMO"/>
      <sheetName val="Breakdown Target"/>
      <sheetName val="DTU"/>
      <sheetName val="DeVIASI"/>
      <sheetName val="KoMposisi"/>
      <sheetName val="2013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graf2"/>
      <sheetName val="Neraca seAPJ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Kamus"/>
      <sheetName val="FORM-B"/>
      <sheetName val="JAN09"/>
      <sheetName val="REKAP"/>
      <sheetName val="FORM_B"/>
      <sheetName val="Bipeg-U(12D2)"/>
      <sheetName val="NEKons"/>
      <sheetName val="rkap2008"/>
      <sheetName val="x"/>
      <sheetName val="BBaku(12C3)"/>
      <sheetName val="BiLuOp(14)"/>
      <sheetName val="BOLain(12E2)"/>
      <sheetName val="BPeg-F(12D1)"/>
      <sheetName val="PendaLuOp(13)"/>
      <sheetName val="PenjTL(18)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Sheet2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Neraca seAPJ"/>
      <sheetName val="L_23"/>
      <sheetName val="FORM-B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  <sheetName val="Forma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Rekap PMG."/>
      <sheetName val="master rab"/>
      <sheetName val="Format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Jasa"/>
      <sheetName val="Mat"/>
      <sheetName val="DeVIASI"/>
      <sheetName val="KoMposisi"/>
      <sheetName val="JAN07"/>
      <sheetName val="APBN"/>
      <sheetName val="DTU"/>
      <sheetName val="UPDATE 25 JANUARI 2007"/>
      <sheetName val="Data"/>
      <sheetName val="MATERIAL juni 05"/>
      <sheetName val="Format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PMT"/>
      <sheetName val="DTU"/>
      <sheetName val="Cover"/>
      <sheetName val="E3. ANALISA HS HAR TEK SUTM"/>
      <sheetName val="E6. ANALISA HS HAR"/>
      <sheetName val="JAN07"/>
      <sheetName val="Kontrak vs Realisasi Gas"/>
      <sheetName val="D2. ANALISA HS INSHAR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FORM-B"/>
      <sheetName val="Rekap PMG."/>
      <sheetName val="Usulan"/>
      <sheetName val="UPDATE 25 JANUARI 2007"/>
      <sheetName val="BERKAS"/>
      <sheetName val="Database"/>
      <sheetName val="DeVIASI"/>
      <sheetName val="KoMposisi"/>
      <sheetName val="data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UPDATE 25 JANUARI 2007"/>
      <sheetName val="aruskas"/>
      <sheetName val="Hal-1"/>
      <sheetName val="Jasa"/>
      <sheetName val="Mat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DESEMBER"/>
      <sheetName val="DeVIASI"/>
      <sheetName val="KoMposisi"/>
      <sheetName val="LAMP_1L"/>
      <sheetName val="LAMP_4L"/>
      <sheetName val="LAMP_5L"/>
      <sheetName val="LAMP_7L"/>
      <sheetName val="12RB09_SE217_KDS_2011"/>
      <sheetName val="PMT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Data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7">
          <cell r="B7" t="str">
            <v>URAIAN PEKERJAAN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ca"/>
      <sheetName val="Rincian_Investasi"/>
      <sheetName val="Proyeksi_Sales"/>
      <sheetName val="Proyeksi_COGS"/>
      <sheetName val="Income_Statement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sr"/>
      <sheetName val="Analisa"/>
      <sheetName val="Blangko Analisa"/>
      <sheetName val="Blangko RAB"/>
      <sheetName val="HPS"/>
      <sheetName val="impedansi"/>
      <sheetName val="HB2"/>
      <sheetName val="Sensitivitas"/>
      <sheetName val="JAN07"/>
      <sheetName val="DTU"/>
      <sheetName val="entry REC  trip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2" t="s">
        <v>1133</v>
      </c>
      <c r="C4" s="522"/>
      <c r="D4" s="522"/>
      <c r="E4" s="522"/>
      <c r="F4" s="522"/>
      <c r="G4" s="522"/>
      <c r="H4" s="522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3" t="s">
        <v>0</v>
      </c>
      <c r="C7" s="523" t="s">
        <v>1</v>
      </c>
      <c r="D7" s="524" t="s">
        <v>42</v>
      </c>
      <c r="E7" s="524" t="s">
        <v>43</v>
      </c>
      <c r="F7" s="524" t="s">
        <v>1134</v>
      </c>
      <c r="G7" s="525" t="s">
        <v>41</v>
      </c>
      <c r="H7" s="521" t="s">
        <v>1042</v>
      </c>
      <c r="I7" s="521" t="s">
        <v>1136</v>
      </c>
      <c r="J7" s="521" t="s">
        <v>1026</v>
      </c>
      <c r="K7" s="515" t="s">
        <v>1024</v>
      </c>
      <c r="L7" s="516"/>
    </row>
    <row r="8" spans="1:12" ht="15" customHeight="1">
      <c r="B8" s="523"/>
      <c r="C8" s="523"/>
      <c r="D8" s="524"/>
      <c r="E8" s="524"/>
      <c r="F8" s="524"/>
      <c r="G8" s="525"/>
      <c r="H8" s="521"/>
      <c r="I8" s="521"/>
      <c r="J8" s="521"/>
      <c r="K8" s="517"/>
      <c r="L8" s="518"/>
    </row>
    <row r="9" spans="1:12" ht="15" customHeight="1">
      <c r="B9" s="523"/>
      <c r="C9" s="523"/>
      <c r="D9" s="524"/>
      <c r="E9" s="524"/>
      <c r="F9" s="524"/>
      <c r="G9" s="525"/>
      <c r="H9" s="521"/>
      <c r="I9" s="521"/>
      <c r="J9" s="521"/>
      <c r="K9" s="519"/>
      <c r="L9" s="520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 4 x 16 mm²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Mtr</v>
      </c>
      <c r="F14" s="138">
        <f t="shared" ca="1" si="2"/>
        <v>50</v>
      </c>
      <c r="G14" s="41">
        <f ca="1">IF(ISERROR(OFFSET('HARGA SATUAN'!$I$6,MATCH(C14,'HARGA SATUAN'!$C$7:$C$1495,0),0)),"",OFFSET('HARGA SATUAN'!$I$6,MATCH(C14,'HARGA SATUAN'!$C$7:$C$1495,0),0))</f>
        <v>13500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Modem 3G/4G</v>
      </c>
      <c r="D15" s="101" t="str">
        <f ca="1">IF(ISERROR(OFFSET('HARGA SATUAN'!$D$6,MATCH(C15,'HARGA SATUAN'!$C$7:$C$1495,0),0)),"",OFFSET('HARGA SATUAN'!$D$6,MATCH(C15,'HARGA SATUAN'!$C$7:$C$1495,0),0))</f>
        <v>HDW</v>
      </c>
      <c r="E15" s="101" t="str">
        <f ca="1">IF(B15="+","Unit",IF(ISERROR(OFFSET('HARGA SATUAN'!$E$6,MATCH(C15,'HARGA SATUAN'!$C$7:$C$1495,0),0)),"",OFFSET('HARGA SATUAN'!$E$6,MATCH(C15,'HARGA SATUAN'!$C$7:$C$1495,0),0)))</f>
        <v>Unit</v>
      </c>
      <c r="F15" s="138">
        <f t="shared" ca="1" si="2"/>
        <v>1</v>
      </c>
      <c r="G15" s="41">
        <f ca="1">IF(ISERROR(OFFSET('HARGA SATUAN'!$I$6,MATCH(C15,'HARGA SATUAN'!$C$7:$C$1495,0),0)),"",OFFSET('HARGA SATUAN'!$I$6,MATCH(C15,'HARGA SATUAN'!$C$7:$C$1495,0),0))</f>
        <v>1113900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38" t="str">
        <f t="shared" ca="1" si="2"/>
        <v/>
      </c>
      <c r="G16" s="41">
        <f ca="1">IF(ISERROR(OFFSET('HARGA SATUAN'!$I$6,MATCH(C16,'HARGA SATUAN'!$C$7:$C$1495,0),0)),"",OFFSET('HARGA SATUAN'!$I$6,MATCH(C16,'HARGA SATUAN'!$C$7:$C$1495,0),0))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38" t="str">
        <f t="shared" ca="1" si="2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SUMIFS(RAB!$F$14:$F$63,RAB!$C$14:$C$63,C714)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SUMIFS(RAB!$F$14:$F$63,RAB!$C$14:$C$63,C715)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SUMIFS(RAB!$F$14:$F$63,RAB!$C$14:$C$63,C716)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SUMIFS(RAB!$F$14:$F$63,RAB!$C$14:$C$63,C717)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SUMIFS(RAB!$F$14:$F$63,RAB!$C$14:$C$63,C718)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SUMIFS(RAB!$F$14:$F$63,RAB!$C$14:$C$63,C719)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SUMIFS(RAB!$F$14:$F$63,RAB!$C$14:$C$63,C720)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SUMIFS(RAB!$F$14:$F$63,RAB!$C$14:$C$63,C721)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SUMIFS(RAB!$F$14:$F$63,RAB!$C$14:$C$63,C722)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SUMIFS(RAB!$F$14:$F$63,RAB!$C$14:$C$63,C723)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SUMIFS(RAB!$F$14:$F$63,RAB!$C$14:$C$63,C724)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SUMIFS(RAB!$F$14:$F$63,RAB!$C$14:$C$63,C725)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SUMIFS(RAB!$F$14:$F$63,RAB!$C$14:$C$63,C726)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SUMIFS(RAB!$F$14:$F$63,RAB!$C$14:$C$63,C727)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SUMIFS(RAB!$F$14:$F$63,RAB!$C$14:$C$63,C728)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SUMIFS(RAB!$F$14:$F$63,RAB!$C$14:$C$63,C729)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SUMIFS(RAB!$F$14:$F$63,RAB!$C$14:$C$63,C730)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SUMIFS(RAB!$F$14:$F$63,RAB!$C$14:$C$63,C731)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SUMIFS(RAB!$F$14:$F$63,RAB!$C$14:$C$63,C732)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SUMIFS(RAB!$F$14:$F$63,RAB!$C$14:$C$63,C733)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SUMIFS(RAB!$F$14:$F$63,RAB!$C$14:$C$63,C734)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SUMIFS(RAB!$F$14:$F$63,RAB!$C$14:$C$63,C735)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SUMIFS(RAB!$F$14:$F$63,RAB!$C$14:$C$63,C736)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SUMIFS(RAB!$F$14:$F$63,RAB!$C$14:$C$63,C737)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SUMIFS(RAB!$F$14:$F$63,RAB!$C$14:$C$63,C738)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SUMIFS(RAB!$F$14:$F$63,RAB!$C$14:$C$63,C739)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SUMIFS(RAB!$F$14:$F$63,RAB!$C$14:$C$63,C740)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SUMIFS(RAB!$F$14:$F$63,RAB!$C$14:$C$63,C741)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SUMIFS(RAB!$F$14:$F$63,RAB!$C$14:$C$63,C742)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SUMIFS(RAB!$F$14:$F$63,RAB!$C$14:$C$63,C743)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SUMIFS(RAB!$F$14:$F$63,RAB!$C$14:$C$63,C744)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SUMIFS(RAB!$F$14:$F$63,RAB!$C$14:$C$63,C745)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SUMIFS(RAB!$F$14:$F$63,RAB!$C$14:$C$63,C746)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SUMIFS(RAB!$F$14:$F$63,RAB!$C$14:$C$63,C747)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SUMIFS(RAB!$F$14:$F$63,RAB!$C$14:$C$63,C748)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SUMIFS(RAB!$F$14:$F$63,RAB!$C$14:$C$63,C749)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SUMIFS(RAB!$F$14:$F$63,RAB!$C$14:$C$63,C750)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SUMIFS(RAB!$F$14:$F$63,RAB!$C$14:$C$63,C751)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SUMIFS(RAB!$F$14:$F$63,RAB!$C$14:$C$63,C752)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SUMIFS(RAB!$F$14:$F$63,RAB!$C$14:$C$63,C753)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SUMIFS(RAB!$F$14:$F$63,RAB!$C$14:$C$63,C754)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SUMIFS(RAB!$F$14:$F$63,RAB!$C$14:$C$63,C755)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SUMIFS(RAB!$F$14:$F$63,RAB!$C$14:$C$63,C756)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SUMIFS(RAB!$F$14:$F$63,RAB!$C$14:$C$63,C757)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SUMIFS(RAB!$F$14:$F$63,RAB!$C$14:$C$63,C758)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SUMIFS(RAB!$F$14:$F$63,RAB!$C$14:$C$63,C759)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SUMIFS(RAB!$F$14:$F$63,RAB!$C$14:$C$63,C760)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SUMIFS(RAB!$F$14:$F$63,RAB!$C$14:$C$63,C761)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SUMIFS(RAB!$F$14:$F$63,RAB!$C$14:$C$63,C762)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SUMIFS(RAB!$F$14:$F$63,RAB!$C$14:$C$63,C763)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SUMIFS(RAB!$F$14:$F$63,RAB!$C$14:$C$63,C764)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SUMIFS(RAB!$F$14:$F$63,RAB!$C$14:$C$63,C765)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SUMIFS(RAB!$F$14:$F$63,RAB!$C$14:$C$63,C766)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SUMIFS(RAB!$F$14:$F$63,RAB!$C$14:$C$63,C767)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SUMIFS(RAB!$F$14:$F$63,RAB!$C$14:$C$63,C768)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SUMIFS(RAB!$F$14:$F$63,RAB!$C$14:$C$63,C769)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SUMIFS(RAB!$F$14:$F$63,RAB!$C$14:$C$63,C770)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SUMIFS(RAB!$F$14:$F$63,RAB!$C$14:$C$63,C771)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SUMIFS(RAB!$F$14:$F$63,RAB!$C$14:$C$63,C772)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SUMIFS(RAB!$F$14:$F$63,RAB!$C$14:$C$63,C773)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SUMIFS(RAB!$F$14:$F$63,RAB!$C$14:$C$63,C774)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SUMIFS(RAB!$F$14:$F$63,RAB!$C$14:$C$63,C775)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SUMIFS(RAB!$F$14:$F$63,RAB!$C$14:$C$63,C776)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SUMIFS(RAB!$F$14:$F$63,RAB!$C$14:$C$63,C777)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SUMIFS(RAB!$F$14:$F$63,RAB!$C$14:$C$63,C778)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SUMIFS(RAB!$F$14:$F$63,RAB!$C$14:$C$63,C779)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SUMIFS(RAB!$F$14:$F$63,RAB!$C$14:$C$63,C780)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SUMIFS(RAB!$F$14:$F$63,RAB!$C$14:$C$63,C781)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SUMIFS(RAB!$F$14:$F$63,RAB!$C$14:$C$63,C782)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SUMIFS(RAB!$F$14:$F$63,RAB!$C$14:$C$63,C783)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SUMIFS(RAB!$F$14:$F$63,RAB!$C$14:$C$63,C784)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SUMIFS(RAB!$F$14:$F$63,RAB!$C$14:$C$63,C785)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SUMIFS(RAB!$F$14:$F$63,RAB!$C$14:$C$63,C786)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SUMIFS(RAB!$F$14:$F$63,RAB!$C$14:$C$63,C787)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SUMIFS(RAB!$F$14:$F$63,RAB!$C$14:$C$63,C788)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SUMIFS(RAB!$F$14:$F$63,RAB!$C$14:$C$63,C789)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SUMIFS(RAB!$F$14:$F$63,RAB!$C$14:$C$63,C790)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SUMIFS(RAB!$F$14:$F$63,RAB!$C$14:$C$63,C791)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SUMIFS(RAB!$F$14:$F$63,RAB!$C$14:$C$63,C792)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SUMIFS(RAB!$F$14:$F$63,RAB!$C$14:$C$63,C793)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SUMIFS(RAB!$F$14:$F$63,RAB!$C$14:$C$63,C794)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SUMIFS(RAB!$F$14:$F$63,RAB!$C$14:$C$63,C795)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SUMIFS(RAB!$F$14:$F$63,RAB!$C$14:$C$63,C796)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SUMIFS(RAB!$F$14:$F$63,RAB!$C$14:$C$63,C797)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SUMIFS(RAB!$F$14:$F$63,RAB!$C$14:$C$63,C798)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SUMIFS(RAB!$F$14:$F$63,RAB!$C$14:$C$63,C799)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SUMIFS(RAB!$F$14:$F$63,RAB!$C$14:$C$63,C800)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SUMIFS(RAB!$F$14:$F$63,RAB!$C$14:$C$63,C801)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SUMIFS(RAB!$F$14:$F$63,RAB!$C$14:$C$63,C802)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SUMIFS(RAB!$F$14:$F$63,RAB!$C$14:$C$63,C803)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SUMIFS(RAB!$F$14:$F$63,RAB!$C$14:$C$63,C804)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SUMIFS(RAB!$F$14:$F$63,RAB!$C$14:$C$63,C805)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SUMIFS(RAB!$F$14:$F$63,RAB!$C$14:$C$63,C806)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SUMIFS(RAB!$F$14:$F$63,RAB!$C$14:$C$63,C807)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SUMIFS(RAB!$F$14:$F$63,RAB!$C$14:$C$63,C808)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SUMIFS(RAB!$F$14:$F$63,RAB!$C$14:$C$63,C809)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SUMIFS(RAB!$F$14:$F$63,RAB!$C$14:$C$63,C810)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SUMIFS(RAB!$F$14:$F$63,RAB!$C$14:$C$63,C811)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SUMIFS(RAB!$F$14:$F$63,RAB!$C$14:$C$63,C812)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SUMIFS(RAB!$F$14:$F$63,RAB!$C$14:$C$63,C813)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SUMIFS(RAB!$F$14:$F$63,RAB!$C$14:$C$63,C814)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SUMIFS(RAB!$F$14:$F$63,RAB!$C$14:$C$63,C815)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SUMIFS(RAB!$F$14:$F$63,RAB!$C$14:$C$63,C816)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SUMIFS(RAB!$F$14:$F$63,RAB!$C$14:$C$63,C817)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SUMIFS(RAB!$F$14:$F$63,RAB!$C$14:$C$63,C818)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SUMIFS(RAB!$F$14:$F$63,RAB!$C$14:$C$63,C819)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SUMIFS(RAB!$F$14:$F$63,RAB!$C$14:$C$63,C820)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SUMIFS(RAB!$F$14:$F$63,RAB!$C$14:$C$63,C821)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SUMIFS(RAB!$F$14:$F$63,RAB!$C$14:$C$63,C822)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SUMIFS(RAB!$F$14:$F$63,RAB!$C$14:$C$63,C823)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SUMIFS(RAB!$F$14:$F$63,RAB!$C$14:$C$63,C824)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SUMIFS(RAB!$F$14:$F$63,RAB!$C$14:$C$63,C825)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SUMIFS(RAB!$F$14:$F$63,RAB!$C$14:$C$63,C826)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SUMIFS(RAB!$F$14:$F$63,RAB!$C$14:$C$63,C827)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SUMIFS(RAB!$F$14:$F$63,RAB!$C$14:$C$63,C828)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SUMIFS(RAB!$F$14:$F$63,RAB!$C$14:$C$63,C829)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SUMIFS(RAB!$F$14:$F$63,RAB!$C$14:$C$63,C830)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SUMIFS(RAB!$F$14:$F$63,RAB!$C$14:$C$63,C831)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SUMIFS(RAB!$F$14:$F$63,RAB!$C$14:$C$63,C832)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SUMIFS(RAB!$F$14:$F$63,RAB!$C$14:$C$63,C833)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SUMIFS(RAB!$F$14:$F$63,RAB!$C$14:$C$63,C834)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SUMIFS(RAB!$F$14:$F$63,RAB!$C$14:$C$63,C835)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SUMIFS(RAB!$F$14:$F$63,RAB!$C$14:$C$63,C836)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SUMIFS(RAB!$F$14:$F$63,RAB!$C$14:$C$63,C837)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SUMIFS(RAB!$F$14:$F$63,RAB!$C$14:$C$63,C838)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SUMIFS(RAB!$F$14:$F$63,RAB!$C$14:$C$63,C839)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SUMIFS(RAB!$F$14:$F$63,RAB!$C$14:$C$63,C840)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SUMIFS(RAB!$F$14:$F$63,RAB!$C$14:$C$63,C841)</f>
        <v>50</v>
      </c>
      <c r="E841" s="26">
        <f t="shared" ca="1" si="34"/>
        <v>1</v>
      </c>
      <c r="F841" s="26">
        <f ca="1">IF(D841=0,0,SUM($E$713:E841))</f>
        <v>3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SUMIFS(RAB!$F$14:$F$63,RAB!$C$14:$C$63,C842)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SUMIFS(RAB!$F$14:$F$63,RAB!$C$14:$C$63,C843)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SUMIFS(RAB!$F$14:$F$63,RAB!$C$14:$C$63,C844)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SUMIFS(RAB!$F$14:$F$63,RAB!$C$14:$C$63,C845)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SUMIFS(RAB!$F$14:$F$63,RAB!$C$14:$C$63,C846)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SUMIFS(RAB!$F$14:$F$63,RAB!$C$14:$C$63,C847)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SUMIFS(RAB!$F$14:$F$63,RAB!$C$14:$C$63,C848)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SUMIFS(RAB!$F$14:$F$63,RAB!$C$14:$C$63,C849)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SUMIFS(RAB!$F$14:$F$63,RAB!$C$14:$C$63,C850)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SUMIFS(RAB!$F$14:$F$63,RAB!$C$14:$C$63,C851)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SUMIFS(RAB!$F$14:$F$63,RAB!$C$14:$C$63,C852)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SUMIFS(RAB!$F$14:$F$63,RAB!$C$14:$C$63,C853)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SUMIFS(RAB!$F$14:$F$63,RAB!$C$14:$C$63,C854)</f>
        <v>1</v>
      </c>
      <c r="E854" s="26">
        <f t="shared" ca="1" si="35"/>
        <v>1</v>
      </c>
      <c r="F854" s="26">
        <f ca="1">IF(D854=0,0,SUM($E$713:E854))</f>
        <v>4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SUMIFS(RAB!$F$14:$F$63,RAB!$C$14:$C$63,C855)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SUMIFS(RAB!$F$14:$F$63,RAB!$C$14:$C$63,C856)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SUMIFS(RAB!$F$14:$F$63,RAB!$C$14:$C$63,C857)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SUMIFS(RAB!$F$14:$F$63,RAB!$C$14:$C$63,C858)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SUMIFS(RAB!$F$14:$F$63,RAB!$C$14:$C$63,C859)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SUMIFS(RAB!$F$14:$F$63,RAB!$C$14:$C$63,C860)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SUMIFS(RAB!$F$14:$F$63,RAB!$C$14:$C$63,C861)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SUMIFS(RAB!$F$14:$F$63,RAB!$C$14:$C$63,C862)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SUMIFS(RAB!$F$14:$F$63,RAB!$C$14:$C$63,C863)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SUMIFS(RAB!$F$14:$F$63,RAB!$C$14:$C$63,C864)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SUMIFS(RAB!$F$14:$F$63,RAB!$C$14:$C$63,C865)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SUMIFS(RAB!$F$14:$F$63,RAB!$C$14:$C$63,C866)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SUMIFS(RAB!$F$14:$F$63,RAB!$C$14:$C$63,C867)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SUMIFS(RAB!$F$14:$F$63,RAB!$C$14:$C$63,C868)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SUMIFS(RAB!$F$14:$F$63,RAB!$C$14:$C$63,C869)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SUMIFS(RAB!$F$14:$F$63,RAB!$C$14:$C$63,C870)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SUMIFS(RAB!$F$14:$F$63,RAB!$C$14:$C$63,C871)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SUMIFS(RAB!$F$14:$F$63,RAB!$C$14:$C$63,C872)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SUMIFS(RAB!$F$14:$F$63,RAB!$C$14:$C$63,C873)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SUMIFS(RAB!$F$14:$F$63,RAB!$C$14:$C$63,C874)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SUMIFS(RAB!$F$14:$F$63,RAB!$C$14:$C$63,C875)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SUMIFS(RAB!$F$14:$F$63,RAB!$C$14:$C$63,C876)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SUMIFS(RAB!$F$14:$F$63,RAB!$C$14:$C$63,C877)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SUMIFS(RAB!$F$14:$F$63,RAB!$C$14:$C$63,C878)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SUMIFS(RAB!$F$14:$F$63,RAB!$C$14:$C$63,C879)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SUMIFS(RAB!$F$14:$F$63,RAB!$C$14:$C$63,C880)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SUMIFS(RAB!$F$14:$F$63,RAB!$C$14:$C$63,C881)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SUMIFS(RAB!$F$14:$F$63,RAB!$C$14:$C$63,C882)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SUMIFS(RAB!$F$14:$F$63,RAB!$C$14:$C$63,C883)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SUMIFS(RAB!$F$14:$F$63,RAB!$C$14:$C$63,C884)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SUMIFS(RAB!$F$14:$F$63,RAB!$C$14:$C$63,C885)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SUMIFS(RAB!$F$14:$F$63,RAB!$C$14:$C$63,C886)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SUMIFS(RAB!$F$14:$F$63,RAB!$C$14:$C$63,C887)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SUMIFS(RAB!$F$14:$F$63,RAB!$C$14:$C$63,C888)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SUMIFS(RAB!$F$14:$F$63,RAB!$C$14:$C$63,C889)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SUMIFS(RAB!$F$14:$F$63,RAB!$C$14:$C$63,C890)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SUMIFS(RAB!$F$14:$F$63,RAB!$C$14:$C$63,C891)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SUMIFS(RAB!$F$14:$F$63,RAB!$C$14:$C$63,C892)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SUMIFS(RAB!$F$14:$F$63,RAB!$C$14:$C$63,C893)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SUMIFS(RAB!$F$14:$F$63,RAB!$C$14:$C$63,C894)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SUMIFS(RAB!$F$14:$F$63,RAB!$C$14:$C$63,C895)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SUMIFS(RAB!$F$14:$F$63,RAB!$C$14:$C$63,C896)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SUMIFS(RAB!$F$14:$F$63,RAB!$C$14:$C$63,C897)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SUMIFS(RAB!$F$14:$F$63,RAB!$C$14:$C$63,C898)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SUMIFS(RAB!$F$14:$F$63,RAB!$C$14:$C$63,C899)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SUMIFS(RAB!$F$14:$F$63,RAB!$C$14:$C$63,C900)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SUMIFS(RAB!$F$14:$F$63,RAB!$C$14:$C$63,C901)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SUMIFS(RAB!$F$14:$F$63,RAB!$C$14:$C$63,C902)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SUMIFS(RAB!$F$14:$F$63,RAB!$C$14:$C$63,C903)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SUMIFS(RAB!$F$14:$F$63,RAB!$C$14:$C$63,C904)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SUMIFS(RAB!$F$14:$F$63,RAB!$C$14:$C$63,C905)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SUMIFS(RAB!$F$14:$F$63,RAB!$C$14:$C$63,C906)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SUMIFS(RAB!$F$14:$F$63,RAB!$C$14:$C$63,C907)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SUMIFS(RAB!$F$14:$F$63,RAB!$C$14:$C$63,C908)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SUMIFS(RAB!$F$14:$F$63,RAB!$C$14:$C$63,C909)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SUMIFS(RAB!$F$14:$F$63,RAB!$C$14:$C$63,C910)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SUMIFS(RAB!$F$14:$F$63,RAB!$C$14:$C$63,C911)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SUMIFS(RAB!$F$14:$F$63,RAB!$C$14:$C$63,C912)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SUMIFS(RAB!$F$14:$F$63,RAB!$C$14:$C$63,C913)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SUMIFS(RAB!$F$14:$F$63,RAB!$C$14:$C$63,C914)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SUMIFS(RAB!$F$14:$F$63,RAB!$C$14:$C$63,C915)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SUMIFS(RAB!$F$14:$F$63,RAB!$C$14:$C$63,C916)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SUMIFS(RAB!$F$14:$F$63,RAB!$C$14:$C$63,C917)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SUMIFS(RAB!$F$14:$F$63,RAB!$C$14:$C$63,C918)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SUMIFS(RAB!$F$14:$F$63,RAB!$C$14:$C$63,C919)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SUMIFS(RAB!$F$14:$F$63,RAB!$C$14:$C$63,C920)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SUMIFS(RAB!$F$14:$F$63,RAB!$C$14:$C$63,C921)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SUMIFS(RAB!$F$14:$F$63,RAB!$C$14:$C$63,C922)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SUMIFS(RAB!$F$14:$F$63,RAB!$C$14:$C$63,C923)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SUMIFS(RAB!$F$14:$F$63,RAB!$C$14:$C$63,C924)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SUMIFS(RAB!$F$14:$F$63,RAB!$C$14:$C$63,C925)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SUMIFS(RAB!$F$14:$F$63,RAB!$C$14:$C$63,C926)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SUMIFS(RAB!$F$14:$F$63,RAB!$C$14:$C$63,C927)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SUMIFS(RAB!$F$14:$F$63,RAB!$C$14:$C$63,C928)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SUMIFS(RAB!$F$14:$F$63,RAB!$C$14:$C$63,C929)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SUMIFS(RAB!$F$14:$F$63,RAB!$C$14:$C$63,C930)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SUMIFS(RAB!$F$14:$F$63,RAB!$C$14:$C$63,C931)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SUMIFS(RAB!$F$14:$F$63,RAB!$C$14:$C$63,C932)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SUMIFS(RAB!$F$14:$F$63,RAB!$C$14:$C$63,C933)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SUMIFS(RAB!$F$14:$F$63,RAB!$C$14:$C$63,C934)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SUMIFS(RAB!$F$14:$F$63,RAB!$C$14:$C$63,C935)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SUMIFS(RAB!$F$14:$F$63,RAB!$C$14:$C$63,C936)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SUMIFS(RAB!$F$14:$F$63,RAB!$C$14:$C$63,C937)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SUMIFS(RAB!$F$14:$F$63,RAB!$C$14:$C$63,C938)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SUMIFS(RAB!$F$14:$F$63,RAB!$C$14:$C$63,C939)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SUMIFS(RAB!$F$14:$F$63,RAB!$C$14:$C$63,C940)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SUMIFS(RAB!$F$14:$F$63,RAB!$C$14:$C$63,C941)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SUMIFS(RAB!$F$14:$F$63,RAB!$C$14:$C$63,C942)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SUMIFS(RAB!$F$14:$F$63,RAB!$C$14:$C$63,C943)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SUMIFS(RAB!$F$14:$F$63,RAB!$C$14:$C$63,C944)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SUMIFS(RAB!$F$14:$F$63,RAB!$C$14:$C$63,C945)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SUMIFS(RAB!$F$14:$F$63,RAB!$C$14:$C$63,C946)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SUMIFS(RAB!$F$14:$F$63,RAB!$C$14:$C$63,C947)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SUMIFS(RAB!$F$14:$F$63,RAB!$C$14:$C$63,C948)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SUMIFS(RAB!$F$14:$F$63,RAB!$C$14:$C$63,C949)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SUMIFS(RAB!$F$14:$F$63,RAB!$C$14:$C$63,C950)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SUMIFS(RAB!$F$14:$F$63,RAB!$C$14:$C$63,C951)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SUMIFS(RAB!$F$14:$F$63,RAB!$C$14:$C$63,C952)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SUMIFS(RAB!$F$14:$F$63,RAB!$C$14:$C$63,C953)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SUMIFS(RAB!$F$14:$F$63,RAB!$C$14:$C$63,C954)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SUMIFS(RAB!$F$14:$F$63,RAB!$C$14:$C$63,C955)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SUMIFS(RAB!$F$14:$F$63,RAB!$C$14:$C$63,C956)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SUMIFS(RAB!$F$14:$F$63,RAB!$C$14:$C$63,C957)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SUMIFS(RAB!$F$14:$F$63,RAB!$C$14:$C$63,C958)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SUMIFS(RAB!$F$14:$F$63,RAB!$C$14:$C$63,C959)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SUMIFS(RAB!$F$14:$F$63,RAB!$C$14:$C$63,C960)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SUMIFS(RAB!$F$14:$F$63,RAB!$C$14:$C$63,C961)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SUMIFS(RAB!$F$14:$F$63,RAB!$C$14:$C$63,C962)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SUMIFS(RAB!$F$14:$F$63,RAB!$C$14:$C$63,C963)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SUMIFS(RAB!$F$14:$F$63,RAB!$C$14:$C$63,C964)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SUMIFS(RAB!$F$14:$F$63,RAB!$C$14:$C$63,C965)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SUMIFS(RAB!$F$14:$F$63,RAB!$C$14:$C$63,C966)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SUMIFS(RAB!$F$14:$F$63,RAB!$C$14:$C$63,C967)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SUMIFS(RAB!$F$14:$F$63,RAB!$C$14:$C$63,C968)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SUMIFS(RAB!$F$14:$F$63,RAB!$C$14:$C$63,C969)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SUMIFS(RAB!$F$14:$F$63,RAB!$C$14:$C$63,C970)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SUMIFS(RAB!$F$14:$F$63,RAB!$C$14:$C$63,C971)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SUMIFS(RAB!$F$14:$F$63,RAB!$C$14:$C$63,C972)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SUMIFS(RAB!$F$14:$F$63,RAB!$C$14:$C$63,C973)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SUMIFS(RAB!$F$14:$F$63,RAB!$C$14:$C$63,C974)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SUMIFS(RAB!$F$14:$F$63,RAB!$C$14:$C$63,C975)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SUMIFS(RAB!$F$14:$F$63,RAB!$C$14:$C$63,C976)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SUMIFS(RAB!$F$14:$F$63,RAB!$C$14:$C$63,C977)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SUMIFS(RAB!$F$14:$F$63,RAB!$C$14:$C$63,C978)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SUMIFS(RAB!$F$14:$F$63,RAB!$C$14:$C$63,C979)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SUMIFS(RAB!$F$14:$F$63,RAB!$C$14:$C$63,C980)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SUMIFS(RAB!$F$14:$F$63,RAB!$C$14:$C$63,C981)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SUMIFS(RAB!$F$14:$F$63,RAB!$C$14:$C$63,C982)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SUMIFS(RAB!$F$14:$F$63,RAB!$C$14:$C$63,C983)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SUMIFS(RAB!$F$14:$F$63,RAB!$C$14:$C$63,C984)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SUMIFS(RAB!$F$14:$F$63,RAB!$C$14:$C$63,C985)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SUMIFS(RAB!$F$14:$F$63,RAB!$C$14:$C$63,C986)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SUMIFS(RAB!$F$14:$F$63,RAB!$C$14:$C$63,C987)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SUMIFS(RAB!$F$14:$F$63,RAB!$C$14:$C$63,C988)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SUMIFS(RAB!$F$14:$F$63,RAB!$C$14:$C$63,C989)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SUMIFS(RAB!$F$14:$F$63,RAB!$C$14:$C$63,C990)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SUMIFS(RAB!$F$14:$F$63,RAB!$C$14:$C$63,C991)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SUMIFS(RAB!$F$14:$F$63,RAB!$C$14:$C$63,C992)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SUMIFS(RAB!$F$14:$F$63,RAB!$C$14:$C$63,C993)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SUMIFS(RAB!$F$14:$F$63,RAB!$C$14:$C$63,C994)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SUMIFS(RAB!$F$14:$F$63,RAB!$C$14:$C$63,C995)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SUMIFS(RAB!$F$14:$F$63,RAB!$C$14:$C$63,C996)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SUMIFS(RAB!$F$14:$F$63,RAB!$C$14:$C$63,C997)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SUMIFS(RAB!$F$14:$F$63,RAB!$C$14:$C$63,C998)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SUMIFS(RAB!$F$14:$F$63,RAB!$C$14:$C$63,C999)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SUMIFS(RAB!$F$14:$F$63,RAB!$C$14:$C$63,C1000)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SUMIFS(RAB!$F$14:$F$63,RAB!$C$14:$C$63,C1001)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SUMIFS(RAB!$F$14:$F$63,RAB!$C$14:$C$63,C1002)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SUMIFS(RAB!$F$14:$F$63,RAB!$C$14:$C$63,C1003)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SUMIFS(RAB!$F$14:$F$63,RAB!$C$14:$C$63,C1004)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SUMIFS(RAB!$F$14:$F$63,RAB!$C$14:$C$63,C1005)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SUMIFS(RAB!$F$14:$F$63,RAB!$C$14:$C$63,C1006)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SUMIFS(RAB!$F$14:$F$63,RAB!$C$14:$C$63,C1007)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SUMIFS(RAB!$F$14:$F$63,RAB!$C$14:$C$63,C1008)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SUMIFS(RAB!$F$14:$F$63,RAB!$C$14:$C$63,C1009)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SUMIFS(RAB!$F$14:$F$63,RAB!$C$14:$C$63,C1010)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SUMIFS(RAB!$F$14:$F$63,RAB!$C$14:$C$63,C1011)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SUMIFS(RAB!$F$14:$F$63,RAB!$C$14:$C$63,C1012)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SUMIFS(RAB!$F$14:$F$63,RAB!$C$14:$C$63,C1013)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SUMIFS(RAB!$F$14:$F$63,RAB!$C$14:$C$63,C1014)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SUMIFS(RAB!$F$14:$F$63,RAB!$C$14:$C$63,C1015)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SUMIFS(RAB!$F$14:$F$63,RAB!$C$14:$C$63,C1016)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SUMIFS(RAB!$F$14:$F$63,RAB!$C$14:$C$63,C1017)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SUMIFS(RAB!$F$14:$F$63,RAB!$C$14:$C$63,C1018)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SUMIFS(RAB!$F$14:$F$63,RAB!$C$14:$C$63,C1019)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SUMIFS(RAB!$F$14:$F$63,RAB!$C$14:$C$63,C1020)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SUMIFS(RAB!$F$14:$F$63,RAB!$C$14:$C$63,C1021)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SUMIFS(RAB!$F$14:$F$63,RAB!$C$14:$C$63,C1022)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SUMIFS(RAB!$F$14:$F$63,RAB!$C$14:$C$63,C1023)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SUMIFS(RAB!$F$14:$F$63,RAB!$C$14:$C$63,C1024)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SUMIFS(RAB!$F$14:$F$63,RAB!$C$14:$C$63,C1025)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SUMIFS(RAB!$F$14:$F$63,RAB!$C$14:$C$63,C1026)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SUMIFS(RAB!$F$14:$F$63,RAB!$C$14:$C$63,C1027)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SUMIFS(RAB!$F$14:$F$63,RAB!$C$14:$C$63,C1028)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SUMIFS(RAB!$F$14:$F$63,RAB!$C$14:$C$63,C1029)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SUMIFS(RAB!$F$14:$F$63,RAB!$C$14:$C$63,C1030)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SUMIFS(RAB!$F$14:$F$63,RAB!$C$14:$C$63,C1031)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SUMIFS(RAB!$F$14:$F$63,RAB!$C$14:$C$63,C1032)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SUMIFS(RAB!$F$14:$F$63,RAB!$C$14:$C$63,C1033)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SUMIFS(RAB!$F$14:$F$63,RAB!$C$14:$C$63,C1034)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SUMIFS(RAB!$F$14:$F$63,RAB!$C$14:$C$63,C1035)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SUMIFS(RAB!$F$14:$F$63,RAB!$C$14:$C$63,C1036)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SUMIFS(RAB!$F$14:$F$63,RAB!$C$14:$C$63,C1037)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SUMIFS(RAB!$F$14:$F$63,RAB!$C$14:$C$63,C1038)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SUMIFS(RAB!$F$14:$F$63,RAB!$C$14:$C$63,C1039)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SUMIFS(RAB!$F$14:$F$63,RAB!$C$14:$C$63,C1040)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SUMIFS(RAB!$F$14:$F$63,RAB!$C$14:$C$63,C1041)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SUMIFS(RAB!$F$14:$F$63,RAB!$C$14:$C$63,C1042)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SUMIFS(RAB!$F$14:$F$63,RAB!$C$14:$C$63,C1043)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SUMIFS(RAB!$F$14:$F$63,RAB!$C$14:$C$63,C1044)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SUMIFS(RAB!$F$14:$F$63,RAB!$C$14:$C$63,C1045)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SUMIFS(RAB!$F$14:$F$63,RAB!$C$14:$C$63,C1046)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SUMIFS(RAB!$F$14:$F$63,RAB!$C$14:$C$63,C1047)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SUMIFS(RAB!$F$14:$F$63,RAB!$C$14:$C$63,C1048)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SUMIFS(RAB!$F$14:$F$63,RAB!$C$14:$C$63,C1049)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SUMIFS(RAB!$F$14:$F$63,RAB!$C$14:$C$63,C1050)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SUMIFS(RAB!$F$14:$F$63,RAB!$C$14:$C$63,C1051)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SUMIFS(RAB!$F$14:$F$63,RAB!$C$14:$C$63,C1052)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SUMIFS(RAB!$F$14:$F$63,RAB!$C$14:$C$63,C1053)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SUMIFS(RAB!$F$14:$F$63,RAB!$C$14:$C$63,C1054)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SUMIFS(RAB!$F$14:$F$63,RAB!$C$14:$C$63,C1055)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SUMIFS(RAB!$F$14:$F$63,RAB!$C$14:$C$63,C1056)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SUMIFS(RAB!$F$14:$F$63,RAB!$C$14:$C$63,C1057)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SUMIFS(RAB!$F$14:$F$63,RAB!$C$14:$C$63,C1058)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SUMIFS(RAB!$F$14:$F$63,RAB!$C$14:$C$63,C1059)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SUMIFS(RAB!$F$14:$F$63,RAB!$C$14:$C$63,C1060)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SUMIFS(RAB!$F$14:$F$63,RAB!$C$14:$C$63,C1061)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SUMIFS(RAB!$F$14:$F$63,RAB!$C$14:$C$63,C1062)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SUMIFS(RAB!$F$14:$F$63,RAB!$C$14:$C$63,C1063)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SUMIFS(RAB!$F$14:$F$63,RAB!$C$14:$C$63,C1064)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SUMIFS(RAB!$F$14:$F$63,RAB!$C$14:$C$63,C1065)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SUMIFS(RAB!$F$14:$F$63,RAB!$C$14:$C$63,C1066)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SUMIFS(RAB!$F$14:$F$63,RAB!$C$14:$C$63,C1067)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SUMIFS(RAB!$F$14:$F$63,RAB!$C$14:$C$63,C1068)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SUMIFS(RAB!$F$14:$F$63,RAB!$C$14:$C$63,C1069)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SUMIFS(RAB!$F$14:$F$63,RAB!$C$14:$C$63,C1070)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SUMIFS(RAB!$F$14:$F$63,RAB!$C$14:$C$63,C1071)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SUMIFS(RAB!$F$14:$F$63,RAB!$C$14:$C$63,C1072)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SUMIFS(RAB!$F$14:$F$63,RAB!$C$14:$C$63,C1073)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SUMIFS(RAB!$F$14:$F$63,RAB!$C$14:$C$63,C1074)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SUMIFS(RAB!$F$14:$F$63,RAB!$C$14:$C$63,C1075)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SUMIFS(RAB!$F$14:$F$63,RAB!$C$14:$C$63,C1076)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SUMIFS(RAB!$F$14:$F$63,RAB!$C$14:$C$63,C1077)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SUMIFS(RAB!$F$14:$F$63,RAB!$C$14:$C$63,C1078)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SUMIFS(RAB!$F$14:$F$63,RAB!$C$14:$C$63,C1079)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SUMIFS(RAB!$F$14:$F$63,RAB!$C$14:$C$63,C1080)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SUMIFS(RAB!$F$14:$F$63,RAB!$C$14:$C$63,C1081)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SUMIFS(RAB!$F$14:$F$63,RAB!$C$14:$C$63,C1082)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SUMIFS(RAB!$F$14:$F$63,RAB!$C$14:$C$63,C1083)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SUMIFS(RAB!$F$14:$F$63,RAB!$C$14:$C$63,C1084)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SUMIFS(RAB!$F$14:$F$63,RAB!$C$14:$C$63,C1085)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SUMIFS(RAB!$F$14:$F$63,RAB!$C$14:$C$63,C1086)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SUMIFS(RAB!$F$14:$F$63,RAB!$C$14:$C$63,C1087)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SUMIFS(RAB!$F$14:$F$63,RAB!$C$14:$C$63,C1088)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SUMIFS(RAB!$F$14:$F$63,RAB!$C$14:$C$63,C1089)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SUMIFS(RAB!$F$14:$F$63,RAB!$C$14:$C$63,C1090)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SUMIFS(RAB!$F$14:$F$63,RAB!$C$14:$C$63,C1091)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SUMIFS(RAB!$F$14:$F$63,RAB!$C$14:$C$63,C1092)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SUMIFS(RAB!$F$14:$F$63,RAB!$C$14:$C$63,C1093)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SUMIFS(RAB!$F$14:$F$63,RAB!$C$14:$C$63,C1094)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SUMIFS(RAB!$F$14:$F$63,RAB!$C$14:$C$63,C1095)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SUMIFS(RAB!$F$14:$F$63,RAB!$C$14:$C$63,C1096)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SUMIFS(RAB!$F$14:$F$63,RAB!$C$14:$C$63,C1097)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SUMIFS(RAB!$F$14:$F$63,RAB!$C$14:$C$63,C1098)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SUMIFS(RAB!$F$14:$F$63,RAB!$C$14:$C$63,C1099)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SUMIFS(RAB!$F$14:$F$63,RAB!$C$14:$C$63,C1100)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SUMIFS(RAB!$F$14:$F$63,RAB!$C$14:$C$63,C1101)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SUMIFS(RAB!$F$14:$F$63,RAB!$C$14:$C$63,C1102)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SUMIFS(RAB!$F$14:$F$63,RAB!$C$14:$C$63,C1103)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SUMIFS(RAB!$F$14:$F$63,RAB!$C$14:$C$63,C1104)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SUMIFS(RAB!$F$14:$F$63,RAB!$C$14:$C$63,C1105)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SUMIFS(RAB!$F$14:$F$63,RAB!$C$14:$C$63,C1106)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SUMIFS(RAB!$F$14:$F$63,RAB!$C$14:$C$63,C1107)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SUMIFS(RAB!$F$14:$F$63,RAB!$C$14:$C$63,C1108)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SUMIFS(RAB!$F$14:$F$63,RAB!$C$14:$C$63,C1109)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SUMIFS(RAB!$F$14:$F$63,RAB!$C$14:$C$63,C1110)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SUMIFS(RAB!$F$14:$F$63,RAB!$C$14:$C$63,C1111)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SUMIFS(RAB!$F$14:$F$63,RAB!$C$14:$C$63,C1112)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SUMIFS(RAB!$F$14:$F$63,RAB!$C$14:$C$63,C1113)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SUMIFS(RAB!$F$14:$F$63,RAB!$C$14:$C$63,C1114)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SUMIFS(RAB!$F$14:$F$63,RAB!$C$14:$C$63,C1115)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SUMIFS(RAB!$F$14:$F$63,RAB!$C$14:$C$63,C1116)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SUMIFS(RAB!$F$14:$F$63,RAB!$C$14:$C$63,C1117)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SUMIFS(RAB!$F$14:$F$63,RAB!$C$14:$C$63,C1118)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SUMIFS(RAB!$F$14:$F$63,RAB!$C$14:$C$63,C1119)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SUMIFS(RAB!$F$14:$F$63,RAB!$C$14:$C$63,C1120)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SUMIFS(RAB!$F$14:$F$63,RAB!$C$14:$C$63,C1121)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SUMIFS(RAB!$F$14:$F$63,RAB!$C$14:$C$63,C1122)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SUMIFS(RAB!$F$14:$F$63,RAB!$C$14:$C$63,C1123)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SUMIFS(RAB!$F$14:$F$63,RAB!$C$14:$C$63,C1124)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SUMIFS(RAB!$F$14:$F$63,RAB!$C$14:$C$63,C1125)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SUMIFS(RAB!$F$14:$F$63,RAB!$C$14:$C$63,C1126)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SUMIFS(RAB!$F$14:$F$63,RAB!$C$14:$C$63,C1127)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SUMIFS(RAB!$F$14:$F$63,RAB!$C$14:$C$63,C1128)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SUMIFS(RAB!$F$14:$F$63,RAB!$C$14:$C$63,C1129)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SUMIFS(RAB!$F$14:$F$63,RAB!$C$14:$C$63,C1130)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SUMIFS(RAB!$F$14:$F$63,RAB!$C$14:$C$63,C1131)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SUMIFS(RAB!$F$14:$F$63,RAB!$C$14:$C$63,C1132)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SUMIFS(RAB!$F$14:$F$63,RAB!$C$14:$C$63,C1133)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SUMIFS(RAB!$F$14:$F$63,RAB!$C$14:$C$63,C1134)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SUMIFS(RAB!$F$14:$F$63,RAB!$C$14:$C$63,C1135)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SUMIFS(RAB!$F$14:$F$63,RAB!$C$14:$C$63,C1136)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SUMIFS(RAB!$F$14:$F$63,RAB!$C$14:$C$63,C1137)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SUMIFS(RAB!$F$14:$F$63,RAB!$C$14:$C$63,C1138)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SUMIFS(RAB!$F$14:$F$63,RAB!$C$14:$C$63,C1139)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SUMIFS(RAB!$F$14:$F$63,RAB!$C$14:$C$63,C1140)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SUMIFS(RAB!$F$14:$F$63,RAB!$C$14:$C$63,C1141)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SUMIFS(RAB!$F$14:$F$63,RAB!$C$14:$C$63,C1142)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SUMIFS(RAB!$F$14:$F$63,RAB!$C$14:$C$63,C1143)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SUMIFS(RAB!$F$14:$F$63,RAB!$C$14:$C$63,C1144)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SUMIFS(RAB!$F$14:$F$63,RAB!$C$14:$C$63,C1145)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SUMIFS(RAB!$F$14:$F$63,RAB!$C$14:$C$63,C1146)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SUMIFS(RAB!$F$14:$F$63,RAB!$C$14:$C$63,C1147)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SUMIFS(RAB!$F$14:$F$63,RAB!$C$14:$C$63,C1148)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SUMIFS(RAB!$F$14:$F$63,RAB!$C$14:$C$63,C1149)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SUMIFS(RAB!$F$14:$F$63,RAB!$C$14:$C$63,C1150)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SUMIFS(RAB!$F$14:$F$63,RAB!$C$14:$C$63,C1151)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SUMIFS(RAB!$F$14:$F$63,RAB!$C$14:$C$63,C1152)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SUMIFS(RAB!$F$14:$F$63,RAB!$C$14:$C$63,C1153)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SUMIFS(RAB!$F$14:$F$63,RAB!$C$14:$C$63,C1154)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SUMIFS(RAB!$F$14:$F$63,RAB!$C$14:$C$63,C1155)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SUMIFS(RAB!$F$14:$F$63,RAB!$C$14:$C$63,C1156)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SUMIFS(RAB!$F$14:$F$63,RAB!$C$14:$C$63,C1157)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SUMIFS(RAB!$F$14:$F$63,RAB!$C$14:$C$63,C1158)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SUMIFS(RAB!$F$14:$F$63,RAB!$C$14:$C$63,C1159)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SUMIFS(RAB!$F$14:$F$63,RAB!$C$14:$C$63,C1160)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SUMIFS(RAB!$F$14:$F$63,RAB!$C$14:$C$63,C1161)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SUMIFS(RAB!$F$14:$F$63,RAB!$C$14:$C$63,C1162)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SUMIFS(RAB!$F$14:$F$63,RAB!$C$14:$C$63,C1163)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SUMIFS(RAB!$F$14:$F$63,RAB!$C$14:$C$63,C1164)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SUMIFS(RAB!$F$14:$F$63,RAB!$C$14:$C$63,C1165)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SUMIFS(RAB!$F$14:$F$63,RAB!$C$14:$C$63,C1166)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SUMIFS(RAB!$F$14:$F$63,RAB!$C$14:$C$63,C1167)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SUMIFS(RAB!$F$14:$F$63,RAB!$C$14:$C$63,C1168)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SUMIFS(RAB!$F$14:$F$63,RAB!$C$14:$C$63,C1169)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SUMIFS(RAB!$F$14:$F$63,RAB!$C$14:$C$63,C1170)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SUMIFS(RAB!$F$14:$F$63,RAB!$C$14:$C$63,C1171)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SUMIFS(RAB!$F$14:$F$63,RAB!$C$14:$C$63,C1172)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SUMIFS(RAB!$F$14:$F$63,RAB!$C$14:$C$63,C1173)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SUMIFS(RAB!$F$14:$F$63,RAB!$C$14:$C$63,C1174)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SUMIFS(RAB!$F$14:$F$63,RAB!$C$14:$C$63,C1175)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SUMIFS(RAB!$F$14:$F$63,RAB!$C$14:$C$63,C1176)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SUMIFS(RAB!$F$14:$F$63,RAB!$C$14:$C$63,C1177)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SUMIFS(RAB!$F$14:$F$63,RAB!$C$14:$C$63,C1178)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SUMIFS(RAB!$F$14:$F$63,RAB!$C$14:$C$63,C1179)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SUMIFS(RAB!$F$14:$F$63,RAB!$C$14:$C$63,C1180)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SUMIFS(RAB!$F$14:$F$63,RAB!$C$14:$C$63,C1181)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SUMIFS(RAB!$F$14:$F$63,RAB!$C$14:$C$63,C1182)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SUMIFS(RAB!$F$14:$F$63,RAB!$C$14:$C$63,C1183)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SUMIFS(RAB!$F$14:$F$63,RAB!$C$14:$C$63,C1184)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SUMIFS(RAB!$F$14:$F$63,RAB!$C$14:$C$63,C1185)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SUMIFS(RAB!$F$14:$F$63,RAB!$C$14:$C$63,C1186)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SUMIFS(RAB!$F$14:$F$63,RAB!$C$14:$C$63,C1187)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SUMIFS(RAB!$F$14:$F$63,RAB!$C$14:$C$63,C1188)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SUMIFS(RAB!$F$14:$F$63,RAB!$C$14:$C$63,C1189)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SUMIFS(RAB!$F$14:$F$63,RAB!$C$14:$C$63,C1190)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SUMIFS(RAB!$F$14:$F$63,RAB!$C$14:$C$63,C1191)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SUMIFS(RAB!$F$14:$F$63,RAB!$C$14:$C$63,C1192)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SUMIFS(RAB!$F$14:$F$63,RAB!$C$14:$C$63,C1193)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SUMIFS(RAB!$F$14:$F$63,RAB!$C$14:$C$63,C1194)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SUMIFS(RAB!$F$14:$F$63,RAB!$C$14:$C$63,C1195)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SUMIFS(RAB!$F$14:$F$63,RAB!$C$14:$C$63,C1196)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SUMIFS(RAB!$F$14:$F$63,RAB!$C$14:$C$63,C1197)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SUMIFS(RAB!$F$14:$F$63,RAB!$C$14:$C$63,C1198)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SUMIFS(RAB!$F$14:$F$63,RAB!$C$14:$C$63,C1199)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SUMIFS(RAB!$F$14:$F$63,RAB!$C$14:$C$63,C1200)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SUMIFS(RAB!$F$14:$F$63,RAB!$C$14:$C$63,C1201)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SUMIFS(RAB!$F$14:$F$63,RAB!$C$14:$C$63,C1202)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SUMIFS(RAB!$F$14:$F$63,RAB!$C$14:$C$63,C1203)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SUMIFS(RAB!$F$14:$F$63,RAB!$C$14:$C$63,C1204)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SUMIFS(RAB!$F$14:$F$63,RAB!$C$14:$C$63,C1205)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SUMIFS(RAB!$F$14:$F$63,RAB!$C$14:$C$63,C1206)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SUMIFS(RAB!$F$14:$F$63,RAB!$C$14:$C$63,C1207)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SUMIFS(RAB!$F$14:$F$63,RAB!$C$14:$C$63,C1208)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SUMIFS(RAB!$F$14:$F$63,RAB!$C$14:$C$63,C1209)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SUMIFS(RAB!$F$14:$F$63,RAB!$C$14:$C$63,C1210)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SUMIFS(RAB!$F$14:$F$63,RAB!$C$14:$C$63,C1211)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SUMIFS(RAB!$F$14:$F$63,RAB!$C$14:$C$63,C1212)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SUMIFS(RAB!$F$14:$F$63,RAB!$C$14:$C$63,C1213)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SUMIFS(RAB!$F$14:$F$63,RAB!$C$14:$C$63,C1214)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SUMIFS(RAB!$F$14:$F$63,RAB!$C$14:$C$63,C1215)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SUMIFS(RAB!$F$14:$F$63,RAB!$C$14:$C$63,C1216)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SUMIFS(RAB!$F$14:$F$63,RAB!$C$14:$C$63,C1217)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SUMIFS(RAB!$F$14:$F$63,RAB!$C$14:$C$63,C1218)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SUMIFS(RAB!$F$14:$F$63,RAB!$C$14:$C$63,C1219)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SUMIFS(RAB!$F$14:$F$63,RAB!$C$14:$C$63,C1220)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SUMIFS(RAB!$F$14:$F$63,RAB!$C$14:$C$63,C1221)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SUMIFS(RAB!$F$14:$F$63,RAB!$C$14:$C$63,C1222)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SUMIFS(RAB!$F$14:$F$63,RAB!$C$14:$C$63,C1223)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SUMIFS(RAB!$F$14:$F$63,RAB!$C$14:$C$63,C1224)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SUMIFS(RAB!$F$14:$F$63,RAB!$C$14:$C$63,C1225)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SUMIFS(RAB!$F$14:$F$63,RAB!$C$14:$C$63,C1226)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SUMIFS(RAB!$F$14:$F$63,RAB!$C$14:$C$63,C1227)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SUMIFS(RAB!$F$14:$F$63,RAB!$C$14:$C$63,C1228)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SUMIFS(RAB!$F$14:$F$63,RAB!$C$14:$C$63,C1229)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SUMIFS(RAB!$F$14:$F$63,RAB!$C$14:$C$63,C1230)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SUMIFS(RAB!$F$14:$F$63,RAB!$C$14:$C$63,C1231)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SUMIFS(RAB!$F$14:$F$63,RAB!$C$14:$C$63,C1232)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SUMIFS(RAB!$F$14:$F$63,RAB!$C$14:$C$63,C1233)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SUMIFS(RAB!$F$14:$F$63,RAB!$C$14:$C$63,C1234)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SUMIFS(RAB!$F$14:$F$63,RAB!$C$14:$C$63,C1235)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SUMIFS(RAB!$F$14:$F$63,RAB!$C$14:$C$63,C1236)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SUMIFS(RAB!$F$14:$F$63,RAB!$C$14:$C$63,C1237)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SUMIFS(RAB!$F$14:$F$63,RAB!$C$14:$C$63,C1238)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SUMIFS(RAB!$F$14:$F$63,RAB!$C$14:$C$63,C1239)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SUMIFS(RAB!$F$14:$F$63,RAB!$C$14:$C$63,C1240)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SUMIFS(RAB!$F$14:$F$63,RAB!$C$14:$C$63,C1241)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SUMIFS(RAB!$F$14:$F$63,RAB!$C$14:$C$63,C1242)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SUMIFS(RAB!$F$14:$F$63,RAB!$C$14:$C$63,C1243)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SUMIFS(RAB!$F$14:$F$63,RAB!$C$14:$C$63,C1244)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SUMIFS(RAB!$F$14:$F$63,RAB!$C$14:$C$63,C1245)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SUMIFS(RAB!$F$14:$F$63,RAB!$C$14:$C$63,C1246)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SUMIFS(RAB!$F$14:$F$63,RAB!$C$14:$C$63,C1247)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SUMIFS(RAB!$F$14:$F$63,RAB!$C$14:$C$63,C1248)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SUMIFS(RAB!$F$14:$F$63,RAB!$C$14:$C$63,C1249)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SUMIFS(RAB!$F$14:$F$63,RAB!$C$14:$C$63,C1250)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SUMIFS(RAB!$F$14:$F$63,RAB!$C$14:$C$63,C1251)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SUMIFS(RAB!$F$14:$F$63,RAB!$C$14:$C$63,C1252)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SUMIFS(RAB!$F$14:$F$63,RAB!$C$14:$C$63,C1253)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SUMIFS(RAB!$F$14:$F$63,RAB!$C$14:$C$63,C1254)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SUMIFS(RAB!$F$14:$F$63,RAB!$C$14:$C$63,C1255)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SUMIFS(RAB!$F$14:$F$63,RAB!$C$14:$C$63,C1256)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SUMIFS(RAB!$F$14:$F$63,RAB!$C$14:$C$63,C1257)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SUMIFS(RAB!$F$14:$F$63,RAB!$C$14:$C$63,C1258)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SUMIFS(RAB!$F$14:$F$63,RAB!$C$14:$C$63,C1259)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SUMIFS(RAB!$F$14:$F$63,RAB!$C$14:$C$63,C1260)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SUMIFS(RAB!$F$14:$F$63,RAB!$C$14:$C$63,C1261)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SUMIFS(RAB!$F$14:$F$63,RAB!$C$14:$C$63,C1262)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SUMIFS(RAB!$F$14:$F$63,RAB!$C$14:$C$63,C1263)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SUMIFS(RAB!$F$14:$F$63,RAB!$C$14:$C$63,C1264)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SUMIFS(RAB!$F$14:$F$63,RAB!$C$14:$C$63,C1265)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SUMIFS(RAB!$F$14:$F$63,RAB!$C$14:$C$63,C1266)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SUMIFS(RAB!$F$14:$F$63,RAB!$C$14:$C$63,C1267)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SUMIFS(RAB!$F$14:$F$63,RAB!$C$14:$C$63,C1268)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SUMIFS(RAB!$F$14:$F$63,RAB!$C$14:$C$63,C1269)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SUMIFS(RAB!$F$14:$F$63,RAB!$C$14:$C$63,C1270)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SUMIFS(RAB!$F$14:$F$63,RAB!$C$14:$C$63,C1271)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SUMIFS(RAB!$F$14:$F$63,RAB!$C$14:$C$63,C1272)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SUMIFS(RAB!$F$14:$F$63,RAB!$C$14:$C$63,C1273)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SUMIFS(RAB!$F$14:$F$63,RAB!$C$14:$C$63,C1274)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SUMIFS(RAB!$F$14:$F$63,RAB!$C$14:$C$63,C1275)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SUMIFS(RAB!$F$14:$F$63,RAB!$C$14:$C$63,C1276)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SUMIFS(RAB!$F$14:$F$63,RAB!$C$14:$C$63,C1277)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SUMIFS(RAB!$F$14:$F$63,RAB!$C$14:$C$63,C1278)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SUMIFS(RAB!$F$14:$F$63,RAB!$C$14:$C$63,C1279)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SUMIFS(RAB!$F$14:$F$63,RAB!$C$14:$C$63,C1280)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SUMIFS(RAB!$F$14:$F$63,RAB!$C$14:$C$63,C1281)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SUMIFS(RAB!$F$14:$F$63,RAB!$C$14:$C$63,C1282)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SUMIFS(RAB!$F$14:$F$63,RAB!$C$14:$C$63,C1283)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SUMIFS(RAB!$F$14:$F$63,RAB!$C$14:$C$63,C1284)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SUMIFS(RAB!$F$14:$F$63,RAB!$C$14:$C$63,C1285)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SUMIFS(RAB!$F$14:$F$63,RAB!$C$14:$C$63,C1286)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SUMIFS(RAB!$F$14:$F$63,RAB!$C$14:$C$63,C1287)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SUMIFS(RAB!$F$14:$F$63,RAB!$C$14:$C$63,C1288)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SUMIFS(RAB!$F$14:$F$63,RAB!$C$14:$C$63,C1289)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SUMIFS(RAB!$F$14:$F$63,RAB!$C$14:$C$63,C1290)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SUMIFS(RAB!$F$14:$F$63,RAB!$C$14:$C$63,C1291)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SUMIFS(RAB!$F$14:$F$63,RAB!$C$14:$C$63,C1292)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SUMIFS(RAB!$F$14:$F$63,RAB!$C$14:$C$63,C1293)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SUMIFS(RAB!$F$14:$F$63,RAB!$C$14:$C$63,C1294)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SUMIFS(RAB!$F$14:$F$63,RAB!$C$14:$C$63,C1295)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SUMIFS(RAB!$F$14:$F$63,RAB!$C$14:$C$63,C1296)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SUMIFS(RAB!$F$14:$F$63,RAB!$C$14:$C$63,C1297)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SUMIFS(RAB!$F$14:$F$63,RAB!$C$14:$C$63,C1298)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SUMIFS(RAB!$F$14:$F$63,RAB!$C$14:$C$63,C1299)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SUMIFS(RAB!$F$14:$F$63,RAB!$C$14:$C$63,C1300)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SUMIFS(RAB!$F$14:$F$63,RAB!$C$14:$C$63,C1301)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SUMIFS(RAB!$F$14:$F$63,RAB!$C$14:$C$63,C1302)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SUMIFS(RAB!$F$14:$F$63,RAB!$C$14:$C$63,C1303)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SUMIFS(RAB!$F$14:$F$63,RAB!$C$14:$C$63,C1304)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SUMIFS(RAB!$F$14:$F$63,RAB!$C$14:$C$63,C1305)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SUMIFS(RAB!$F$14:$F$63,RAB!$C$14:$C$63,C1306)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SUMIFS(RAB!$F$14:$F$63,RAB!$C$14:$C$63,C1307)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SUMIFS(RAB!$F$14:$F$63,RAB!$C$14:$C$63,C1308)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SUMIFS(RAB!$F$14:$F$63,RAB!$C$14:$C$63,C1309)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SUMIFS(RAB!$F$14:$F$63,RAB!$C$14:$C$63,C1310)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SUMIFS(RAB!$F$14:$F$63,RAB!$C$14:$C$63,C1311)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SUMIFS(RAB!$F$14:$F$63,RAB!$C$14:$C$63,C1312)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SUMIFS(RAB!$F$14:$F$63,RAB!$C$14:$C$63,C1313)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SUMIFS(RAB!$F$14:$F$63,RAB!$C$14:$C$63,C1314)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SUMIFS(RAB!$F$14:$F$63,RAB!$C$14:$C$63,C1315)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SUMIFS(RAB!$F$14:$F$63,RAB!$C$14:$C$63,C1316)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SUMIFS(RAB!$F$14:$F$63,RAB!$C$14:$C$63,C1317)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SUMIFS(RAB!$F$14:$F$63,RAB!$C$14:$C$63,C1318)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SUMIFS(RAB!$F$14:$F$63,RAB!$C$14:$C$63,C1319)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SUMIFS(RAB!$F$14:$F$63,RAB!$C$14:$C$63,C1320)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6" t="s">
        <v>1127</v>
      </c>
      <c r="C4" s="526"/>
      <c r="D4" s="526"/>
      <c r="E4" s="526"/>
      <c r="F4" s="526"/>
      <c r="G4" s="526"/>
      <c r="H4" s="526"/>
      <c r="I4" s="526"/>
      <c r="J4" s="526"/>
      <c r="K4" s="52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0" t="str">
        <f>RAB!G6</f>
        <v>PD PUSKESMAS TOROH 11-23KVA</v>
      </c>
      <c r="H6" s="550"/>
      <c r="I6" s="550"/>
      <c r="J6" s="550"/>
      <c r="K6" s="55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TOROH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7" t="s">
        <v>0</v>
      </c>
      <c r="C11" s="529" t="s">
        <v>1</v>
      </c>
      <c r="D11" s="532" t="s">
        <v>42</v>
      </c>
      <c r="E11" s="532" t="s">
        <v>43</v>
      </c>
      <c r="F11" s="532" t="s">
        <v>2</v>
      </c>
      <c r="G11" s="534" t="s">
        <v>41</v>
      </c>
      <c r="H11" s="532" t="s">
        <v>3</v>
      </c>
      <c r="I11" s="532"/>
      <c r="J11" s="532"/>
      <c r="K11" s="537"/>
      <c r="M11" s="33"/>
      <c r="N11" s="33"/>
      <c r="O11" s="33"/>
      <c r="P11" s="33"/>
      <c r="R11" s="34"/>
      <c r="S11" s="74"/>
      <c r="T11" s="74"/>
    </row>
    <row r="12" spans="1:21" ht="15" customHeight="1">
      <c r="B12" s="528"/>
      <c r="C12" s="530"/>
      <c r="D12" s="533"/>
      <c r="E12" s="533"/>
      <c r="F12" s="533"/>
      <c r="G12" s="535"/>
      <c r="H12" s="541" t="s">
        <v>46</v>
      </c>
      <c r="I12" s="541" t="s">
        <v>5</v>
      </c>
      <c r="J12" s="533" t="s">
        <v>47</v>
      </c>
      <c r="K12" s="54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8"/>
      <c r="C13" s="531"/>
      <c r="D13" s="533"/>
      <c r="E13" s="533"/>
      <c r="F13" s="533"/>
      <c r="G13" s="536"/>
      <c r="H13" s="542"/>
      <c r="I13" s="542"/>
      <c r="J13" s="533"/>
      <c r="K13" s="54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1" t="s">
        <v>1008</v>
      </c>
      <c r="D38" s="551"/>
      <c r="E38" s="551"/>
      <c r="F38" s="551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2" t="s">
        <v>462</v>
      </c>
      <c r="D39" s="552"/>
      <c r="E39" s="552"/>
      <c r="F39" s="552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3" t="s">
        <v>463</v>
      </c>
      <c r="D40" s="543"/>
      <c r="E40" s="543"/>
      <c r="F40" s="543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4" t="e">
        <f ca="1">"Terbilang : ( "&amp;L42&amp;" Rupiah )"</f>
        <v>#NAME?</v>
      </c>
      <c r="C41" s="545"/>
      <c r="D41" s="545"/>
      <c r="E41" s="545"/>
      <c r="F41" s="545"/>
      <c r="G41" s="545"/>
      <c r="H41" s="545"/>
      <c r="I41" s="545"/>
      <c r="J41" s="545"/>
      <c r="K41" s="546"/>
      <c r="L41" s="44"/>
      <c r="R41" s="58"/>
      <c r="S41" s="58"/>
      <c r="T41" s="58"/>
    </row>
    <row r="42" spans="1:20" s="36" customFormat="1">
      <c r="A42" s="30"/>
      <c r="B42" s="547"/>
      <c r="C42" s="548"/>
      <c r="D42" s="548"/>
      <c r="E42" s="548"/>
      <c r="F42" s="548"/>
      <c r="G42" s="548"/>
      <c r="H42" s="548"/>
      <c r="I42" s="548"/>
      <c r="J42" s="548"/>
      <c r="K42" s="549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8"/>
      <c r="I45" s="538"/>
      <c r="J45" s="539"/>
      <c r="K45" s="539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8"/>
      <c r="I46" s="538"/>
      <c r="J46" s="539"/>
      <c r="K46" s="539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8"/>
      <c r="I47" s="538"/>
      <c r="J47" s="539"/>
      <c r="K47" s="539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8"/>
      <c r="I52" s="538"/>
      <c r="J52" s="539"/>
      <c r="K52" s="539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SUMIFS(RAB!$F$14:$F$63,RAB!$C$14:$C$63,'REKAP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SUMIFS(RAB!$F$14:$F$63,RAB!$C$14:$C$63,'REKAP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SUMIFS(RAB!$F$14:$F$63,RAB!$C$14:$C$63,'REKAP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SUMIFS(RAB!$F$14:$F$63,RAB!$C$14:$C$63,'REKAP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SUMIFS(RAB!$F$14:$F$63,RAB!$C$14:$C$63,'REKAP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SUMIFS(RAB!$F$14:$F$63,RAB!$C$14:$C$63,'REKAP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SUMIFS(RAB!$F$14:$F$63,RAB!$C$14:$C$63,'REKAP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SUMIFS(RAB!$F$14:$F$63,RAB!$C$14:$C$63,'REKAP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SUMIFS(RAB!$F$14:$F$63,RAB!$C$14:$C$63,'REKAP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SUMIFS(RAB!$F$14:$F$63,RAB!$C$14:$C$63,'REKAP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SUMIFS(RAB!$F$14:$F$63,RAB!$C$14:$C$63,'REKAP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SUMIFS(RAB!$F$14:$F$63,RAB!$C$14:$C$63,'REKAP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SUMIFS(RAB!$F$14:$F$63,RAB!$C$14:$C$63,'REKAP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SUMIFS(RAB!$F$14:$F$63,RAB!$C$14:$C$63,'REKAP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SUMIFS(RAB!$F$14:$F$63,RAB!$C$14:$C$63,'REKAP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SUMIFS(RAB!$F$14:$F$63,RAB!$C$14:$C$63,'REKAP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SUMIFS(RAB!$F$14:$F$63,RAB!$C$14:$C$63,'REKAP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SUMIFS(RAB!$F$14:$F$63,RAB!$C$14:$C$63,'REKAP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SUMIFS(RAB!$F$14:$F$63,RAB!$C$14:$C$63,'REKAP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SUMIFS(RAB!$F$14:$F$63,RAB!$C$14:$C$63,'REKAP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6" t="s">
        <v>1034</v>
      </c>
      <c r="C4" s="526"/>
      <c r="D4" s="526"/>
      <c r="E4" s="526"/>
      <c r="F4" s="526"/>
      <c r="G4" s="526"/>
      <c r="H4" s="526"/>
      <c r="I4" s="526"/>
      <c r="J4" s="526"/>
      <c r="K4" s="52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0" t="str">
        <f>RAB!G6</f>
        <v>PD PUSKESMAS TOROH 11-23KVA</v>
      </c>
      <c r="H6" s="550"/>
      <c r="I6" s="550"/>
      <c r="J6" s="550"/>
      <c r="K6" s="55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TOROH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7" t="s">
        <v>0</v>
      </c>
      <c r="C11" s="529" t="s">
        <v>1</v>
      </c>
      <c r="D11" s="532" t="s">
        <v>42</v>
      </c>
      <c r="E11" s="532" t="s">
        <v>43</v>
      </c>
      <c r="F11" s="532" t="s">
        <v>2</v>
      </c>
      <c r="G11" s="534" t="s">
        <v>41</v>
      </c>
      <c r="H11" s="532" t="s">
        <v>3</v>
      </c>
      <c r="I11" s="532"/>
      <c r="J11" s="532"/>
      <c r="K11" s="537"/>
      <c r="M11" s="33"/>
      <c r="N11" s="33"/>
      <c r="O11" s="33"/>
      <c r="P11" s="33"/>
      <c r="R11" s="34"/>
      <c r="S11" s="74"/>
      <c r="T11" s="74"/>
    </row>
    <row r="12" spans="1:21" ht="15" customHeight="1">
      <c r="B12" s="528"/>
      <c r="C12" s="530"/>
      <c r="D12" s="533"/>
      <c r="E12" s="533"/>
      <c r="F12" s="533"/>
      <c r="G12" s="535"/>
      <c r="H12" s="541" t="s">
        <v>46</v>
      </c>
      <c r="I12" s="541" t="s">
        <v>5</v>
      </c>
      <c r="J12" s="533" t="s">
        <v>47</v>
      </c>
      <c r="K12" s="54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8"/>
      <c r="C13" s="531"/>
      <c r="D13" s="533"/>
      <c r="E13" s="533"/>
      <c r="F13" s="533"/>
      <c r="G13" s="536"/>
      <c r="H13" s="542"/>
      <c r="I13" s="542"/>
      <c r="J13" s="533"/>
      <c r="K13" s="54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 4 x 16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01">
        <f t="shared" ca="1" si="6"/>
        <v>50</v>
      </c>
      <c r="G18" s="41">
        <f ca="1">IF(ISERROR(OFFSET('HARGA SATUAN'!$I$6,MATCH(C18,'HARGA SATUAN'!$C$7:$C$1495,0),0)),"",OFFSET('HARGA SATUAN'!$I$6,MATCH(C18,'HARGA SATUAN'!$C$7:$C$1495,0),0))</f>
        <v>13500</v>
      </c>
      <c r="H18" s="42">
        <f t="shared" ca="1" si="1"/>
        <v>675000</v>
      </c>
      <c r="I18" s="42">
        <f t="shared" ca="1" si="2"/>
        <v>0</v>
      </c>
      <c r="J18" s="42">
        <f t="shared" ca="1" si="3"/>
        <v>0</v>
      </c>
      <c r="K18" s="43">
        <f t="shared" ca="1" si="0"/>
        <v>675000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6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6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1" t="s">
        <v>1008</v>
      </c>
      <c r="D168" s="551"/>
      <c r="E168" s="551"/>
      <c r="F168" s="551"/>
      <c r="G168" s="77" t="s">
        <v>9</v>
      </c>
      <c r="H168" s="55">
        <f ca="1">SUM(H14:H167)</f>
        <v>5667300</v>
      </c>
      <c r="I168" s="55">
        <f ca="1">SUM(I14:I167)</f>
        <v>0</v>
      </c>
      <c r="J168" s="55">
        <f ca="1">SUM(J14:J167)</f>
        <v>0</v>
      </c>
      <c r="K168" s="55">
        <f ca="1">SUM(K14:K167)</f>
        <v>5667300</v>
      </c>
      <c r="L168" s="44"/>
      <c r="R168" s="99"/>
      <c r="S168" s="99"/>
      <c r="T168" s="99"/>
    </row>
    <row r="169" spans="1:20" s="36" customFormat="1">
      <c r="A169" s="30"/>
      <c r="B169" s="56"/>
      <c r="C169" s="552" t="s">
        <v>462</v>
      </c>
      <c r="D169" s="552"/>
      <c r="E169" s="552"/>
      <c r="F169" s="552"/>
      <c r="G169" s="59" t="s">
        <v>9</v>
      </c>
      <c r="H169" s="60">
        <f ca="1">H168*0.1</f>
        <v>566730</v>
      </c>
      <c r="I169" s="60">
        <f ca="1">I168*0.1</f>
        <v>0</v>
      </c>
      <c r="J169" s="60">
        <f ca="1">J168*0.1</f>
        <v>0</v>
      </c>
      <c r="K169" s="60">
        <f ca="1">K168*0.1</f>
        <v>566730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3" t="s">
        <v>463</v>
      </c>
      <c r="D170" s="543"/>
      <c r="E170" s="543"/>
      <c r="F170" s="543"/>
      <c r="G170" s="61" t="s">
        <v>9</v>
      </c>
      <c r="H170" s="78">
        <f ca="1">SUM(H168:H169)</f>
        <v>6234030</v>
      </c>
      <c r="I170" s="78">
        <f ca="1">SUM(I168:I169)</f>
        <v>0</v>
      </c>
      <c r="J170" s="61">
        <f ca="1">SUM(J168:J169)</f>
        <v>0</v>
      </c>
      <c r="K170" s="61">
        <f ca="1">SUM(K168:K169)</f>
        <v>6234030</v>
      </c>
      <c r="L170" s="44"/>
      <c r="R170" s="99"/>
      <c r="S170" s="99"/>
      <c r="T170" s="99"/>
    </row>
    <row r="171" spans="1:20" s="36" customFormat="1">
      <c r="A171" s="30"/>
      <c r="B171" s="544" t="e">
        <f ca="1">"Terbilang : ( "&amp;L172&amp;" Rupiah )"</f>
        <v>#NAME?</v>
      </c>
      <c r="C171" s="545"/>
      <c r="D171" s="545"/>
      <c r="E171" s="545"/>
      <c r="F171" s="545"/>
      <c r="G171" s="545"/>
      <c r="H171" s="545"/>
      <c r="I171" s="545"/>
      <c r="J171" s="545"/>
      <c r="K171" s="546"/>
      <c r="L171" s="44"/>
      <c r="R171" s="58"/>
      <c r="S171" s="58"/>
      <c r="T171" s="58"/>
    </row>
    <row r="172" spans="1:20" s="36" customFormat="1">
      <c r="A172" s="30"/>
      <c r="B172" s="547"/>
      <c r="C172" s="548"/>
      <c r="D172" s="548"/>
      <c r="E172" s="548"/>
      <c r="F172" s="548"/>
      <c r="G172" s="548"/>
      <c r="H172" s="548"/>
      <c r="I172" s="548"/>
      <c r="J172" s="548"/>
      <c r="K172" s="549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8"/>
      <c r="I175" s="538"/>
      <c r="J175" s="539"/>
      <c r="K175" s="539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8"/>
      <c r="I176" s="538"/>
      <c r="J176" s="539"/>
      <c r="K176" s="539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8"/>
      <c r="I177" s="538"/>
      <c r="J177" s="539"/>
      <c r="K177" s="539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8"/>
      <c r="I182" s="538"/>
      <c r="J182" s="539"/>
      <c r="K182" s="539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SUMIFS(RAB!$F$14:$F$63,RAB!$C$14:$C$63,C224)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SUMIFS(RAB!$F$14:$F$63,RAB!$C$14:$C$63,C225)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SUMIFS(RAB!$F$14:$F$63,RAB!$C$14:$C$63,C226)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SUMIFS(RAB!$F$14:$F$63,RAB!$C$14:$C$63,C227)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SUMIFS(RAB!$F$14:$F$63,RAB!$C$14:$C$63,C228)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SUMIFS(RAB!$F$14:$F$63,RAB!$C$14:$C$63,C229)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SUMIFS(RAB!$F$14:$F$63,RAB!$C$14:$C$63,C230)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SUMIFS(RAB!$F$14:$F$63,RAB!$C$14:$C$63,C231)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SUMIFS(RAB!$F$14:$F$63,RAB!$C$14:$C$63,C232)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SUMIFS(RAB!$F$14:$F$63,RAB!$C$14:$C$63,C233)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SUMIFS(RAB!$F$14:$F$63,RAB!$C$14:$C$63,C234)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SUMIFS(RAB!$F$14:$F$63,RAB!$C$14:$C$63,C235)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SUMIFS(RAB!$F$14:$F$63,RAB!$C$14:$C$63,C236)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SUMIFS(RAB!$F$14:$F$63,RAB!$C$14:$C$63,C237)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SUMIFS(RAB!$F$14:$F$63,RAB!$C$14:$C$63,C238)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SUMIFS(RAB!$F$14:$F$63,RAB!$C$14:$C$63,C239)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SUMIFS(RAB!$F$14:$F$63,RAB!$C$14:$C$63,C240)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SUMIFS(RAB!$F$14:$F$63,RAB!$C$14:$C$63,C241)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SUMIFS(RAB!$F$14:$F$63,RAB!$C$14:$C$63,C242)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SUMIFS(RAB!$F$14:$F$63,RAB!$C$14:$C$63,C243)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SUMIFS(RAB!$F$14:$F$63,RAB!$C$14:$C$63,C244)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SUMIFS(RAB!$F$14:$F$63,RAB!$C$14:$C$63,C245)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SUMIFS(RAB!$F$14:$F$63,RAB!$C$14:$C$63,C246)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SUMIFS(RAB!$F$14:$F$63,RAB!$C$14:$C$63,C247)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SUMIFS(RAB!$F$14:$F$63,RAB!$C$14:$C$63,C248)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SUMIFS(RAB!$F$14:$F$63,RAB!$C$14:$C$63,C249)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SUMIFS(RAB!$F$14:$F$63,RAB!$C$14:$C$63,C250)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SUMIFS(RAB!$F$14:$F$63,RAB!$C$14:$C$63,C251)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SUMIFS(RAB!$F$14:$F$63,RAB!$C$14:$C$63,C252)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SUMIFS(RAB!$F$14:$F$63,RAB!$C$14:$C$63,C253)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SUMIFS(RAB!$F$14:$F$63,RAB!$C$14:$C$63,C254)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SUMIFS(RAB!$F$14:$F$63,RAB!$C$14:$C$63,C255)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SUMIFS(RAB!$F$14:$F$63,RAB!$C$14:$C$63,C256)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SUMIFS(RAB!$F$14:$F$63,RAB!$C$14:$C$63,C257)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SUMIFS(RAB!$F$14:$F$63,RAB!$C$14:$C$63,C258)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SUMIFS(RAB!$F$14:$F$63,RAB!$C$14:$C$63,C259)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SUMIFS(RAB!$F$14:$F$63,RAB!$C$14:$C$63,C260)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SUMIFS(RAB!$F$14:$F$63,RAB!$C$14:$C$63,C261)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SUMIFS(RAB!$F$14:$F$63,RAB!$C$14:$C$63,C262)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SUMIFS(RAB!$F$14:$F$63,RAB!$C$14:$C$63,C263)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SUMIFS(RAB!$F$14:$F$63,RAB!$C$14:$C$63,C264)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SUMIFS(RAB!$F$14:$F$63,RAB!$C$14:$C$63,C265)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SUMIFS(RAB!$F$14:$F$63,RAB!$C$14:$C$63,C266)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SUMIFS(RAB!$F$14:$F$63,RAB!$C$14:$C$63,C267)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SUMIFS(RAB!$F$14:$F$63,RAB!$C$14:$C$63,C268)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SUMIFS(RAB!$F$14:$F$63,RAB!$C$14:$C$63,C269)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SUMIFS(RAB!$F$14:$F$63,RAB!$C$14:$C$63,C270)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SUMIFS(RAB!$F$14:$F$63,RAB!$C$14:$C$63,C271)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SUMIFS(RAB!$F$14:$F$63,RAB!$C$14:$C$63,C272)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SUMIFS(RAB!$F$14:$F$63,RAB!$C$14:$C$63,C273)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SUMIFS(RAB!$F$14:$F$63,RAB!$C$14:$C$63,C274)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SUMIFS(RAB!$F$14:$F$63,RAB!$C$14:$C$63,C275)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SUMIFS(RAB!$F$14:$F$63,RAB!$C$14:$C$63,C276)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SUMIFS(RAB!$F$14:$F$63,RAB!$C$14:$C$63,C277)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SUMIFS(RAB!$F$14:$F$63,RAB!$C$14:$C$63,C278)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SUMIFS(RAB!$F$14:$F$63,RAB!$C$14:$C$63,C279)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SUMIFS(RAB!$F$14:$F$63,RAB!$C$14:$C$63,C280)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SUMIFS(RAB!$F$14:$F$63,RAB!$C$14:$C$63,C281)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SUMIFS(RAB!$F$14:$F$63,RAB!$C$14:$C$63,C282)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SUMIFS(RAB!$F$14:$F$63,RAB!$C$14:$C$63,C283)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SUMIFS(RAB!$F$14:$F$63,RAB!$C$14:$C$63,C284)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SUMIFS(RAB!$F$14:$F$63,RAB!$C$14:$C$63,C285)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SUMIFS(RAB!$F$14:$F$63,RAB!$C$14:$C$63,C286)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SUMIFS(RAB!$F$14:$F$63,RAB!$C$14:$C$63,C287)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SUMIFS(RAB!$F$14:$F$63,RAB!$C$14:$C$63,C288)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SUMIFS(RAB!$F$14:$F$63,RAB!$C$14:$C$63,C289)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SUMIFS(RAB!$F$14:$F$63,RAB!$C$14:$C$63,C290)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SUMIFS(RAB!$F$14:$F$63,RAB!$C$14:$C$63,C291)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SUMIFS(RAB!$F$14:$F$63,RAB!$C$14:$C$63,C292)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SUMIFS(RAB!$F$14:$F$63,RAB!$C$14:$C$63,C293)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SUMIFS(RAB!$F$14:$F$63,RAB!$C$14:$C$63,C294)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SUMIFS(RAB!$F$14:$F$63,RAB!$C$14:$C$63,C295)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SUMIFS(RAB!$F$14:$F$63,RAB!$C$14:$C$63,C296)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SUMIFS(RAB!$F$14:$F$63,RAB!$C$14:$C$63,C297)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SUMIFS(RAB!$F$14:$F$63,RAB!$C$14:$C$63,C298)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SUMIFS(RAB!$F$14:$F$63,RAB!$C$14:$C$63,C299)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SUMIFS(RAB!$F$14:$F$63,RAB!$C$14:$C$63,C300)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SUMIFS(RAB!$F$14:$F$63,RAB!$C$14:$C$63,C301)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SUMIFS(RAB!$F$14:$F$63,RAB!$C$14:$C$63,C302)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SUMIFS(RAB!$F$14:$F$63,RAB!$C$14:$C$63,C303)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SUMIFS(RAB!$F$14:$F$63,RAB!$C$14:$C$63,C304)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SUMIFS(RAB!$F$14:$F$63,RAB!$C$14:$C$63,C305)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SUMIFS(RAB!$F$14:$F$63,RAB!$C$14:$C$63,C306)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SUMIFS(RAB!$F$14:$F$63,RAB!$C$14:$C$63,C307)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SUMIFS(RAB!$F$14:$F$63,RAB!$C$14:$C$63,C308)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SUMIFS(RAB!$F$14:$F$63,RAB!$C$14:$C$63,C309)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SUMIFS(RAB!$F$14:$F$63,RAB!$C$14:$C$63,C310)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SUMIFS(RAB!$F$14:$F$63,RAB!$C$14:$C$63,C311)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SUMIFS(RAB!$F$14:$F$63,RAB!$C$14:$C$63,C312)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SUMIFS(RAB!$F$14:$F$63,RAB!$C$14:$C$63,C313)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SUMIFS(RAB!$F$14:$F$63,RAB!$C$14:$C$63,C314)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SUMIFS(RAB!$F$14:$F$63,RAB!$C$14:$C$63,C315)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SUMIFS(RAB!$F$14:$F$63,RAB!$C$14:$C$63,C316)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SUMIFS(RAB!$F$14:$F$63,RAB!$C$14:$C$63,C317)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SUMIFS(RAB!$F$14:$F$63,RAB!$C$14:$C$63,C318)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SUMIFS(RAB!$F$14:$F$63,RAB!$C$14:$C$63,C319)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SUMIFS(RAB!$F$14:$F$63,RAB!$C$14:$C$63,C320)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SUMIFS(RAB!$F$14:$F$63,RAB!$C$14:$C$63,C321)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SUMIFS(RAB!$F$14:$F$63,RAB!$C$14:$C$63,C322)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SUMIFS(RAB!$F$14:$F$63,RAB!$C$14:$C$63,C323)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SUMIFS(RAB!$F$14:$F$63,RAB!$C$14:$C$63,C324)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SUMIFS(RAB!$F$14:$F$63,RAB!$C$14:$C$63,C325)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SUMIFS(RAB!$F$14:$F$63,RAB!$C$14:$C$63,C326)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SUMIFS(RAB!$F$14:$F$63,RAB!$C$14:$C$63,C327)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SUMIFS(RAB!$F$14:$F$63,RAB!$C$14:$C$63,C328)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SUMIFS(RAB!$F$14:$F$63,RAB!$C$14:$C$63,C329)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SUMIFS(RAB!$F$14:$F$63,RAB!$C$14:$C$63,C330)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SUMIFS(RAB!$F$14:$F$63,RAB!$C$14:$C$63,C331)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SUMIFS(RAB!$F$14:$F$63,RAB!$C$14:$C$63,C332)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SUMIFS(RAB!$F$14:$F$63,RAB!$C$14:$C$63,C333)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SUMIFS(RAB!$F$14:$F$63,RAB!$C$14:$C$63,C334)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SUMIFS(RAB!$F$14:$F$63,RAB!$C$14:$C$63,C335)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SUMIFS(RAB!$F$14:$F$63,RAB!$C$14:$C$63,C336)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SUMIFS(RAB!$F$14:$F$63,RAB!$C$14:$C$63,C337)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SUMIFS(RAB!$F$14:$F$63,RAB!$C$14:$C$63,C338)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SUMIFS(RAB!$F$14:$F$63,RAB!$C$14:$C$63,C339)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SUMIFS(RAB!$F$14:$F$63,RAB!$C$14:$C$63,C340)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SUMIFS(RAB!$F$14:$F$63,RAB!$C$14:$C$63,C341)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SUMIFS(RAB!$F$14:$F$63,RAB!$C$14:$C$63,C342)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SUMIFS(RAB!$F$14:$F$63,RAB!$C$14:$C$63,C343)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SUMIFS(RAB!$F$14:$F$63,RAB!$C$14:$C$63,C344)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SUMIFS(RAB!$F$14:$F$63,RAB!$C$14:$C$63,C345)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SUMIFS(RAB!$F$14:$F$63,RAB!$C$14:$C$63,C346)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SUMIFS(RAB!$F$14:$F$63,RAB!$C$14:$C$63,C347)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SUMIFS(RAB!$F$14:$F$63,RAB!$C$14:$C$63,C348)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SUMIFS(RAB!$F$14:$F$63,RAB!$C$14:$C$63,C349)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SUMIFS(RAB!$F$14:$F$63,RAB!$C$14:$C$63,C350)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SUMIFS(RAB!$F$14:$F$63,RAB!$C$14:$C$63,C351)</f>
        <v>50</v>
      </c>
      <c r="E351" s="24">
        <f t="shared" ca="1" si="22"/>
        <v>1</v>
      </c>
      <c r="F351" s="24">
        <f ca="1">IF(D351=0,0,SUM($E$223:E351))</f>
        <v>3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SUMIFS(RAB!$F$14:$F$63,RAB!$C$14:$C$63,C352)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SUMIFS(RAB!$F$14:$F$63,RAB!$C$14:$C$63,C353)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SUMIFS(RAB!$F$14:$F$63,RAB!$C$14:$C$63,C354)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SUMIFS(RAB!$F$14:$F$63,RAB!$C$14:$C$63,C355)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SUMIFS(RAB!$F$14:$F$63,RAB!$C$14:$C$63,C356)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SUMIFS(RAB!$F$14:$F$63,RAB!$C$14:$C$63,C357)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SUMIFS(RAB!$F$14:$F$63,RAB!$C$14:$C$63,C358)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SUMIFS(RAB!$F$14:$F$63,RAB!$C$14:$C$63,C359)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SUMIFS(RAB!$F$14:$F$63,RAB!$C$14:$C$63,C360)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SUMIFS(RAB!$F$14:$F$63,RAB!$C$14:$C$63,C361)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SUMIFS(RAB!$F$14:$F$63,RAB!$C$14:$C$63,C362)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SUMIFS(RAB!$F$14:$F$63,RAB!$C$14:$C$63,C363)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SUMIFS(RAB!$F$14:$F$63,RAB!$C$14:$C$63,C364)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SUMIFS(RAB!$F$14:$F$63,RAB!$C$14:$C$63,C365)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SUMIFS(RAB!$F$14:$F$63,RAB!$C$14:$C$63,C366)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SUMIFS(RAB!$F$14:$F$63,RAB!$C$14:$C$63,C367)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SUMIFS(RAB!$F$14:$F$63,RAB!$C$14:$C$63,C368)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SUMIFS(RAB!$F$14:$F$63,RAB!$C$14:$C$63,C369)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SUMIFS(RAB!$F$14:$F$63,RAB!$C$14:$C$63,C370)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SUMIFS(RAB!$F$14:$F$63,RAB!$C$14:$C$63,C371)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SUMIFS(RAB!$F$14:$F$63,RAB!$C$14:$C$63,C372)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SUMIFS(RAB!$F$14:$F$63,RAB!$C$14:$C$63,C373)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373" activePane="bottomRight" state="frozen"/>
      <selection activeCell="D209" sqref="D209"/>
      <selection pane="topRight" activeCell="D209" sqref="D209"/>
      <selection pane="bottomLeft" activeCell="D209" sqref="D209"/>
      <selection pane="bottomRight" activeCell="C1382" sqref="C138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4" t="s">
        <v>41</v>
      </c>
      <c r="C2" s="554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5" t="s">
        <v>23</v>
      </c>
      <c r="C4" s="556" t="s">
        <v>1012</v>
      </c>
      <c r="D4" s="556" t="s">
        <v>42</v>
      </c>
      <c r="E4" s="555" t="s">
        <v>43</v>
      </c>
      <c r="F4" s="108" t="s">
        <v>1599</v>
      </c>
      <c r="G4" s="108" t="s">
        <v>1598</v>
      </c>
      <c r="H4" s="553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5"/>
      <c r="C5" s="556"/>
      <c r="D5" s="556"/>
      <c r="E5" s="555"/>
      <c r="F5" s="93"/>
      <c r="G5" s="93"/>
      <c r="H5" s="553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6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7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7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2" priority="4" operator="equal">
      <formula>0</formula>
    </cfRule>
  </conditionalFormatting>
  <conditionalFormatting sqref="B217 D217:G217">
    <cfRule type="cellIs" dxfId="31" priority="11" operator="equal">
      <formula>0</formula>
    </cfRule>
  </conditionalFormatting>
  <conditionalFormatting sqref="B8:C135">
    <cfRule type="cellIs" dxfId="30" priority="66" operator="equal">
      <formula>0</formula>
    </cfRule>
  </conditionalFormatting>
  <conditionalFormatting sqref="B216:G216">
    <cfRule type="cellIs" dxfId="29" priority="16" operator="equal">
      <formula>0</formula>
    </cfRule>
  </conditionalFormatting>
  <conditionalFormatting sqref="B218:G1496">
    <cfRule type="cellIs" dxfId="28" priority="1" operator="equal">
      <formula>0</formula>
    </cfRule>
  </conditionalFormatting>
  <conditionalFormatting sqref="C143:G149">
    <cfRule type="cellIs" dxfId="27" priority="20" operator="equal">
      <formula>0</formula>
    </cfRule>
  </conditionalFormatting>
  <conditionalFormatting sqref="D9:G142">
    <cfRule type="cellIs" dxfId="26" priority="26" operator="equal">
      <formula>0</formula>
    </cfRule>
  </conditionalFormatting>
  <conditionalFormatting sqref="D1:IV5 A1:C7 D6:K6 H1458:IV1460 H1461:XFD1488 H1489:H1496 I1489:XFD1497 A1497:H1497 A1498:XFD65539">
    <cfRule type="cellIs" dxfId="25" priority="178" operator="equal">
      <formula>0</formula>
    </cfRule>
  </conditionalFormatting>
  <conditionalFormatting sqref="D7:IV8 C136:C142 B136:B149 B150:G213 B214:B215 D214:G215">
    <cfRule type="cellIs" dxfId="24" priority="77" operator="equal">
      <formula>0</formula>
    </cfRule>
  </conditionalFormatting>
  <conditionalFormatting sqref="H9:H1421">
    <cfRule type="cellIs" dxfId="23" priority="3" operator="equal">
      <formula>0</formula>
    </cfRule>
  </conditionalFormatting>
  <conditionalFormatting sqref="H1422:I1457">
    <cfRule type="cellIs" dxfId="22" priority="143" operator="equal">
      <formula>0</formula>
    </cfRule>
  </conditionalFormatting>
  <conditionalFormatting sqref="I108:I1421">
    <cfRule type="cellIs" dxfId="21" priority="2" operator="equal">
      <formula>0</formula>
    </cfRule>
  </conditionalFormatting>
  <conditionalFormatting sqref="I9:IV107">
    <cfRule type="cellIs" dxfId="20" priority="153" operator="equal">
      <formula>0</formula>
    </cfRule>
  </conditionalFormatting>
  <conditionalFormatting sqref="J108:IV1457">
    <cfRule type="cellIs" dxfId="19" priority="5" operator="equal">
      <formula>0</formula>
    </cfRule>
  </conditionalFormatting>
  <conditionalFormatting sqref="M6:IV6">
    <cfRule type="cellIs" dxfId="18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abSelected="1" topLeftCell="A10" zoomScale="55" zoomScaleNormal="55" zoomScaleSheetLayoutView="85" workbookViewId="0">
      <selection activeCell="M16" sqref="M16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88" t="s">
        <v>1453</v>
      </c>
      <c r="C2" s="588"/>
      <c r="D2" s="588"/>
      <c r="E2" s="588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93" t="s">
        <v>1528</v>
      </c>
      <c r="C4" s="594"/>
      <c r="D4" s="594"/>
      <c r="E4" s="595"/>
      <c r="F4" s="372"/>
      <c r="G4" s="372"/>
      <c r="H4" s="373"/>
      <c r="I4" s="557" t="s">
        <v>1529</v>
      </c>
      <c r="J4" s="558"/>
      <c r="K4" s="558"/>
      <c r="L4" s="559"/>
    </row>
    <row r="5" spans="1:12" ht="34.5" customHeight="1">
      <c r="A5" s="193"/>
      <c r="B5" s="375" t="s">
        <v>1378</v>
      </c>
      <c r="C5" s="224" t="s">
        <v>9</v>
      </c>
      <c r="D5" s="589" t="str">
        <f>DATA!D14</f>
        <v>PD PUSKESMAS TOROH 11-23KVA</v>
      </c>
      <c r="E5" s="590"/>
      <c r="F5" s="197"/>
      <c r="G5" s="197"/>
      <c r="I5" s="376" t="s">
        <v>1378</v>
      </c>
      <c r="J5" s="224" t="s">
        <v>9</v>
      </c>
      <c r="K5" s="560" t="str">
        <f>D5</f>
        <v>PD PUSKESMAS TOROH 11-23KVA</v>
      </c>
      <c r="L5" s="561"/>
    </row>
    <row r="6" spans="1:12" ht="31.5" customHeight="1">
      <c r="A6" s="193"/>
      <c r="B6" s="375" t="s">
        <v>1525</v>
      </c>
      <c r="C6" s="224" t="s">
        <v>9</v>
      </c>
      <c r="D6" s="598">
        <f>DATA!D17*1000</f>
        <v>11000</v>
      </c>
      <c r="E6" s="599"/>
      <c r="F6" s="197"/>
      <c r="G6" s="197"/>
      <c r="I6" s="376" t="s">
        <v>1526</v>
      </c>
      <c r="J6" s="224" t="s">
        <v>9</v>
      </c>
      <c r="K6" s="562">
        <f>DATA!D20*1000</f>
        <v>23000</v>
      </c>
      <c r="L6" s="563"/>
    </row>
    <row r="7" spans="1:12" ht="30.75" customHeight="1">
      <c r="A7" s="193"/>
      <c r="B7" s="375" t="s">
        <v>1440</v>
      </c>
      <c r="C7" s="224" t="s">
        <v>9</v>
      </c>
      <c r="D7" s="596">
        <f>DATA!D18</f>
        <v>1</v>
      </c>
      <c r="E7" s="597"/>
      <c r="F7" s="374" t="s">
        <v>1452</v>
      </c>
      <c r="I7" s="376" t="s">
        <v>1440</v>
      </c>
      <c r="J7" s="224" t="s">
        <v>9</v>
      </c>
      <c r="K7" s="564">
        <f>DATA!D21</f>
        <v>3</v>
      </c>
      <c r="L7" s="565"/>
    </row>
    <row r="8" spans="1:12" ht="51" customHeight="1">
      <c r="A8" s="193"/>
      <c r="B8" s="375" t="s">
        <v>1441</v>
      </c>
      <c r="C8" s="224" t="s">
        <v>9</v>
      </c>
      <c r="D8" s="596">
        <f>DATA!D19</f>
        <v>220</v>
      </c>
      <c r="E8" s="597"/>
      <c r="F8" s="374" t="s">
        <v>1452</v>
      </c>
      <c r="G8" s="369">
        <v>220</v>
      </c>
      <c r="I8" s="376" t="s">
        <v>1441</v>
      </c>
      <c r="J8" s="224" t="s">
        <v>9</v>
      </c>
      <c r="K8" s="564">
        <f>DATA!D22</f>
        <v>380</v>
      </c>
      <c r="L8" s="565"/>
    </row>
    <row r="9" spans="1:12" ht="30" customHeight="1" thickBot="1">
      <c r="A9" s="193"/>
      <c r="B9" s="381" t="s">
        <v>1537</v>
      </c>
      <c r="C9" s="371" t="s">
        <v>9</v>
      </c>
      <c r="D9" s="591">
        <f>IF(D7=1,D6/(380/3^0.5),(D6/(380*3^0.5)))</f>
        <v>50.138312850678027</v>
      </c>
      <c r="E9" s="592"/>
      <c r="F9" s="196"/>
      <c r="G9" s="370">
        <v>380</v>
      </c>
      <c r="I9" s="382" t="s">
        <v>1537</v>
      </c>
      <c r="J9" s="371" t="s">
        <v>9</v>
      </c>
      <c r="K9" s="568">
        <f>IF(K7=1,K6/(380/3^0.5),(K6/(380*3^0.5)))</f>
        <v>34.94488471410893</v>
      </c>
      <c r="L9" s="569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600" t="s">
        <v>1627</v>
      </c>
      <c r="E12" s="601"/>
      <c r="F12" s="197"/>
      <c r="G12" s="197"/>
      <c r="I12" s="398" t="s">
        <v>1530</v>
      </c>
      <c r="J12" s="399" t="s">
        <v>9</v>
      </c>
      <c r="K12" s="600"/>
      <c r="L12" s="601"/>
    </row>
    <row r="13" spans="1:12" ht="31.5" customHeight="1">
      <c r="A13" s="193"/>
      <c r="B13" s="406" t="s">
        <v>1379</v>
      </c>
      <c r="C13" s="386" t="s">
        <v>9</v>
      </c>
      <c r="D13" s="566" t="s">
        <v>1629</v>
      </c>
      <c r="E13" s="567"/>
      <c r="F13" s="197"/>
      <c r="G13" s="197"/>
      <c r="I13" s="400" t="s">
        <v>1379</v>
      </c>
      <c r="J13" s="386" t="s">
        <v>9</v>
      </c>
      <c r="K13" s="566"/>
      <c r="L13" s="567"/>
    </row>
    <row r="14" spans="1:12" ht="30.75" customHeight="1">
      <c r="A14" s="193"/>
      <c r="B14" s="406" t="s">
        <v>1531</v>
      </c>
      <c r="C14" s="386" t="s">
        <v>9</v>
      </c>
      <c r="D14" s="570">
        <v>160</v>
      </c>
      <c r="E14" s="571"/>
      <c r="F14" s="374" t="s">
        <v>1452</v>
      </c>
      <c r="G14" s="378">
        <v>50</v>
      </c>
      <c r="I14" s="400" t="s">
        <v>1531</v>
      </c>
      <c r="J14" s="386" t="s">
        <v>9</v>
      </c>
      <c r="K14" s="572"/>
      <c r="L14" s="573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/>
      <c r="L15" s="401"/>
    </row>
    <row r="16" spans="1:12" ht="44.25" customHeight="1">
      <c r="A16" s="193"/>
      <c r="B16" s="406" t="s">
        <v>1541</v>
      </c>
      <c r="C16" s="386"/>
      <c r="D16" s="574">
        <f>50+48+49</f>
        <v>147</v>
      </c>
      <c r="E16" s="575"/>
      <c r="F16" s="374"/>
      <c r="G16" s="378">
        <v>160</v>
      </c>
      <c r="I16" s="400" t="s">
        <v>1533</v>
      </c>
      <c r="J16" s="386" t="s">
        <v>9</v>
      </c>
      <c r="K16" s="578">
        <f>K9</f>
        <v>34.94488471410893</v>
      </c>
      <c r="L16" s="579"/>
    </row>
    <row r="17" spans="1:12" ht="34.5" customHeight="1">
      <c r="A17" s="193"/>
      <c r="B17" s="406" t="s">
        <v>1534</v>
      </c>
      <c r="C17" s="386" t="s">
        <v>9</v>
      </c>
      <c r="D17" s="576">
        <f>IF(D15=1,D14/(20/3^0.5),(D14/(20*3^0.5)))</f>
        <v>4.6188021535170067</v>
      </c>
      <c r="E17" s="577"/>
      <c r="F17" s="374" t="s">
        <v>1452</v>
      </c>
      <c r="G17" s="379">
        <v>200</v>
      </c>
      <c r="I17" s="400" t="s">
        <v>1534</v>
      </c>
      <c r="J17" s="386" t="s">
        <v>9</v>
      </c>
      <c r="K17" s="582">
        <f>IF(K15=1,K14/(20/3^0.5),(K14/(20*3^0.5)))</f>
        <v>0</v>
      </c>
      <c r="L17" s="583"/>
    </row>
    <row r="18" spans="1:12" ht="34.5" customHeight="1">
      <c r="A18" s="193"/>
      <c r="B18" s="406" t="s">
        <v>1535</v>
      </c>
      <c r="C18" s="386" t="s">
        <v>9</v>
      </c>
      <c r="D18" s="576">
        <f>IF(D15=1,D14/(380/3^0.5),(D14/(380*3^0.5)))*1000</f>
        <v>243.0948501851056</v>
      </c>
      <c r="E18" s="577"/>
      <c r="F18" s="374" t="s">
        <v>1452</v>
      </c>
      <c r="G18" s="379">
        <v>250</v>
      </c>
      <c r="I18" s="400" t="s">
        <v>1535</v>
      </c>
      <c r="J18" s="386" t="s">
        <v>9</v>
      </c>
      <c r="K18" s="582">
        <f>IF(K15=1,K14/(380/3^0.5),(K14/(380*3^0.5)))*1000</f>
        <v>0</v>
      </c>
      <c r="L18" s="583"/>
    </row>
    <row r="19" spans="1:12" ht="30" customHeight="1">
      <c r="A19" s="193"/>
      <c r="B19" s="407" t="s">
        <v>1527</v>
      </c>
      <c r="C19" s="385" t="s">
        <v>9</v>
      </c>
      <c r="D19" s="576">
        <f>IF(D15=1,D14/(380/3^0.5),(D14/(380*3^0.5)))</f>
        <v>0.2430948501851056</v>
      </c>
      <c r="E19" s="577"/>
      <c r="F19" s="196"/>
      <c r="G19" s="370"/>
      <c r="I19" s="402" t="s">
        <v>1527</v>
      </c>
      <c r="J19" s="385" t="s">
        <v>9</v>
      </c>
      <c r="K19" s="582">
        <f>IF(K15=1,K14/(380/3^0.5),(K14/(380*3^0.5)))</f>
        <v>0</v>
      </c>
      <c r="L19" s="583"/>
    </row>
    <row r="20" spans="1:12" ht="30" customHeight="1" thickBot="1">
      <c r="A20" s="193"/>
      <c r="B20" s="408" t="s">
        <v>1536</v>
      </c>
      <c r="C20" s="404" t="s">
        <v>9</v>
      </c>
      <c r="D20" s="602">
        <f>D16/D18</f>
        <v>0.60470223819248425</v>
      </c>
      <c r="E20" s="603"/>
      <c r="F20" s="196"/>
      <c r="G20" s="370"/>
      <c r="I20" s="403" t="s">
        <v>1527</v>
      </c>
      <c r="J20" s="404" t="s">
        <v>9</v>
      </c>
      <c r="K20" s="580" t="e">
        <f>K16/K18</f>
        <v>#DIV/0!</v>
      </c>
      <c r="L20" s="581"/>
    </row>
    <row r="21" spans="1:12" ht="9.75" customHeight="1">
      <c r="A21" s="193"/>
      <c r="B21" s="393" t="s">
        <v>1536</v>
      </c>
      <c r="C21" s="394" t="s">
        <v>9</v>
      </c>
      <c r="D21" s="587">
        <v>1</v>
      </c>
      <c r="E21" s="587"/>
      <c r="F21" s="395"/>
      <c r="G21" s="396"/>
      <c r="H21" s="397"/>
      <c r="I21" s="393" t="s">
        <v>1527</v>
      </c>
      <c r="J21" s="394" t="s">
        <v>9</v>
      </c>
      <c r="K21" s="587">
        <v>1</v>
      </c>
      <c r="L21" s="587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84"/>
      <c r="C24" s="585"/>
      <c r="D24" s="585"/>
      <c r="E24" s="586"/>
      <c r="I24" s="584"/>
      <c r="J24" s="585"/>
      <c r="K24" s="585"/>
      <c r="L24" s="586"/>
    </row>
    <row r="26" spans="1:12">
      <c r="D26" s="388"/>
    </row>
    <row r="27" spans="1:12">
      <c r="D27" s="38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4"/>
      <c r="C1" s="604"/>
      <c r="D1" s="604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12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11628000</v>
      </c>
    </row>
    <row r="10" spans="2:11" ht="20.100000000000001" customHeight="1">
      <c r="B10" s="238" t="s">
        <v>1445</v>
      </c>
      <c r="C10" s="239" t="s">
        <v>9</v>
      </c>
      <c r="D10" s="245">
        <f ca="1">RAB!K69</f>
        <v>8275195.9372499995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165503.918745</v>
      </c>
    </row>
    <row r="12" spans="2:11" ht="9" customHeight="1">
      <c r="B12" s="605"/>
      <c r="C12" s="605"/>
      <c r="D12" s="605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PD PUSKESMAS TOROH 11-23KVA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1635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11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23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2" t="s">
        <v>1356</v>
      </c>
      <c r="C3" s="612"/>
      <c r="D3" s="612"/>
      <c r="E3" s="612"/>
      <c r="F3" s="252" t="str">
        <f>DATA!D14</f>
        <v>PD PUSKESMAS TOROH 11-23KVA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6" t="s">
        <v>1348</v>
      </c>
      <c r="C5" s="606" t="s">
        <v>1357</v>
      </c>
      <c r="D5" s="611" t="s">
        <v>1358</v>
      </c>
      <c r="E5" s="611" t="s">
        <v>1359</v>
      </c>
      <c r="F5" s="606" t="s">
        <v>1360</v>
      </c>
      <c r="G5" s="606"/>
      <c r="H5" s="606"/>
      <c r="I5" s="606"/>
      <c r="J5" s="606"/>
      <c r="K5" s="606" t="s">
        <v>1361</v>
      </c>
      <c r="L5" s="606"/>
      <c r="M5" s="254"/>
      <c r="N5" s="609" t="s">
        <v>1362</v>
      </c>
      <c r="O5" s="611" t="s">
        <v>1363</v>
      </c>
      <c r="P5" s="611" t="s">
        <v>1364</v>
      </c>
      <c r="Q5" s="611" t="s">
        <v>1365</v>
      </c>
      <c r="R5" s="255"/>
      <c r="S5" s="256"/>
      <c r="T5" s="607" t="s">
        <v>1366</v>
      </c>
      <c r="U5" s="257"/>
    </row>
    <row r="6" spans="1:21" ht="20.100000000000001" customHeight="1">
      <c r="B6" s="606"/>
      <c r="C6" s="606"/>
      <c r="D6" s="606"/>
      <c r="E6" s="606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0"/>
      <c r="O6" s="606"/>
      <c r="P6" s="606"/>
      <c r="Q6" s="606"/>
      <c r="R6" s="255"/>
      <c r="S6" s="256"/>
      <c r="T6" s="606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1920</v>
      </c>
      <c r="D7" s="263">
        <f>C7*4/24</f>
        <v>320</v>
      </c>
      <c r="E7" s="263">
        <f>C7-D7</f>
        <v>1600</v>
      </c>
      <c r="F7" s="264">
        <f ca="1">DATA!D10/1000000</f>
        <v>8.2751959372500004</v>
      </c>
      <c r="G7" s="265">
        <f ca="1">DATA!$D$11/1000000</f>
        <v>0.16550391874500001</v>
      </c>
      <c r="H7" s="265">
        <f>C7*DATA!$D$5/1000000</f>
        <v>2.0815200881022413</v>
      </c>
      <c r="I7" s="265">
        <f>(C7*DATA!$D$5*DATA!$D$7)/1000000</f>
        <v>4.6834201982300427E-2</v>
      </c>
      <c r="J7" s="263">
        <f ca="1">SUM(F7:I7)</f>
        <v>10.569054146079541</v>
      </c>
      <c r="K7" s="266">
        <f>DATA!D9/1000000</f>
        <v>11.628</v>
      </c>
      <c r="L7" s="263">
        <f>((D7*DATA!$D$23)/1000000)+((E7*DATA!$D$24)/1000000)</f>
        <v>2.7738239999999998</v>
      </c>
      <c r="M7" s="263">
        <f>K7+L7</f>
        <v>14.401824</v>
      </c>
      <c r="N7" s="263">
        <f ca="1">M7-J7</f>
        <v>3.8327698539204587</v>
      </c>
      <c r="O7" s="261">
        <v>1</v>
      </c>
      <c r="P7" s="263">
        <f ca="1">O7*N7</f>
        <v>3.8327698539204587</v>
      </c>
      <c r="Q7" s="263">
        <f ca="1">P7</f>
        <v>3.8327698539204587</v>
      </c>
      <c r="S7" s="251" t="str">
        <f ca="1">IF(Q7&lt;0,"a","")</f>
        <v/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5760</v>
      </c>
      <c r="D8" s="263">
        <f>C8*4/24</f>
        <v>960</v>
      </c>
      <c r="E8" s="263">
        <f t="shared" ref="E8:E32" si="0">C8-D8</f>
        <v>4800</v>
      </c>
      <c r="F8" s="261"/>
      <c r="G8" s="265">
        <f ca="1">DATA!$D$11/1000000</f>
        <v>0.16550391874500001</v>
      </c>
      <c r="H8" s="265">
        <f>C8*DATA!$D$5/1000000</f>
        <v>6.244560264306724</v>
      </c>
      <c r="I8" s="265">
        <f>(C8*DATA!$D$5*DATA!$D$7)/1000000</f>
        <v>0.14050260594690128</v>
      </c>
      <c r="J8" s="263">
        <f t="shared" ref="J8:J32" ca="1" si="1">SUM(F8:I8)</f>
        <v>6.5505667889986254</v>
      </c>
      <c r="K8" s="268"/>
      <c r="L8" s="263">
        <f>((D8*DATA!$D$23)/1000000)+((E8*DATA!$D$24)/1000000)</f>
        <v>8.321472</v>
      </c>
      <c r="M8" s="263">
        <f t="shared" ref="M8:M32" si="2">K8+L8</f>
        <v>8.321472</v>
      </c>
      <c r="N8" s="263">
        <f ca="1">M8-J8</f>
        <v>1.7709052110013745</v>
      </c>
      <c r="O8" s="262">
        <f>1/(1+'[93]Asumsi I'!$C$3)^(KKF!A8)</f>
        <v>0.89285714285714279</v>
      </c>
      <c r="P8" s="263">
        <f ca="1">O8*N8</f>
        <v>1.5811653669655128</v>
      </c>
      <c r="Q8" s="263">
        <f ca="1">Q7+P8</f>
        <v>5.4139352208859712</v>
      </c>
      <c r="S8" s="251" t="str">
        <f t="shared" ref="S8:S32" ca="1" si="3">IF(Q8&lt;0,"a","")</f>
        <v/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5760</v>
      </c>
      <c r="D9" s="263">
        <f t="shared" ref="D9:D32" si="5">C9*4/24</f>
        <v>960</v>
      </c>
      <c r="E9" s="263">
        <f t="shared" si="0"/>
        <v>4800</v>
      </c>
      <c r="F9" s="261"/>
      <c r="G9" s="265">
        <f ca="1">DATA!$D$11/1000000</f>
        <v>0.16550391874500001</v>
      </c>
      <c r="H9" s="265">
        <f>C9*DATA!$D$5/1000000</f>
        <v>6.244560264306724</v>
      </c>
      <c r="I9" s="265">
        <f>(C9*DATA!$D$5*DATA!$D$7)/1000000</f>
        <v>0.14050260594690128</v>
      </c>
      <c r="J9" s="263">
        <f t="shared" ca="1" si="1"/>
        <v>6.5505667889986254</v>
      </c>
      <c r="K9" s="263"/>
      <c r="L9" s="263">
        <f>((D9*DATA!$D$23)/1000000)+((E9*DATA!$D$24)/1000000)</f>
        <v>8.321472</v>
      </c>
      <c r="M9" s="263">
        <f t="shared" si="2"/>
        <v>8.321472</v>
      </c>
      <c r="N9" s="263">
        <f t="shared" ref="N9:N32" ca="1" si="6">M9-J9</f>
        <v>1.7709052110013745</v>
      </c>
      <c r="O9" s="269">
        <f>1/(1+'[93]Asumsi I'!$C$3)^(KKF!A9)</f>
        <v>0.79719387755102034</v>
      </c>
      <c r="P9" s="263">
        <f t="shared" ref="P9:P32" ca="1" si="7">O9*N9</f>
        <v>1.4117547919334936</v>
      </c>
      <c r="Q9" s="263">
        <f ca="1">Q8+P9</f>
        <v>6.8256900128194644</v>
      </c>
      <c r="S9" s="251" t="str">
        <f t="shared" ca="1" si="3"/>
        <v/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5760</v>
      </c>
      <c r="D10" s="263">
        <f t="shared" si="5"/>
        <v>960</v>
      </c>
      <c r="E10" s="263">
        <f t="shared" si="0"/>
        <v>4800</v>
      </c>
      <c r="F10" s="261"/>
      <c r="G10" s="265">
        <f ca="1">DATA!$D$11/1000000</f>
        <v>0.16550391874500001</v>
      </c>
      <c r="H10" s="265">
        <f>C10*DATA!$D$5/1000000</f>
        <v>6.244560264306724</v>
      </c>
      <c r="I10" s="265">
        <f>(C10*DATA!$D$5*DATA!$D$7)/1000000</f>
        <v>0.14050260594690128</v>
      </c>
      <c r="J10" s="263">
        <f t="shared" ca="1" si="1"/>
        <v>6.5505667889986254</v>
      </c>
      <c r="K10" s="261"/>
      <c r="L10" s="263">
        <f>((D10*DATA!$D$23)/1000000)+((E10*DATA!$D$24)/1000000)</f>
        <v>8.321472</v>
      </c>
      <c r="M10" s="263">
        <f t="shared" si="2"/>
        <v>8.321472</v>
      </c>
      <c r="N10" s="263">
        <f t="shared" ca="1" si="6"/>
        <v>1.7709052110013745</v>
      </c>
      <c r="O10" s="262">
        <f>1/(1+'[93]Asumsi I'!$C$3)^(KKF!A10)</f>
        <v>0.71178024781341087</v>
      </c>
      <c r="P10" s="263">
        <f t="shared" ca="1" si="7"/>
        <v>1.2604953499406191</v>
      </c>
      <c r="Q10" s="263">
        <f t="shared" ref="Q10:Q30" ca="1" si="9">Q9+P10</f>
        <v>8.0861853627600837</v>
      </c>
      <c r="S10" s="251" t="str">
        <f t="shared" ca="1" si="3"/>
        <v/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5760</v>
      </c>
      <c r="D11" s="263">
        <f t="shared" si="5"/>
        <v>960</v>
      </c>
      <c r="E11" s="263">
        <f t="shared" si="0"/>
        <v>4800</v>
      </c>
      <c r="F11" s="261"/>
      <c r="G11" s="265">
        <f ca="1">DATA!$D$11/1000000</f>
        <v>0.16550391874500001</v>
      </c>
      <c r="H11" s="265">
        <f>C11*DATA!$D$5/1000000</f>
        <v>6.244560264306724</v>
      </c>
      <c r="I11" s="265">
        <f>(C11*DATA!$D$5*DATA!$D$7)/1000000</f>
        <v>0.14050260594690128</v>
      </c>
      <c r="J11" s="263">
        <f t="shared" ca="1" si="1"/>
        <v>6.5505667889986254</v>
      </c>
      <c r="K11" s="261"/>
      <c r="L11" s="263">
        <f>((D11*DATA!$D$23)/1000000)+((E11*DATA!$D$24)/1000000)</f>
        <v>8.321472</v>
      </c>
      <c r="M11" s="263">
        <f t="shared" si="2"/>
        <v>8.321472</v>
      </c>
      <c r="N11" s="263">
        <f t="shared" ca="1" si="6"/>
        <v>1.7709052110013745</v>
      </c>
      <c r="O11" s="262">
        <f>1/(1+'[93]Asumsi I'!$C$3)^(KKF!A11)</f>
        <v>0.63551807840483121</v>
      </c>
      <c r="P11" s="263">
        <f t="shared" ca="1" si="7"/>
        <v>1.1254422767326957</v>
      </c>
      <c r="Q11" s="263">
        <f t="shared" ca="1" si="9"/>
        <v>9.2116276394927787</v>
      </c>
      <c r="S11" s="251" t="str">
        <f t="shared" ca="1" si="3"/>
        <v/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5760</v>
      </c>
      <c r="D12" s="263">
        <f t="shared" si="5"/>
        <v>960</v>
      </c>
      <c r="E12" s="263">
        <f t="shared" si="0"/>
        <v>4800</v>
      </c>
      <c r="F12" s="261"/>
      <c r="G12" s="265">
        <f ca="1">DATA!$D$11/1000000</f>
        <v>0.16550391874500001</v>
      </c>
      <c r="H12" s="265">
        <f>C12*DATA!$D$5/1000000</f>
        <v>6.244560264306724</v>
      </c>
      <c r="I12" s="265">
        <f>(C12*DATA!$D$5*DATA!$D$7)/1000000</f>
        <v>0.14050260594690128</v>
      </c>
      <c r="J12" s="263">
        <f t="shared" ca="1" si="1"/>
        <v>6.5505667889986254</v>
      </c>
      <c r="K12" s="261"/>
      <c r="L12" s="263">
        <f>((D12*DATA!$D$23)/1000000)+((E12*DATA!$D$24)/1000000)</f>
        <v>8.321472</v>
      </c>
      <c r="M12" s="263">
        <f t="shared" si="2"/>
        <v>8.321472</v>
      </c>
      <c r="N12" s="263">
        <f t="shared" ca="1" si="6"/>
        <v>1.7709052110013745</v>
      </c>
      <c r="O12" s="262">
        <f>1/(1+'[93]Asumsi I'!$C$3)^(KKF!A12)</f>
        <v>0.56742685571859919</v>
      </c>
      <c r="P12" s="263">
        <f t="shared" ca="1" si="7"/>
        <v>1.0048591756541925</v>
      </c>
      <c r="Q12" s="263">
        <f t="shared" ca="1" si="9"/>
        <v>10.216486815146972</v>
      </c>
      <c r="S12" s="251" t="str">
        <f t="shared" ca="1" si="3"/>
        <v/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5760</v>
      </c>
      <c r="D13" s="263">
        <f t="shared" si="5"/>
        <v>960</v>
      </c>
      <c r="E13" s="263">
        <f t="shared" si="0"/>
        <v>4800</v>
      </c>
      <c r="F13" s="261"/>
      <c r="G13" s="265">
        <f ca="1">DATA!$D$11/1000000</f>
        <v>0.16550391874500001</v>
      </c>
      <c r="H13" s="265">
        <f>C13*DATA!$D$5/1000000</f>
        <v>6.244560264306724</v>
      </c>
      <c r="I13" s="265">
        <f>(C13*DATA!$D$5*DATA!$D$7)/1000000</f>
        <v>0.14050260594690128</v>
      </c>
      <c r="J13" s="263">
        <f t="shared" ca="1" si="1"/>
        <v>6.5505667889986254</v>
      </c>
      <c r="K13" s="261"/>
      <c r="L13" s="263">
        <f>((D13*DATA!$D$23)/1000000)+((E13*DATA!$D$24)/1000000)</f>
        <v>8.321472</v>
      </c>
      <c r="M13" s="263">
        <f t="shared" si="2"/>
        <v>8.321472</v>
      </c>
      <c r="N13" s="263">
        <f t="shared" ca="1" si="6"/>
        <v>1.7709052110013745</v>
      </c>
      <c r="O13" s="262">
        <f>1/(1+'[93]Asumsi I'!$C$3)^(KKF!A13)</f>
        <v>0.50663112117732068</v>
      </c>
      <c r="P13" s="263">
        <f t="shared" ca="1" si="7"/>
        <v>0.89719569254838605</v>
      </c>
      <c r="Q13" s="263">
        <f t="shared" ca="1" si="9"/>
        <v>11.113682507695358</v>
      </c>
      <c r="S13" s="251" t="str">
        <f t="shared" ca="1" si="3"/>
        <v/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5760</v>
      </c>
      <c r="D14" s="263">
        <f t="shared" si="5"/>
        <v>960</v>
      </c>
      <c r="E14" s="263">
        <f t="shared" si="0"/>
        <v>4800</v>
      </c>
      <c r="F14" s="261"/>
      <c r="G14" s="265">
        <f ca="1">DATA!$D$11/1000000</f>
        <v>0.16550391874500001</v>
      </c>
      <c r="H14" s="265">
        <f>C14*DATA!$D$5/1000000</f>
        <v>6.244560264306724</v>
      </c>
      <c r="I14" s="265">
        <f>(C14*DATA!$D$5*DATA!$D$7)/1000000</f>
        <v>0.14050260594690128</v>
      </c>
      <c r="J14" s="263">
        <f t="shared" ca="1" si="1"/>
        <v>6.5505667889986254</v>
      </c>
      <c r="K14" s="261"/>
      <c r="L14" s="263">
        <f>((D14*DATA!$D$23)/1000000)+((E14*DATA!$D$24)/1000000)</f>
        <v>8.321472</v>
      </c>
      <c r="M14" s="263">
        <f t="shared" si="2"/>
        <v>8.321472</v>
      </c>
      <c r="N14" s="263">
        <f t="shared" ca="1" si="6"/>
        <v>1.7709052110013745</v>
      </c>
      <c r="O14" s="262">
        <f>1/(1+'[93]Asumsi I'!$C$3)^(KKF!A14)</f>
        <v>0.45234921533689343</v>
      </c>
      <c r="P14" s="263">
        <f t="shared" ca="1" si="7"/>
        <v>0.80106758263248745</v>
      </c>
      <c r="Q14" s="263">
        <f t="shared" ca="1" si="9"/>
        <v>11.914750090327846</v>
      </c>
      <c r="S14" s="251" t="str">
        <f t="shared" ca="1" si="3"/>
        <v/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5760</v>
      </c>
      <c r="D15" s="263">
        <f t="shared" si="5"/>
        <v>960</v>
      </c>
      <c r="E15" s="263">
        <f t="shared" si="0"/>
        <v>4800</v>
      </c>
      <c r="F15" s="261"/>
      <c r="G15" s="265">
        <f ca="1">DATA!$D$11/1000000</f>
        <v>0.16550391874500001</v>
      </c>
      <c r="H15" s="265">
        <f>C15*DATA!$D$5/1000000</f>
        <v>6.244560264306724</v>
      </c>
      <c r="I15" s="265">
        <f>(C15*DATA!$D$5*DATA!$D$7)/1000000</f>
        <v>0.14050260594690128</v>
      </c>
      <c r="J15" s="263">
        <f t="shared" ca="1" si="1"/>
        <v>6.5505667889986254</v>
      </c>
      <c r="K15" s="261"/>
      <c r="L15" s="263">
        <f>((D15*DATA!$D$23)/1000000)+((E15*DATA!$D$24)/1000000)</f>
        <v>8.321472</v>
      </c>
      <c r="M15" s="263">
        <f t="shared" si="2"/>
        <v>8.321472</v>
      </c>
      <c r="N15" s="263">
        <f t="shared" ca="1" si="6"/>
        <v>1.7709052110013745</v>
      </c>
      <c r="O15" s="262">
        <f>1/(1+'[93]Asumsi I'!$C$3)^(KKF!A15)</f>
        <v>0.4038832279793691</v>
      </c>
      <c r="P15" s="263">
        <f t="shared" ca="1" si="7"/>
        <v>0.71523891306472087</v>
      </c>
      <c r="Q15" s="263">
        <f t="shared" ca="1" si="9"/>
        <v>12.629989003392566</v>
      </c>
      <c r="S15" s="251" t="str">
        <f t="shared" ca="1" si="3"/>
        <v/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5760</v>
      </c>
      <c r="D16" s="263">
        <f t="shared" si="5"/>
        <v>960</v>
      </c>
      <c r="E16" s="263">
        <f t="shared" si="0"/>
        <v>4800</v>
      </c>
      <c r="F16" s="261"/>
      <c r="G16" s="265">
        <f ca="1">DATA!$D$11/1000000</f>
        <v>0.16550391874500001</v>
      </c>
      <c r="H16" s="265">
        <f>C16*DATA!$D$5/1000000</f>
        <v>6.244560264306724</v>
      </c>
      <c r="I16" s="265">
        <f>(C16*DATA!$D$5*DATA!$D$7)/1000000</f>
        <v>0.14050260594690128</v>
      </c>
      <c r="J16" s="263">
        <f t="shared" ca="1" si="1"/>
        <v>6.5505667889986254</v>
      </c>
      <c r="K16" s="261"/>
      <c r="L16" s="263">
        <f>((D16*DATA!$D$23)/1000000)+((E16*DATA!$D$24)/1000000)</f>
        <v>8.321472</v>
      </c>
      <c r="M16" s="263">
        <f t="shared" si="2"/>
        <v>8.321472</v>
      </c>
      <c r="N16" s="263">
        <f t="shared" ca="1" si="6"/>
        <v>1.7709052110013745</v>
      </c>
      <c r="O16" s="262">
        <f>1/(1+'[93]Asumsi I'!$C$3)^(KKF!A16)</f>
        <v>0.36061002498157957</v>
      </c>
      <c r="P16" s="263">
        <f t="shared" ca="1" si="7"/>
        <v>0.63860617237921513</v>
      </c>
      <c r="Q16" s="263">
        <f t="shared" ca="1" si="9"/>
        <v>13.268595175771782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5760</v>
      </c>
      <c r="D17" s="263">
        <f t="shared" si="5"/>
        <v>960</v>
      </c>
      <c r="E17" s="263">
        <f t="shared" si="0"/>
        <v>4800</v>
      </c>
      <c r="F17" s="261"/>
      <c r="G17" s="265">
        <f ca="1">DATA!$D$11/1000000</f>
        <v>0.16550391874500001</v>
      </c>
      <c r="H17" s="265">
        <f>C17*DATA!$D$5/1000000</f>
        <v>6.244560264306724</v>
      </c>
      <c r="I17" s="265">
        <f>(C17*DATA!$D$5*DATA!$D$7)/1000000</f>
        <v>0.14050260594690128</v>
      </c>
      <c r="J17" s="263">
        <f t="shared" ca="1" si="1"/>
        <v>6.5505667889986254</v>
      </c>
      <c r="K17" s="261"/>
      <c r="L17" s="263">
        <f>((D17*DATA!$D$23)/1000000)+((E17*DATA!$D$24)/1000000)</f>
        <v>8.321472</v>
      </c>
      <c r="M17" s="263">
        <f t="shared" si="2"/>
        <v>8.321472</v>
      </c>
      <c r="N17" s="263">
        <f t="shared" ca="1" si="6"/>
        <v>1.7709052110013745</v>
      </c>
      <c r="O17" s="262">
        <f>1/(1+'[93]Asumsi I'!$C$3)^(KKF!A17)</f>
        <v>0.32197323659069599</v>
      </c>
      <c r="P17" s="263">
        <f t="shared" ca="1" si="7"/>
        <v>0.57018408248144192</v>
      </c>
      <c r="Q17" s="263">
        <f t="shared" ca="1" si="9"/>
        <v>13.838779258253224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5760</v>
      </c>
      <c r="D18" s="263">
        <f t="shared" si="5"/>
        <v>960</v>
      </c>
      <c r="E18" s="263">
        <f t="shared" si="0"/>
        <v>4800</v>
      </c>
      <c r="F18" s="261"/>
      <c r="G18" s="265">
        <f ca="1">DATA!$D$11/1000000</f>
        <v>0.16550391874500001</v>
      </c>
      <c r="H18" s="265">
        <f>C18*DATA!$D$5/1000000</f>
        <v>6.244560264306724</v>
      </c>
      <c r="I18" s="265">
        <f>(C18*DATA!$D$5*DATA!$D$7)/1000000</f>
        <v>0.14050260594690128</v>
      </c>
      <c r="J18" s="263">
        <f t="shared" ca="1" si="1"/>
        <v>6.5505667889986254</v>
      </c>
      <c r="K18" s="261"/>
      <c r="L18" s="263">
        <f>((D18*DATA!$D$23)/1000000)+((E18*DATA!$D$24)/1000000)</f>
        <v>8.321472</v>
      </c>
      <c r="M18" s="263">
        <f t="shared" si="2"/>
        <v>8.321472</v>
      </c>
      <c r="N18" s="263">
        <f t="shared" ca="1" si="6"/>
        <v>1.7709052110013745</v>
      </c>
      <c r="O18" s="262">
        <f>1/(1+'[93]Asumsi I'!$C$3)^(KKF!A18)</f>
        <v>0.28747610409883567</v>
      </c>
      <c r="P18" s="263">
        <f t="shared" ca="1" si="7"/>
        <v>0.50909293078700169</v>
      </c>
      <c r="Q18" s="263">
        <f t="shared" ca="1" si="9"/>
        <v>14.347872189040226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5760</v>
      </c>
      <c r="D19" s="263">
        <f t="shared" si="5"/>
        <v>960</v>
      </c>
      <c r="E19" s="263">
        <f t="shared" si="0"/>
        <v>4800</v>
      </c>
      <c r="F19" s="261"/>
      <c r="G19" s="265">
        <f ca="1">DATA!$D$11/1000000</f>
        <v>0.16550391874500001</v>
      </c>
      <c r="H19" s="265">
        <f>C19*DATA!$D$5/1000000</f>
        <v>6.244560264306724</v>
      </c>
      <c r="I19" s="265">
        <f>(C19*DATA!$D$5*DATA!$D$7)/1000000</f>
        <v>0.14050260594690128</v>
      </c>
      <c r="J19" s="263">
        <f t="shared" ca="1" si="1"/>
        <v>6.5505667889986254</v>
      </c>
      <c r="K19" s="261"/>
      <c r="L19" s="263">
        <f>((D19*DATA!$D$23)/1000000)+((E19*DATA!$D$24)/1000000)</f>
        <v>8.321472</v>
      </c>
      <c r="M19" s="263">
        <f t="shared" si="2"/>
        <v>8.321472</v>
      </c>
      <c r="N19" s="263">
        <f t="shared" ca="1" si="6"/>
        <v>1.7709052110013745</v>
      </c>
      <c r="O19" s="262">
        <f>1/(1+'[93]Asumsi I'!$C$3)^(KKF!A19)</f>
        <v>0.25667509294538904</v>
      </c>
      <c r="P19" s="263">
        <f t="shared" ca="1" si="7"/>
        <v>0.45454725963125159</v>
      </c>
      <c r="Q19" s="263">
        <f t="shared" ca="1" si="9"/>
        <v>14.802419448671477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5760</v>
      </c>
      <c r="D20" s="263">
        <f t="shared" si="5"/>
        <v>960</v>
      </c>
      <c r="E20" s="263">
        <f t="shared" si="0"/>
        <v>4800</v>
      </c>
      <c r="F20" s="261"/>
      <c r="G20" s="265">
        <f ca="1">DATA!$D$11/1000000</f>
        <v>0.16550391874500001</v>
      </c>
      <c r="H20" s="265">
        <f>C20*DATA!$D$5/1000000</f>
        <v>6.244560264306724</v>
      </c>
      <c r="I20" s="265">
        <f>(C20*DATA!$D$5*DATA!$D$7)/1000000</f>
        <v>0.14050260594690128</v>
      </c>
      <c r="J20" s="263">
        <f t="shared" ca="1" si="1"/>
        <v>6.5505667889986254</v>
      </c>
      <c r="K20" s="261"/>
      <c r="L20" s="263">
        <f>((D20*DATA!$D$23)/1000000)+((E20*DATA!$D$24)/1000000)</f>
        <v>8.321472</v>
      </c>
      <c r="M20" s="263">
        <f t="shared" si="2"/>
        <v>8.321472</v>
      </c>
      <c r="N20" s="263">
        <f t="shared" ca="1" si="6"/>
        <v>1.7709052110013745</v>
      </c>
      <c r="O20" s="262">
        <f>1/(1+'[93]Asumsi I'!$C$3)^(KKF!A20)</f>
        <v>0.22917419012981158</v>
      </c>
      <c r="P20" s="263">
        <f t="shared" ca="1" si="7"/>
        <v>0.40584576752790308</v>
      </c>
      <c r="Q20" s="263">
        <f t="shared" ca="1" si="9"/>
        <v>15.208265216199381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5760</v>
      </c>
      <c r="D21" s="263">
        <f t="shared" si="5"/>
        <v>960</v>
      </c>
      <c r="E21" s="263">
        <f t="shared" si="0"/>
        <v>4800</v>
      </c>
      <c r="F21" s="261"/>
      <c r="G21" s="265">
        <f ca="1">DATA!$D$11/1000000</f>
        <v>0.16550391874500001</v>
      </c>
      <c r="H21" s="265">
        <f>C21*DATA!$D$5/1000000</f>
        <v>6.244560264306724</v>
      </c>
      <c r="I21" s="265">
        <f>(C21*DATA!$D$5*DATA!$D$7)/1000000</f>
        <v>0.14050260594690128</v>
      </c>
      <c r="J21" s="263">
        <f t="shared" ca="1" si="1"/>
        <v>6.5505667889986254</v>
      </c>
      <c r="K21" s="261"/>
      <c r="L21" s="263">
        <f>((D21*DATA!$D$23)/1000000)+((E21*DATA!$D$24)/1000000)</f>
        <v>8.321472</v>
      </c>
      <c r="M21" s="263">
        <f t="shared" si="2"/>
        <v>8.321472</v>
      </c>
      <c r="N21" s="263">
        <f t="shared" ca="1" si="6"/>
        <v>1.7709052110013745</v>
      </c>
      <c r="O21" s="262">
        <f>1/(1+'[93]Asumsi I'!$C$3)^(KKF!A21)</f>
        <v>0.20461981261590317</v>
      </c>
      <c r="P21" s="263">
        <f t="shared" ca="1" si="7"/>
        <v>0.36236229243562773</v>
      </c>
      <c r="Q21" s="263">
        <f t="shared" ca="1" si="9"/>
        <v>15.570627508635008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5760</v>
      </c>
      <c r="D22" s="263">
        <f t="shared" si="5"/>
        <v>960</v>
      </c>
      <c r="E22" s="263">
        <f t="shared" si="0"/>
        <v>4800</v>
      </c>
      <c r="F22" s="261"/>
      <c r="G22" s="265">
        <f ca="1">DATA!$D$11/1000000</f>
        <v>0.16550391874500001</v>
      </c>
      <c r="H22" s="265">
        <f>C22*DATA!$D$5/1000000</f>
        <v>6.244560264306724</v>
      </c>
      <c r="I22" s="265">
        <f>(C22*DATA!$D$5*DATA!$D$7)/1000000</f>
        <v>0.14050260594690128</v>
      </c>
      <c r="J22" s="263">
        <f t="shared" ca="1" si="1"/>
        <v>6.5505667889986254</v>
      </c>
      <c r="K22" s="261"/>
      <c r="L22" s="263">
        <f>((D22*DATA!$D$23)/1000000)+((E22*DATA!$D$24)/1000000)</f>
        <v>8.321472</v>
      </c>
      <c r="M22" s="263">
        <f t="shared" si="2"/>
        <v>8.321472</v>
      </c>
      <c r="N22" s="263">
        <f t="shared" ca="1" si="6"/>
        <v>1.7709052110013745</v>
      </c>
      <c r="O22" s="262">
        <f>1/(1+'[93]Asumsi I'!$C$3)^(KKF!A22)</f>
        <v>0.18269626126419927</v>
      </c>
      <c r="P22" s="263">
        <f t="shared" ca="1" si="7"/>
        <v>0.32353776110323906</v>
      </c>
      <c r="Q22" s="263">
        <f t="shared" ca="1" si="9"/>
        <v>15.894165269738247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5760</v>
      </c>
      <c r="D23" s="263">
        <f t="shared" si="5"/>
        <v>960</v>
      </c>
      <c r="E23" s="263">
        <f t="shared" si="0"/>
        <v>4800</v>
      </c>
      <c r="F23" s="261"/>
      <c r="G23" s="265">
        <f ca="1">DATA!$D$11/1000000</f>
        <v>0.16550391874500001</v>
      </c>
      <c r="H23" s="265">
        <f>C23*DATA!$D$5/1000000</f>
        <v>6.244560264306724</v>
      </c>
      <c r="I23" s="265">
        <f>(C23*DATA!$D$5*DATA!$D$7)/1000000</f>
        <v>0.14050260594690128</v>
      </c>
      <c r="J23" s="263">
        <f t="shared" ca="1" si="1"/>
        <v>6.5505667889986254</v>
      </c>
      <c r="K23" s="261"/>
      <c r="L23" s="263">
        <f>((D23*DATA!$D$23)/1000000)+((E23*DATA!$D$24)/1000000)</f>
        <v>8.321472</v>
      </c>
      <c r="M23" s="263">
        <f t="shared" si="2"/>
        <v>8.321472</v>
      </c>
      <c r="N23" s="263">
        <f t="shared" ca="1" si="6"/>
        <v>1.7709052110013745</v>
      </c>
      <c r="O23" s="262">
        <f>1/(1+'[93]Asumsi I'!$C$3)^(KKF!A23)</f>
        <v>0.16312166184303503</v>
      </c>
      <c r="P23" s="263">
        <f t="shared" ca="1" si="7"/>
        <v>0.28887300098503482</v>
      </c>
      <c r="Q23" s="263">
        <f t="shared" ca="1" si="9"/>
        <v>16.18303827072328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5760</v>
      </c>
      <c r="D24" s="263">
        <f t="shared" si="5"/>
        <v>960</v>
      </c>
      <c r="E24" s="263">
        <f t="shared" si="0"/>
        <v>4800</v>
      </c>
      <c r="F24" s="261"/>
      <c r="G24" s="265">
        <f ca="1">DATA!$D$11/1000000</f>
        <v>0.16550391874500001</v>
      </c>
      <c r="H24" s="265">
        <f>C24*DATA!$D$5/1000000</f>
        <v>6.244560264306724</v>
      </c>
      <c r="I24" s="265">
        <f>(C24*DATA!$D$5*DATA!$D$7)/1000000</f>
        <v>0.14050260594690128</v>
      </c>
      <c r="J24" s="263">
        <f t="shared" ca="1" si="1"/>
        <v>6.5505667889986254</v>
      </c>
      <c r="K24" s="261"/>
      <c r="L24" s="263">
        <f>((D24*DATA!$D$23)/1000000)+((E24*DATA!$D$24)/1000000)</f>
        <v>8.321472</v>
      </c>
      <c r="M24" s="263">
        <f t="shared" si="2"/>
        <v>8.321472</v>
      </c>
      <c r="N24" s="263">
        <f t="shared" ca="1" si="6"/>
        <v>1.7709052110013745</v>
      </c>
      <c r="O24" s="262">
        <f>1/(1+'[93]Asumsi I'!$C$3)^(KKF!A24)</f>
        <v>0.14564434093128129</v>
      </c>
      <c r="P24" s="263">
        <f t="shared" ca="1" si="7"/>
        <v>0.25792232230806683</v>
      </c>
      <c r="Q24" s="263">
        <f t="shared" ca="1" si="9"/>
        <v>16.440960593031345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5760</v>
      </c>
      <c r="D25" s="263">
        <f t="shared" si="5"/>
        <v>960</v>
      </c>
      <c r="E25" s="263">
        <f t="shared" si="0"/>
        <v>4800</v>
      </c>
      <c r="F25" s="261"/>
      <c r="G25" s="265">
        <f ca="1">DATA!$D$11/1000000</f>
        <v>0.16550391874500001</v>
      </c>
      <c r="H25" s="265">
        <f>C25*DATA!$D$5/1000000</f>
        <v>6.244560264306724</v>
      </c>
      <c r="I25" s="265">
        <f>(C25*DATA!$D$5*DATA!$D$7)/1000000</f>
        <v>0.14050260594690128</v>
      </c>
      <c r="J25" s="263">
        <f t="shared" ca="1" si="1"/>
        <v>6.5505667889986254</v>
      </c>
      <c r="K25" s="261"/>
      <c r="L25" s="263">
        <f>((D25*DATA!$D$23)/1000000)+((E25*DATA!$D$24)/1000000)</f>
        <v>8.321472</v>
      </c>
      <c r="M25" s="263">
        <f t="shared" si="2"/>
        <v>8.321472</v>
      </c>
      <c r="N25" s="263">
        <f t="shared" ca="1" si="6"/>
        <v>1.7709052110013745</v>
      </c>
      <c r="O25" s="262">
        <f>1/(1+'[93]Asumsi I'!$C$3)^(KKF!A25)</f>
        <v>0.13003959011721541</v>
      </c>
      <c r="P25" s="263">
        <f t="shared" ca="1" si="7"/>
        <v>0.23028778777505962</v>
      </c>
      <c r="Q25" s="263">
        <f t="shared" ca="1" si="9"/>
        <v>16.671248380806404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5760</v>
      </c>
      <c r="D26" s="263">
        <f t="shared" si="5"/>
        <v>960</v>
      </c>
      <c r="E26" s="263">
        <f t="shared" si="0"/>
        <v>4800</v>
      </c>
      <c r="F26" s="261"/>
      <c r="G26" s="265">
        <f ca="1">DATA!$D$11/1000000</f>
        <v>0.16550391874500001</v>
      </c>
      <c r="H26" s="265">
        <f>C26*DATA!$D$5/1000000</f>
        <v>6.244560264306724</v>
      </c>
      <c r="I26" s="265">
        <f>(C26*DATA!$D$5*DATA!$D$7)/1000000</f>
        <v>0.14050260594690128</v>
      </c>
      <c r="J26" s="263">
        <f t="shared" ca="1" si="1"/>
        <v>6.5505667889986254</v>
      </c>
      <c r="K26" s="261"/>
      <c r="L26" s="263">
        <f>((D26*DATA!$D$23)/1000000)+((E26*DATA!$D$24)/1000000)</f>
        <v>8.321472</v>
      </c>
      <c r="M26" s="263">
        <f t="shared" si="2"/>
        <v>8.321472</v>
      </c>
      <c r="N26" s="263">
        <f t="shared" ca="1" si="6"/>
        <v>1.7709052110013745</v>
      </c>
      <c r="O26" s="262">
        <f>1/(1+'[93]Asumsi I'!$C$3)^(KKF!A26)</f>
        <v>0.1161067768903709</v>
      </c>
      <c r="P26" s="263">
        <f t="shared" ca="1" si="7"/>
        <v>0.2056140962277318</v>
      </c>
      <c r="Q26" s="263">
        <f t="shared" ca="1" si="9"/>
        <v>16.876862477034134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5760</v>
      </c>
      <c r="D27" s="263">
        <f t="shared" si="5"/>
        <v>960</v>
      </c>
      <c r="E27" s="263">
        <f t="shared" si="0"/>
        <v>4800</v>
      </c>
      <c r="F27" s="261"/>
      <c r="G27" s="265">
        <f ca="1">DATA!$D$11/1000000</f>
        <v>0.16550391874500001</v>
      </c>
      <c r="H27" s="265">
        <f>C27*DATA!$D$5/1000000</f>
        <v>6.244560264306724</v>
      </c>
      <c r="I27" s="265">
        <f>(C27*DATA!$D$5*DATA!$D$7)/1000000</f>
        <v>0.14050260594690128</v>
      </c>
      <c r="J27" s="263">
        <f t="shared" ca="1" si="1"/>
        <v>6.5505667889986254</v>
      </c>
      <c r="K27" s="261"/>
      <c r="L27" s="263">
        <f>((D27*DATA!$D$23)/1000000)+((E27*DATA!$D$24)/1000000)</f>
        <v>8.321472</v>
      </c>
      <c r="M27" s="263">
        <f t="shared" si="2"/>
        <v>8.321472</v>
      </c>
      <c r="N27" s="263">
        <f t="shared" ca="1" si="6"/>
        <v>1.7709052110013745</v>
      </c>
      <c r="O27" s="262">
        <f>1/(1+'[93]Asumsi I'!$C$3)^(KKF!A27)</f>
        <v>0.1036667650806883</v>
      </c>
      <c r="P27" s="263">
        <f t="shared" ca="1" si="7"/>
        <v>0.18358401448904624</v>
      </c>
      <c r="Q27" s="263">
        <f t="shared" ca="1" si="9"/>
        <v>17.06044649152318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5760</v>
      </c>
      <c r="D28" s="263">
        <f t="shared" si="5"/>
        <v>960</v>
      </c>
      <c r="E28" s="263">
        <f t="shared" si="0"/>
        <v>4800</v>
      </c>
      <c r="F28" s="261"/>
      <c r="G28" s="265">
        <f ca="1">DATA!$D$11/1000000</f>
        <v>0.16550391874500001</v>
      </c>
      <c r="H28" s="265">
        <f>C28*DATA!$D$5/1000000</f>
        <v>6.244560264306724</v>
      </c>
      <c r="I28" s="265">
        <f>(C28*DATA!$D$5*DATA!$D$7)/1000000</f>
        <v>0.14050260594690128</v>
      </c>
      <c r="J28" s="263">
        <f t="shared" ca="1" si="1"/>
        <v>6.5505667889986254</v>
      </c>
      <c r="K28" s="261"/>
      <c r="L28" s="263">
        <f>((D28*DATA!$D$23)/1000000)+((E28*DATA!$D$24)/1000000)</f>
        <v>8.321472</v>
      </c>
      <c r="M28" s="263">
        <f t="shared" si="2"/>
        <v>8.321472</v>
      </c>
      <c r="N28" s="263">
        <f t="shared" ca="1" si="6"/>
        <v>1.7709052110013745</v>
      </c>
      <c r="O28" s="262">
        <f>1/(1+'[93]Asumsi I'!$C$3)^(KKF!A28)</f>
        <v>9.2559611679185971E-2</v>
      </c>
      <c r="P28" s="263">
        <f t="shared" ca="1" si="7"/>
        <v>0.16391429865093413</v>
      </c>
      <c r="Q28" s="263">
        <f t="shared" ca="1" si="9"/>
        <v>17.224360790174114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5760</v>
      </c>
      <c r="D29" s="263">
        <f t="shared" si="5"/>
        <v>960</v>
      </c>
      <c r="E29" s="263">
        <f t="shared" si="0"/>
        <v>4800</v>
      </c>
      <c r="F29" s="261"/>
      <c r="G29" s="265">
        <f ca="1">DATA!$D$11/1000000</f>
        <v>0.16550391874500001</v>
      </c>
      <c r="H29" s="265">
        <f>C29*DATA!$D$5/1000000</f>
        <v>6.244560264306724</v>
      </c>
      <c r="I29" s="265">
        <f>(C29*DATA!$D$5*DATA!$D$7)/1000000</f>
        <v>0.14050260594690128</v>
      </c>
      <c r="J29" s="263">
        <f t="shared" ca="1" si="1"/>
        <v>6.5505667889986254</v>
      </c>
      <c r="K29" s="261"/>
      <c r="L29" s="263">
        <f>((D29*DATA!$D$23)/1000000)+((E29*DATA!$D$24)/1000000)</f>
        <v>8.321472</v>
      </c>
      <c r="M29" s="263">
        <f t="shared" si="2"/>
        <v>8.321472</v>
      </c>
      <c r="N29" s="263">
        <f t="shared" ca="1" si="6"/>
        <v>1.7709052110013745</v>
      </c>
      <c r="O29" s="262">
        <f>1/(1+'[93]Asumsi I'!$C$3)^(KKF!A29)</f>
        <v>8.2642510427844609E-2</v>
      </c>
      <c r="P29" s="263">
        <f t="shared" ca="1" si="7"/>
        <v>0.14635205236690546</v>
      </c>
      <c r="Q29" s="263">
        <f t="shared" ca="1" si="9"/>
        <v>17.370712842541018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5760</v>
      </c>
      <c r="D30" s="263">
        <f t="shared" si="5"/>
        <v>960</v>
      </c>
      <c r="E30" s="263">
        <f t="shared" si="0"/>
        <v>4800</v>
      </c>
      <c r="F30" s="261"/>
      <c r="G30" s="265">
        <f ca="1">DATA!$D$11/1000000</f>
        <v>0.16550391874500001</v>
      </c>
      <c r="H30" s="265">
        <f>C30*DATA!$D$5/1000000</f>
        <v>6.244560264306724</v>
      </c>
      <c r="I30" s="265">
        <f>(C30*DATA!$D$5*DATA!$D$7)/1000000</f>
        <v>0.14050260594690128</v>
      </c>
      <c r="J30" s="263">
        <f t="shared" ca="1" si="1"/>
        <v>6.5505667889986254</v>
      </c>
      <c r="K30" s="261"/>
      <c r="L30" s="263">
        <f>((D30*DATA!$D$23)/1000000)+((E30*DATA!$D$24)/1000000)</f>
        <v>8.321472</v>
      </c>
      <c r="M30" s="263">
        <f t="shared" si="2"/>
        <v>8.321472</v>
      </c>
      <c r="N30" s="263">
        <f t="shared" ca="1" si="6"/>
        <v>1.7709052110013745</v>
      </c>
      <c r="O30" s="262">
        <f>1/(1+'[93]Asumsi I'!$C$3)^(KKF!A30)</f>
        <v>7.3787955739146982E-2</v>
      </c>
      <c r="P30" s="263">
        <f t="shared" ca="1" si="7"/>
        <v>0.13067147532759418</v>
      </c>
      <c r="Q30" s="263">
        <f t="shared" ca="1" si="9"/>
        <v>17.501384317868613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5760</v>
      </c>
      <c r="D31" s="263">
        <f t="shared" si="5"/>
        <v>960</v>
      </c>
      <c r="E31" s="263">
        <f t="shared" si="0"/>
        <v>4800</v>
      </c>
      <c r="F31" s="261"/>
      <c r="G31" s="265">
        <f ca="1">DATA!$D$11/1000000</f>
        <v>0.16550391874500001</v>
      </c>
      <c r="H31" s="265">
        <f>C31*DATA!$D$5/1000000</f>
        <v>6.244560264306724</v>
      </c>
      <c r="I31" s="265">
        <f>(C31*DATA!$D$5*DATA!$D$7)/1000000</f>
        <v>0.14050260594690128</v>
      </c>
      <c r="J31" s="263">
        <f t="shared" ca="1" si="1"/>
        <v>6.5505667889986254</v>
      </c>
      <c r="K31" s="261"/>
      <c r="L31" s="263">
        <f>((D31*DATA!$D$23)/1000000)+((E31*DATA!$D$24)/1000000)</f>
        <v>8.321472</v>
      </c>
      <c r="M31" s="263">
        <f t="shared" si="2"/>
        <v>8.321472</v>
      </c>
      <c r="N31" s="263">
        <f t="shared" ca="1" si="6"/>
        <v>1.7709052110013745</v>
      </c>
      <c r="O31" s="262">
        <f>1/(1+'[93]Asumsi I'!$C$3)^(KKF!A31)</f>
        <v>6.5882103338524081E-2</v>
      </c>
      <c r="P31" s="263">
        <f t="shared" ca="1" si="7"/>
        <v>0.11667096011392335</v>
      </c>
      <c r="Q31" s="263">
        <f ca="1">Q30+P31</f>
        <v>17.618055277982535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5760</v>
      </c>
      <c r="D32" s="263">
        <f t="shared" si="5"/>
        <v>960</v>
      </c>
      <c r="E32" s="263">
        <f t="shared" si="0"/>
        <v>4800</v>
      </c>
      <c r="F32" s="261"/>
      <c r="G32" s="265">
        <f ca="1">DATA!$D$11/1000000</f>
        <v>0.16550391874500001</v>
      </c>
      <c r="H32" s="265">
        <f>C32*DATA!$D$5/1000000</f>
        <v>6.244560264306724</v>
      </c>
      <c r="I32" s="265">
        <f>(C32*DATA!$D$5*DATA!$D$7)/1000000</f>
        <v>0.14050260594690128</v>
      </c>
      <c r="J32" s="263">
        <f t="shared" ca="1" si="1"/>
        <v>6.5505667889986254</v>
      </c>
      <c r="K32" s="261"/>
      <c r="L32" s="263">
        <f>((D32*DATA!$D$23)/1000000)+((E32*DATA!$D$24)/1000000)</f>
        <v>8.321472</v>
      </c>
      <c r="M32" s="263">
        <f t="shared" si="2"/>
        <v>8.321472</v>
      </c>
      <c r="N32" s="263">
        <f t="shared" ca="1" si="6"/>
        <v>1.7709052110013745</v>
      </c>
      <c r="O32" s="262">
        <f>1/(1+'[93]Asumsi I'!$C$3)^(KKF!A32)</f>
        <v>5.8823306552253637E-2</v>
      </c>
      <c r="P32" s="263">
        <f t="shared" ca="1" si="7"/>
        <v>0.10417050010171726</v>
      </c>
      <c r="Q32" s="263">
        <f ca="1">Q31+P32</f>
        <v>17.722225778084251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08" t="s">
        <v>1373</v>
      </c>
      <c r="G33" s="608"/>
      <c r="H33" s="608"/>
      <c r="I33" s="271"/>
      <c r="J33" s="272">
        <f ca="1">SUM(J7:J32)</f>
        <v>174.33322387104513</v>
      </c>
      <c r="K33" s="608" t="s">
        <v>1374</v>
      </c>
      <c r="L33" s="608"/>
      <c r="M33" s="272">
        <f>SUM(M7:M32)</f>
        <v>222.438624</v>
      </c>
      <c r="N33" s="270"/>
      <c r="O33" s="270"/>
      <c r="P33" s="273"/>
      <c r="Q33" s="273"/>
      <c r="S33" s="251">
        <f ca="1">COUNTIF(S7:S32,"a")</f>
        <v>0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5.9681648009286574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1.2759393709402094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15.823415873289509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84"/>
  <sheetViews>
    <sheetView showGridLines="0" zoomScale="70" zoomScaleNormal="70" zoomScaleSheetLayoutView="70" workbookViewId="0">
      <pane ySplit="13" topLeftCell="A54" activePane="bottomLeft" state="frozen"/>
      <selection activeCell="H1093" sqref="H1093"/>
      <selection pane="bottomLeft" activeCell="F62" sqref="F62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2" t="s">
        <v>1036</v>
      </c>
      <c r="P3" s="632"/>
      <c r="Q3" s="293"/>
      <c r="T3" s="291"/>
      <c r="U3" s="292" t="s">
        <v>1041</v>
      </c>
      <c r="V3" s="291"/>
    </row>
    <row r="4" spans="1:22" ht="15.75" customHeight="1">
      <c r="B4" s="633" t="s">
        <v>1023</v>
      </c>
      <c r="C4" s="633"/>
      <c r="D4" s="633"/>
      <c r="E4" s="633"/>
      <c r="F4" s="633"/>
      <c r="G4" s="633"/>
      <c r="H4" s="633"/>
      <c r="I4" s="633"/>
      <c r="J4" s="633"/>
      <c r="K4" s="633"/>
      <c r="O4" s="632"/>
      <c r="P4" s="632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15" t="s">
        <v>1631</v>
      </c>
      <c r="H6" s="616"/>
      <c r="I6" s="616"/>
      <c r="J6" s="616"/>
      <c r="K6" s="616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1633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35" t="s">
        <v>0</v>
      </c>
      <c r="C11" s="637" t="s">
        <v>1</v>
      </c>
      <c r="D11" s="626" t="s">
        <v>42</v>
      </c>
      <c r="E11" s="626" t="s">
        <v>43</v>
      </c>
      <c r="F11" s="626" t="s">
        <v>2</v>
      </c>
      <c r="G11" s="640" t="s">
        <v>41</v>
      </c>
      <c r="H11" s="626" t="s">
        <v>3</v>
      </c>
      <c r="I11" s="626"/>
      <c r="J11" s="626"/>
      <c r="K11" s="627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36"/>
      <c r="C12" s="638"/>
      <c r="D12" s="630"/>
      <c r="E12" s="630"/>
      <c r="F12" s="630"/>
      <c r="G12" s="641"/>
      <c r="H12" s="628" t="s">
        <v>46</v>
      </c>
      <c r="I12" s="628" t="s">
        <v>5</v>
      </c>
      <c r="J12" s="630" t="s">
        <v>47</v>
      </c>
      <c r="K12" s="631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36"/>
      <c r="C13" s="639"/>
      <c r="D13" s="630"/>
      <c r="E13" s="630"/>
      <c r="F13" s="630"/>
      <c r="G13" s="642"/>
      <c r="H13" s="629"/>
      <c r="I13" s="629"/>
      <c r="J13" s="630"/>
      <c r="K13" s="631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19" ca="1" si="0">IF(OR(D14="MDU",D14="MDU-KD"),(IF($O$3="RAB NON MDU","PLN KD",G14*F14)),0)</f>
        <v>0</v>
      </c>
      <c r="I14" s="308">
        <f t="shared" ref="I14:I19" ca="1" si="1">IF(D14="HDW",G14*F14,0)</f>
        <v>0</v>
      </c>
      <c r="J14" s="308">
        <f t="shared" ref="J14:J19" ca="1" si="2">IF(D14="JASA",G14*F14,0)</f>
        <v>0</v>
      </c>
      <c r="K14" s="309">
        <f t="shared" ref="K14:K19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8" ca="1" si="4">IF(OR(D15="MDU",D15="MDU-KD"),(IF($O$3="RAB NON MDU","PLN KD",G15*F15)),0)</f>
        <v>0</v>
      </c>
      <c r="I15" s="308">
        <f t="shared" ref="I15:I18" ca="1" si="5">IF(D15="HDW",G15*F15,0)</f>
        <v>0</v>
      </c>
      <c r="J15" s="308">
        <f t="shared" ref="J15:J18" ca="1" si="6">IF(D15="JASA",G15*F15,0)</f>
        <v>0</v>
      </c>
      <c r="K15" s="309">
        <f t="shared" ref="K15:K18" ca="1" si="7">SUM(H15:J15)</f>
        <v>0</v>
      </c>
      <c r="L15" s="289"/>
      <c r="M15" s="289" t="str">
        <f t="shared" ref="M15:M19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19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4"/>
        <v>0</v>
      </c>
      <c r="I17" s="308">
        <f t="shared" ca="1" si="5"/>
        <v>0</v>
      </c>
      <c r="J17" s="308">
        <f t="shared" ca="1" si="6"/>
        <v>0</v>
      </c>
      <c r="K17" s="309">
        <f t="shared" ca="1" si="7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9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4"/>
        <v>0</v>
      </c>
      <c r="I18" s="308">
        <f t="shared" ca="1" si="5"/>
        <v>0</v>
      </c>
      <c r="J18" s="308">
        <f t="shared" ca="1" si="6"/>
        <v>0</v>
      </c>
      <c r="K18" s="309">
        <f t="shared" ca="1" si="7"/>
        <v>0</v>
      </c>
      <c r="L18" s="289"/>
      <c r="M18" s="289" t="str">
        <f ca="1"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t="shared" ca="1" si="8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20"/>
      <c r="C20" s="417"/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/>
      </c>
      <c r="F20" s="451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ref="H20:H41" ca="1" si="9">IF(OR(D20="MDU",D20="MDU-KD"),(IF($O$3="RAB NON MDU","PLN KD",G20*F20)),0)</f>
        <v>0</v>
      </c>
      <c r="I20" s="308">
        <f t="shared" ref="I20:I41" ca="1" si="10">IF(D20="HDW",G20*F20,0)</f>
        <v>0</v>
      </c>
      <c r="J20" s="308">
        <f t="shared" ref="J20:J41" ca="1" si="11">IF(D20="JASA",G20*F20,0)</f>
        <v>0</v>
      </c>
      <c r="K20" s="309">
        <f t="shared" ref="K20:K41" ca="1" si="12">SUM(H20:J20)</f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 hidden="1">
      <c r="A21" s="283"/>
      <c r="B21" s="420">
        <v>10</v>
      </c>
      <c r="C21" s="417" t="s">
        <v>1615</v>
      </c>
      <c r="D21" s="305" t="str">
        <f ca="1">IF(ISERROR(OFFSET('HARGA SATUAN'!$D$6,MATCH(RAB!C21,'HARGA SATUAN'!$C$7:$C$1495,0),0)),"",OFFSET('HARGA SATUAN'!$D$6,MATCH(RAB!C21,'HARGA SATUAN'!$C$7:$C$1495,0),0))</f>
        <v>HDW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3"/>
      <c r="G21" s="307">
        <f ca="1">IF(ISERROR(OFFSET('HARGA SATUAN'!$I$6,MATCH(RAB!C21,'HARGA SATUAN'!$C$7:$C$1495,0),0)),0,OFFSET('HARGA SATUAN'!$I$6,MATCH(RAB!C21,'HARGA SATUAN'!$C$7:$C$1495,0),0))</f>
        <v>49000</v>
      </c>
      <c r="H21" s="308">
        <f t="shared" ca="1" si="9"/>
        <v>0</v>
      </c>
      <c r="I21" s="308">
        <f t="shared" ca="1" si="10"/>
        <v>0</v>
      </c>
      <c r="J21" s="308">
        <f t="shared" ca="1" si="11"/>
        <v>0</v>
      </c>
      <c r="K21" s="309">
        <f t="shared" ca="1" si="12"/>
        <v>0</v>
      </c>
      <c r="L21" s="316"/>
      <c r="M21" s="289" t="str">
        <f t="shared" ref="M21:M59" ca="1" si="13">IF(AND(F21&gt;0,F20=0),"",IF(AND(ISBLANK(F21)=FALSE,K21=0),"WARNING",""))</f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 hidden="1">
      <c r="A22" s="283"/>
      <c r="B22" s="449"/>
      <c r="C22" s="450"/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3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9"/>
        <v>0</v>
      </c>
      <c r="I22" s="308">
        <f t="shared" ca="1" si="10"/>
        <v>0</v>
      </c>
      <c r="J22" s="308">
        <f t="shared" ca="1" si="11"/>
        <v>0</v>
      </c>
      <c r="K22" s="309">
        <f t="shared" ca="1" si="12"/>
        <v>0</v>
      </c>
      <c r="L22" s="316"/>
      <c r="M22" s="289" t="str">
        <f t="shared" ca="1" si="13"/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 hidden="1">
      <c r="A23" s="283"/>
      <c r="B23" s="449"/>
      <c r="C23" s="450"/>
      <c r="D23" s="305" t="str">
        <f ca="1">IF(ISERROR(OFFSET('HARGA SATUAN'!$D$6,MATCH(RAB!C23,'HARGA SATUAN'!$C$7:$C$1495,0),0)),"",OFFSET('HARGA SATUAN'!$D$6,MATCH(RAB!C23,'HARGA SATUAN'!$C$7:$C$1495,0),0))</f>
        <v/>
      </c>
      <c r="E23" s="306" t="str">
        <f ca="1">IF(B23="+","Unit",IF(ISERROR(OFFSET('HARGA SATUAN'!$E$6,MATCH(RAB!C23,'HARGA SATUAN'!$C$7:$C$1495,0),0)),"",OFFSET('HARGA SATUAN'!$E$6,MATCH(RAB!C23,'HARGA SATUAN'!$C$7:$C$1495,0),0)))</f>
        <v/>
      </c>
      <c r="F23" s="453"/>
      <c r="G23" s="307">
        <f ca="1">IF(ISERROR(OFFSET('HARGA SATUAN'!$I$6,MATCH(RAB!C23,'HARGA SATUAN'!$C$7:$C$1495,0),0)),0,OFFSET('HARGA SATUAN'!$I$6,MATCH(RAB!C23,'HARGA SATUAN'!$C$7:$C$1495,0),0))</f>
        <v>0</v>
      </c>
      <c r="H23" s="308">
        <f t="shared" ca="1" si="9"/>
        <v>0</v>
      </c>
      <c r="I23" s="308">
        <f t="shared" ca="1" si="10"/>
        <v>0</v>
      </c>
      <c r="J23" s="308">
        <f t="shared" ca="1" si="11"/>
        <v>0</v>
      </c>
      <c r="K23" s="309">
        <f t="shared" ca="1" si="12"/>
        <v>0</v>
      </c>
      <c r="L23" s="316"/>
      <c r="M23" s="289" t="str">
        <f t="shared" ca="1" si="13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 hidden="1">
      <c r="A24" s="283"/>
      <c r="B24" s="449"/>
      <c r="C24" s="450"/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3"/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9"/>
        <v>0</v>
      </c>
      <c r="I24" s="308">
        <f t="shared" ca="1" si="10"/>
        <v>0</v>
      </c>
      <c r="J24" s="308">
        <f t="shared" ca="1" si="11"/>
        <v>0</v>
      </c>
      <c r="K24" s="309">
        <f t="shared" ca="1" si="12"/>
        <v>0</v>
      </c>
      <c r="L24" s="316"/>
      <c r="M24" s="289" t="str">
        <f t="shared" ca="1" si="13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 hidden="1">
      <c r="A25" s="283"/>
      <c r="B25" s="449"/>
      <c r="C25" s="450"/>
      <c r="D25" s="305" t="str">
        <f ca="1">IF(ISERROR(OFFSET('HARGA SATUAN'!$D$6,MATCH(RAB!C25,'HARGA SATUAN'!$C$7:$C$1495,0),0)),"",OFFSET('HARGA SATUAN'!$D$6,MATCH(RAB!C25,'HARGA SATUAN'!$C$7:$C$1495,0),0))</f>
        <v/>
      </c>
      <c r="E25" s="306" t="str">
        <f ca="1">IF(B25="+","Unit",IF(ISERROR(OFFSET('HARGA SATUAN'!$E$6,MATCH(RAB!C25,'HARGA SATUAN'!$C$7:$C$1495,0),0)),"",OFFSET('HARGA SATUAN'!$E$6,MATCH(RAB!C25,'HARGA SATUAN'!$C$7:$C$1495,0),0)))</f>
        <v/>
      </c>
      <c r="F25" s="453"/>
      <c r="G25" s="307">
        <f ca="1">IF(ISERROR(OFFSET('HARGA SATUAN'!$I$6,MATCH(RAB!C25,'HARGA SATUAN'!$C$7:$C$1495,0),0)),0,OFFSET('HARGA SATUAN'!$I$6,MATCH(RAB!C25,'HARGA SATUAN'!$C$7:$C$1495,0),0))</f>
        <v>0</v>
      </c>
      <c r="H25" s="308">
        <f t="shared" ca="1" si="9"/>
        <v>0</v>
      </c>
      <c r="I25" s="308">
        <f t="shared" ca="1" si="10"/>
        <v>0</v>
      </c>
      <c r="J25" s="308">
        <f t="shared" ca="1" si="11"/>
        <v>0</v>
      </c>
      <c r="K25" s="309">
        <f t="shared" ca="1" si="12"/>
        <v>0</v>
      </c>
      <c r="L25" s="316"/>
      <c r="M25" s="289" t="str">
        <f t="shared" ca="1" si="13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 hidden="1">
      <c r="A26" s="283"/>
      <c r="B26" s="449"/>
      <c r="C26" s="450"/>
      <c r="D26" s="305" t="str">
        <f ca="1">IF(ISERROR(OFFSET('HARGA SATUAN'!$D$6,MATCH(RAB!C26,'HARGA SATUAN'!$C$7:$C$1495,0),0)),"",OFFSET('HARGA SATUAN'!$D$6,MATCH(RAB!C26,'HARGA SATUAN'!$C$7:$C$1495,0),0))</f>
        <v/>
      </c>
      <c r="E26" s="306" t="str">
        <f ca="1">IF(B26="+","Unit",IF(ISERROR(OFFSET('HARGA SATUAN'!$E$6,MATCH(RAB!C26,'HARGA SATUAN'!$C$7:$C$1495,0),0)),"",OFFSET('HARGA SATUAN'!$E$6,MATCH(RAB!C26,'HARGA SATUAN'!$C$7:$C$1495,0),0)))</f>
        <v/>
      </c>
      <c r="F26" s="453"/>
      <c r="G26" s="307">
        <f ca="1">IF(ISERROR(OFFSET('HARGA SATUAN'!$I$6,MATCH(RAB!C26,'HARGA SATUAN'!$C$7:$C$1495,0),0)),0,OFFSET('HARGA SATUAN'!$I$6,MATCH(RAB!C26,'HARGA SATUAN'!$C$7:$C$1495,0),0))</f>
        <v>0</v>
      </c>
      <c r="H26" s="308">
        <f t="shared" ca="1" si="9"/>
        <v>0</v>
      </c>
      <c r="I26" s="308">
        <f t="shared" ca="1" si="10"/>
        <v>0</v>
      </c>
      <c r="J26" s="308">
        <f t="shared" ca="1" si="11"/>
        <v>0</v>
      </c>
      <c r="K26" s="309">
        <f t="shared" ca="1" si="12"/>
        <v>0</v>
      </c>
      <c r="L26" s="316"/>
      <c r="M26" s="289" t="str">
        <f t="shared" ca="1" si="13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 hidden="1">
      <c r="A27" s="283"/>
      <c r="B27" s="449"/>
      <c r="C27" s="450"/>
      <c r="D27" s="305" t="str">
        <f ca="1">IF(ISERROR(OFFSET('HARGA SATUAN'!$D$6,MATCH(RAB!C27,'HARGA SATUAN'!$C$7:$C$1495,0),0)),"",OFFSET('HARGA SATUAN'!$D$6,MATCH(RAB!C27,'HARGA SATUAN'!$C$7:$C$1495,0),0))</f>
        <v/>
      </c>
      <c r="E27" s="306" t="str">
        <f ca="1">IF(B27="+","Unit",IF(ISERROR(OFFSET('HARGA SATUAN'!$E$6,MATCH(RAB!C27,'HARGA SATUAN'!$C$7:$C$1495,0),0)),"",OFFSET('HARGA SATUAN'!$E$6,MATCH(RAB!C27,'HARGA SATUAN'!$C$7:$C$1495,0),0)))</f>
        <v/>
      </c>
      <c r="F27" s="453"/>
      <c r="G27" s="307">
        <f ca="1">IF(ISERROR(OFFSET('HARGA SATUAN'!$I$6,MATCH(RAB!C27,'HARGA SATUAN'!$C$7:$C$1495,0),0)),0,OFFSET('HARGA SATUAN'!$I$6,MATCH(RAB!C27,'HARGA SATUAN'!$C$7:$C$1495,0),0))</f>
        <v>0</v>
      </c>
      <c r="H27" s="308">
        <f t="shared" ca="1" si="9"/>
        <v>0</v>
      </c>
      <c r="I27" s="308">
        <f t="shared" ca="1" si="10"/>
        <v>0</v>
      </c>
      <c r="J27" s="308">
        <f t="shared" ca="1" si="11"/>
        <v>0</v>
      </c>
      <c r="K27" s="309">
        <f t="shared" ca="1" si="12"/>
        <v>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 hidden="1">
      <c r="A28" s="283"/>
      <c r="B28" s="449"/>
      <c r="C28" s="450"/>
      <c r="D28" s="305" t="str">
        <f ca="1">IF(ISERROR(OFFSET('HARGA SATUAN'!$D$6,MATCH(RAB!C28,'HARGA SATUAN'!$C$7:$C$1495,0),0)),"",OFFSET('HARGA SATUAN'!$D$6,MATCH(RAB!C28,'HARGA SATUAN'!$C$7:$C$1495,0),0))</f>
        <v/>
      </c>
      <c r="E28" s="306" t="str">
        <f ca="1">IF(B28="+","Unit",IF(ISERROR(OFFSET('HARGA SATUAN'!$E$6,MATCH(RAB!C28,'HARGA SATUAN'!$C$7:$C$1495,0),0)),"",OFFSET('HARGA SATUAN'!$E$6,MATCH(RAB!C28,'HARGA SATUAN'!$C$7:$C$1495,0),0)))</f>
        <v/>
      </c>
      <c r="F28" s="453"/>
      <c r="G28" s="307">
        <f ca="1">IF(ISERROR(OFFSET('HARGA SATUAN'!$I$6,MATCH(RAB!C28,'HARGA SATUAN'!$C$7:$C$1495,0),0)),0,OFFSET('HARGA SATUAN'!$I$6,MATCH(RAB!C28,'HARGA SATUAN'!$C$7:$C$1495,0),0))</f>
        <v>0</v>
      </c>
      <c r="H28" s="308">
        <f t="shared" ca="1" si="9"/>
        <v>0</v>
      </c>
      <c r="I28" s="308">
        <f t="shared" ca="1" si="10"/>
        <v>0</v>
      </c>
      <c r="J28" s="308">
        <f t="shared" ca="1" si="11"/>
        <v>0</v>
      </c>
      <c r="K28" s="309">
        <f t="shared" ca="1" si="12"/>
        <v>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 hidden="1">
      <c r="A29" s="283"/>
      <c r="B29" s="449"/>
      <c r="C29" s="450"/>
      <c r="D29" s="305" t="str">
        <f ca="1">IF(ISERROR(OFFSET('HARGA SATUAN'!$D$6,MATCH(RAB!C29,'HARGA SATUAN'!$C$7:$C$1495,0),0)),"",OFFSET('HARGA SATUAN'!$D$6,MATCH(RAB!C29,'HARGA SATUAN'!$C$7:$C$1495,0),0))</f>
        <v/>
      </c>
      <c r="E29" s="306" t="str">
        <f ca="1">IF(B29="+","Unit",IF(ISERROR(OFFSET('HARGA SATUAN'!$E$6,MATCH(RAB!C29,'HARGA SATUAN'!$C$7:$C$1495,0),0)),"",OFFSET('HARGA SATUAN'!$E$6,MATCH(RAB!C29,'HARGA SATUAN'!$C$7:$C$1495,0),0)))</f>
        <v/>
      </c>
      <c r="F29" s="453"/>
      <c r="G29" s="307">
        <f ca="1">IF(ISERROR(OFFSET('HARGA SATUAN'!$I$6,MATCH(RAB!C29,'HARGA SATUAN'!$C$7:$C$1495,0),0)),0,OFFSET('HARGA SATUAN'!$I$6,MATCH(RAB!C29,'HARGA SATUAN'!$C$7:$C$1495,0),0))</f>
        <v>0</v>
      </c>
      <c r="H29" s="308">
        <f t="shared" ca="1" si="9"/>
        <v>0</v>
      </c>
      <c r="I29" s="308">
        <f t="shared" ca="1" si="10"/>
        <v>0</v>
      </c>
      <c r="J29" s="308">
        <f t="shared" ca="1" si="11"/>
        <v>0</v>
      </c>
      <c r="K29" s="309">
        <f t="shared" ca="1" si="12"/>
        <v>0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 hidden="1">
      <c r="A30" s="283"/>
      <c r="B30" s="449"/>
      <c r="C30" s="450"/>
      <c r="D30" s="305" t="str">
        <f ca="1">IF(ISERROR(OFFSET('HARGA SATUAN'!$D$6,MATCH(RAB!C30,'HARGA SATUAN'!$C$7:$C$1495,0),0)),"",OFFSET('HARGA SATUAN'!$D$6,MATCH(RAB!C30,'HARGA SATUAN'!$C$7:$C$1495,0),0))</f>
        <v/>
      </c>
      <c r="E30" s="306" t="str">
        <f ca="1">IF(B30="+","Unit",IF(ISERROR(OFFSET('HARGA SATUAN'!$E$6,MATCH(RAB!C30,'HARGA SATUAN'!$C$7:$C$1495,0),0)),"",OFFSET('HARGA SATUAN'!$E$6,MATCH(RAB!C30,'HARGA SATUAN'!$C$7:$C$1495,0),0)))</f>
        <v/>
      </c>
      <c r="F30" s="453"/>
      <c r="G30" s="307">
        <f ca="1">IF(ISERROR(OFFSET('HARGA SATUAN'!$I$6,MATCH(RAB!C30,'HARGA SATUAN'!$C$7:$C$1495,0),0)),0,OFFSET('HARGA SATUAN'!$I$6,MATCH(RAB!C30,'HARGA SATUAN'!$C$7:$C$1495,0),0))</f>
        <v>0</v>
      </c>
      <c r="H30" s="308">
        <f t="shared" ca="1" si="9"/>
        <v>0</v>
      </c>
      <c r="I30" s="308">
        <f t="shared" ca="1" si="10"/>
        <v>0</v>
      </c>
      <c r="J30" s="308">
        <f t="shared" ca="1" si="11"/>
        <v>0</v>
      </c>
      <c r="K30" s="309">
        <f t="shared" ca="1" si="12"/>
        <v>0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 hidden="1">
      <c r="A31" s="283"/>
      <c r="B31" s="449"/>
      <c r="C31" s="450"/>
      <c r="D31" s="305" t="str">
        <f ca="1">IF(ISERROR(OFFSET('HARGA SATUAN'!$D$6,MATCH(RAB!C31,'HARGA SATUAN'!$C$7:$C$1495,0),0)),"",OFFSET('HARGA SATUAN'!$D$6,MATCH(RAB!C31,'HARGA SATUAN'!$C$7:$C$1495,0),0))</f>
        <v/>
      </c>
      <c r="E31" s="306" t="str">
        <f ca="1">IF(B31="+","Unit",IF(ISERROR(OFFSET('HARGA SATUAN'!$E$6,MATCH(RAB!C31,'HARGA SATUAN'!$C$7:$C$1495,0),0)),"",OFFSET('HARGA SATUAN'!$E$6,MATCH(RAB!C31,'HARGA SATUAN'!$C$7:$C$1495,0),0)))</f>
        <v/>
      </c>
      <c r="F31" s="453"/>
      <c r="G31" s="307">
        <f ca="1">IF(ISERROR(OFFSET('HARGA SATUAN'!$I$6,MATCH(RAB!C31,'HARGA SATUAN'!$C$7:$C$1495,0),0)),0,OFFSET('HARGA SATUAN'!$I$6,MATCH(RAB!C31,'HARGA SATUAN'!$C$7:$C$1495,0),0))</f>
        <v>0</v>
      </c>
      <c r="H31" s="308">
        <f t="shared" ca="1" si="9"/>
        <v>0</v>
      </c>
      <c r="I31" s="308">
        <f t="shared" ca="1" si="10"/>
        <v>0</v>
      </c>
      <c r="J31" s="308">
        <f t="shared" ca="1" si="11"/>
        <v>0</v>
      </c>
      <c r="K31" s="309">
        <f t="shared" ca="1" si="12"/>
        <v>0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 hidden="1">
      <c r="A32" s="283"/>
      <c r="B32" s="449"/>
      <c r="C32" s="450"/>
      <c r="D32" s="305" t="str">
        <f ca="1">IF(ISERROR(OFFSET('HARGA SATUAN'!$D$6,MATCH(RAB!C32,'HARGA SATUAN'!$C$7:$C$1495,0),0)),"",OFFSET('HARGA SATUAN'!$D$6,MATCH(RAB!C32,'HARGA SATUAN'!$C$7:$C$1495,0),0))</f>
        <v/>
      </c>
      <c r="E32" s="306" t="str">
        <f ca="1">IF(B32="+","Unit",IF(ISERROR(OFFSET('HARGA SATUAN'!$E$6,MATCH(RAB!C32,'HARGA SATUAN'!$C$7:$C$1495,0),0)),"",OFFSET('HARGA SATUAN'!$E$6,MATCH(RAB!C32,'HARGA SATUAN'!$C$7:$C$1495,0),0)))</f>
        <v/>
      </c>
      <c r="F32" s="453"/>
      <c r="G32" s="307">
        <f ca="1">IF(ISERROR(OFFSET('HARGA SATUAN'!$I$6,MATCH(RAB!C32,'HARGA SATUAN'!$C$7:$C$1495,0),0)),0,OFFSET('HARGA SATUAN'!$I$6,MATCH(RAB!C32,'HARGA SATUAN'!$C$7:$C$1495,0),0))</f>
        <v>0</v>
      </c>
      <c r="H32" s="308">
        <f t="shared" ca="1" si="9"/>
        <v>0</v>
      </c>
      <c r="I32" s="308">
        <f t="shared" ca="1" si="10"/>
        <v>0</v>
      </c>
      <c r="J32" s="308">
        <f t="shared" ca="1" si="11"/>
        <v>0</v>
      </c>
      <c r="K32" s="309">
        <f t="shared" ca="1" si="12"/>
        <v>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 hidden="1">
      <c r="A33" s="283"/>
      <c r="B33" s="449"/>
      <c r="C33" s="450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3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9"/>
        <v>0</v>
      </c>
      <c r="I33" s="308">
        <f t="shared" ca="1" si="10"/>
        <v>0</v>
      </c>
      <c r="J33" s="308">
        <f t="shared" ca="1" si="11"/>
        <v>0</v>
      </c>
      <c r="K33" s="309">
        <f t="shared" ca="1" si="12"/>
        <v>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 hidden="1">
      <c r="A34" s="283"/>
      <c r="B34" s="449"/>
      <c r="C34" s="450"/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/>
      </c>
      <c r="F34" s="453"/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9"/>
        <v>0</v>
      </c>
      <c r="I34" s="308">
        <f t="shared" ca="1" si="10"/>
        <v>0</v>
      </c>
      <c r="J34" s="308">
        <f t="shared" ca="1" si="11"/>
        <v>0</v>
      </c>
      <c r="K34" s="309">
        <f t="shared" ca="1" si="12"/>
        <v>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 hidden="1">
      <c r="A35" s="283"/>
      <c r="B35" s="449"/>
      <c r="C35" s="450"/>
      <c r="D35" s="305" t="str">
        <f ca="1">IF(ISERROR(OFFSET('HARGA SATUAN'!$D$6,MATCH(RAB!C35,'HARGA SATUAN'!$C$7:$C$1495,0),0)),"",OFFSET('HARGA SATUAN'!$D$6,MATCH(RAB!C35,'HARGA SATUAN'!$C$7:$C$1495,0),0))</f>
        <v/>
      </c>
      <c r="E35" s="306" t="str">
        <f ca="1">IF(B35="+","Unit",IF(ISERROR(OFFSET('HARGA SATUAN'!$E$6,MATCH(RAB!C35,'HARGA SATUAN'!$C$7:$C$1495,0),0)),"",OFFSET('HARGA SATUAN'!$E$6,MATCH(RAB!C35,'HARGA SATUAN'!$C$7:$C$1495,0),0)))</f>
        <v/>
      </c>
      <c r="F35" s="453"/>
      <c r="G35" s="307">
        <f ca="1">IF(ISERROR(OFFSET('HARGA SATUAN'!$I$6,MATCH(RAB!C35,'HARGA SATUAN'!$C$7:$C$1495,0),0)),0,OFFSET('HARGA SATUAN'!$I$6,MATCH(RAB!C35,'HARGA SATUAN'!$C$7:$C$1495,0),0))</f>
        <v>0</v>
      </c>
      <c r="H35" s="308">
        <f t="shared" ca="1" si="9"/>
        <v>0</v>
      </c>
      <c r="I35" s="308">
        <f t="shared" ca="1" si="10"/>
        <v>0</v>
      </c>
      <c r="J35" s="308">
        <f t="shared" ca="1" si="11"/>
        <v>0</v>
      </c>
      <c r="K35" s="309">
        <f t="shared" ca="1" si="12"/>
        <v>0</v>
      </c>
      <c r="L35" s="316"/>
      <c r="M35" s="289" t="str">
        <f t="shared" ca="1" si="13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 hidden="1">
      <c r="A36" s="283"/>
      <c r="B36" s="449"/>
      <c r="C36" s="450"/>
      <c r="D36" s="305" t="str">
        <f ca="1">IF(ISERROR(OFFSET('HARGA SATUAN'!$D$6,MATCH(RAB!C36,'HARGA SATUAN'!$C$7:$C$1495,0),0)),"",OFFSET('HARGA SATUAN'!$D$6,MATCH(RAB!C36,'HARGA SATUAN'!$C$7:$C$1495,0),0))</f>
        <v/>
      </c>
      <c r="E36" s="306" t="str">
        <f ca="1">IF(B36="+","Unit",IF(ISERROR(OFFSET('HARGA SATUAN'!$E$6,MATCH(RAB!C36,'HARGA SATUAN'!$C$7:$C$1495,0),0)),"",OFFSET('HARGA SATUAN'!$E$6,MATCH(RAB!C36,'HARGA SATUAN'!$C$7:$C$1495,0),0)))</f>
        <v/>
      </c>
      <c r="F36" s="453"/>
      <c r="G36" s="307">
        <f ca="1">IF(ISERROR(OFFSET('HARGA SATUAN'!$I$6,MATCH(RAB!C36,'HARGA SATUAN'!$C$7:$C$1495,0),0)),0,OFFSET('HARGA SATUAN'!$I$6,MATCH(RAB!C36,'HARGA SATUAN'!$C$7:$C$1495,0),0))</f>
        <v>0</v>
      </c>
      <c r="H36" s="308">
        <f t="shared" ca="1" si="9"/>
        <v>0</v>
      </c>
      <c r="I36" s="308">
        <f t="shared" ca="1" si="10"/>
        <v>0</v>
      </c>
      <c r="J36" s="308">
        <f t="shared" ca="1" si="11"/>
        <v>0</v>
      </c>
      <c r="K36" s="309">
        <f t="shared" ca="1" si="12"/>
        <v>0</v>
      </c>
      <c r="L36" s="316"/>
      <c r="M36" s="289" t="str">
        <f t="shared" ca="1" si="13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 hidden="1">
      <c r="A37" s="283"/>
      <c r="B37" s="449"/>
      <c r="C37" s="450"/>
      <c r="D37" s="305" t="str">
        <f ca="1">IF(ISERROR(OFFSET('HARGA SATUAN'!$D$6,MATCH(RAB!C37,'HARGA SATUAN'!$C$7:$C$1495,0),0)),"",OFFSET('HARGA SATUAN'!$D$6,MATCH(RAB!C37,'HARGA SATUAN'!$C$7:$C$1495,0),0))</f>
        <v/>
      </c>
      <c r="E37" s="306" t="str">
        <f ca="1">IF(B37="+","Unit",IF(ISERROR(OFFSET('HARGA SATUAN'!$E$6,MATCH(RAB!C37,'HARGA SATUAN'!$C$7:$C$1495,0),0)),"",OFFSET('HARGA SATUAN'!$E$6,MATCH(RAB!C37,'HARGA SATUAN'!$C$7:$C$1495,0),0)))</f>
        <v/>
      </c>
      <c r="F37" s="453"/>
      <c r="G37" s="307">
        <f ca="1">IF(ISERROR(OFFSET('HARGA SATUAN'!$I$6,MATCH(RAB!C37,'HARGA SATUAN'!$C$7:$C$1495,0),0)),0,OFFSET('HARGA SATUAN'!$I$6,MATCH(RAB!C37,'HARGA SATUAN'!$C$7:$C$1495,0),0))</f>
        <v>0</v>
      </c>
      <c r="H37" s="308">
        <f t="shared" ca="1" si="9"/>
        <v>0</v>
      </c>
      <c r="I37" s="308">
        <f t="shared" ca="1" si="10"/>
        <v>0</v>
      </c>
      <c r="J37" s="308">
        <f t="shared" ca="1" si="11"/>
        <v>0</v>
      </c>
      <c r="K37" s="309">
        <f t="shared" ca="1" si="12"/>
        <v>0</v>
      </c>
      <c r="L37" s="316"/>
      <c r="M37" s="289" t="str">
        <f t="shared" ca="1" si="13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 hidden="1">
      <c r="A38" s="283"/>
      <c r="B38" s="449"/>
      <c r="C38" s="450"/>
      <c r="D38" s="305" t="str">
        <f ca="1">IF(ISERROR(OFFSET('HARGA SATUAN'!$D$6,MATCH(RAB!C38,'HARGA SATUAN'!$C$7:$C$1495,0),0)),"",OFFSET('HARGA SATUAN'!$D$6,MATCH(RAB!C38,'HARGA SATUAN'!$C$7:$C$1495,0),0))</f>
        <v/>
      </c>
      <c r="E38" s="306" t="str">
        <f ca="1">IF(B38="+","Unit",IF(ISERROR(OFFSET('HARGA SATUAN'!$E$6,MATCH(RAB!C38,'HARGA SATUAN'!$C$7:$C$1495,0),0)),"",OFFSET('HARGA SATUAN'!$E$6,MATCH(RAB!C38,'HARGA SATUAN'!$C$7:$C$1495,0),0)))</f>
        <v/>
      </c>
      <c r="F38" s="453"/>
      <c r="G38" s="307">
        <f ca="1">IF(ISERROR(OFFSET('HARGA SATUAN'!$I$6,MATCH(RAB!C38,'HARGA SATUAN'!$C$7:$C$1495,0),0)),0,OFFSET('HARGA SATUAN'!$I$6,MATCH(RAB!C38,'HARGA SATUAN'!$C$7:$C$1495,0),0))</f>
        <v>0</v>
      </c>
      <c r="H38" s="308">
        <f t="shared" ca="1" si="9"/>
        <v>0</v>
      </c>
      <c r="I38" s="308">
        <f t="shared" ca="1" si="10"/>
        <v>0</v>
      </c>
      <c r="J38" s="308">
        <f t="shared" ca="1" si="11"/>
        <v>0</v>
      </c>
      <c r="K38" s="309">
        <f t="shared" ca="1" si="12"/>
        <v>0</v>
      </c>
      <c r="L38" s="316"/>
      <c r="M38" s="289" t="str">
        <f t="shared" ca="1" si="13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 hidden="1">
      <c r="A39" s="283"/>
      <c r="B39" s="449"/>
      <c r="C39" s="450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53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ca="1" si="9"/>
        <v>0</v>
      </c>
      <c r="I39" s="308">
        <f t="shared" ca="1" si="10"/>
        <v>0</v>
      </c>
      <c r="J39" s="308">
        <f t="shared" ca="1" si="11"/>
        <v>0</v>
      </c>
      <c r="K39" s="309">
        <f t="shared" ca="1" si="12"/>
        <v>0</v>
      </c>
      <c r="L39" s="316"/>
      <c r="M39" s="289" t="str">
        <f t="shared" ca="1" si="13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 hidden="1">
      <c r="A40" s="283"/>
      <c r="B40" s="449"/>
      <c r="C40" s="450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3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9"/>
        <v>0</v>
      </c>
      <c r="I40" s="308">
        <f t="shared" ca="1" si="10"/>
        <v>0</v>
      </c>
      <c r="J40" s="308">
        <f t="shared" ca="1" si="11"/>
        <v>0</v>
      </c>
      <c r="K40" s="309">
        <f t="shared" ca="1" si="12"/>
        <v>0</v>
      </c>
      <c r="L40" s="316"/>
      <c r="M40" s="289" t="str">
        <f t="shared" ca="1" si="13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 hidden="1">
      <c r="A41" s="283"/>
      <c r="B41" s="449"/>
      <c r="C41" s="450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53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9"/>
        <v>0</v>
      </c>
      <c r="I41" s="308">
        <f t="shared" ca="1" si="10"/>
        <v>0</v>
      </c>
      <c r="J41" s="308">
        <f t="shared" ca="1" si="11"/>
        <v>0</v>
      </c>
      <c r="K41" s="309">
        <f t="shared" ca="1" si="12"/>
        <v>0</v>
      </c>
      <c r="L41" s="316"/>
      <c r="M41" s="289" t="str">
        <f t="shared" ca="1" si="13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18" t="s">
        <v>1602</v>
      </c>
      <c r="C42" s="421" t="s">
        <v>1604</v>
      </c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/>
      </c>
      <c r="F42" s="454"/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ref="H42:H43" ca="1" si="14">IF(OR(D42="MDU",D42="MDU-KD"),(IF($O$3="RAB NON MDU","PLN KD",G42*F42)),0)</f>
        <v>0</v>
      </c>
      <c r="I42" s="308">
        <f t="shared" ref="I42:I43" ca="1" si="15">IF(D42="HDW",G42*F42,0)</f>
        <v>0</v>
      </c>
      <c r="J42" s="308">
        <f t="shared" ref="J42:J43" ca="1" si="16">IF(D42="JASA",G42*F42,0)</f>
        <v>0</v>
      </c>
      <c r="K42" s="309">
        <f t="shared" ref="K42:K43" ca="1" si="17">SUM(H42:J42)</f>
        <v>0</v>
      </c>
      <c r="L42" s="316"/>
      <c r="M42" s="289" t="str">
        <f t="shared" ca="1" si="13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318"/>
      <c r="C43" s="109"/>
      <c r="D43" s="305" t="str">
        <f ca="1">IF(ISERROR(OFFSET('HARGA SATUAN'!$D$6,MATCH(RAB!C43,'HARGA SATUAN'!$C$7:$C$1495,0),0)),"",OFFSET('HARGA SATUAN'!$D$6,MATCH(RAB!C43,'HARGA SATUAN'!$C$7:$C$1495,0),0))</f>
        <v/>
      </c>
      <c r="E43" s="306" t="str">
        <f ca="1">IF(B43="+","Unit",IF(ISERROR(OFFSET('HARGA SATUAN'!$E$6,MATCH(RAB!C43,'HARGA SATUAN'!$C$7:$C$1495,0),0)),"",OFFSET('HARGA SATUAN'!$E$6,MATCH(RAB!C43,'HARGA SATUAN'!$C$7:$C$1495,0),0)))</f>
        <v/>
      </c>
      <c r="F43" s="419"/>
      <c r="G43" s="307">
        <f ca="1">IF(ISERROR(OFFSET('HARGA SATUAN'!$I$6,MATCH(RAB!C43,'HARGA SATUAN'!$C$7:$C$1495,0),0)),0,OFFSET('HARGA SATUAN'!$I$6,MATCH(RAB!C43,'HARGA SATUAN'!$C$7:$C$1495,0),0))</f>
        <v>0</v>
      </c>
      <c r="H43" s="308">
        <f t="shared" ca="1" si="14"/>
        <v>0</v>
      </c>
      <c r="I43" s="308">
        <f t="shared" ca="1" si="15"/>
        <v>0</v>
      </c>
      <c r="J43" s="308">
        <f t="shared" ca="1" si="16"/>
        <v>0</v>
      </c>
      <c r="K43" s="309">
        <f t="shared" ca="1" si="17"/>
        <v>0</v>
      </c>
      <c r="L43" s="316"/>
      <c r="M43" s="289" t="str">
        <f t="shared" ca="1" si="13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318"/>
      <c r="C44" s="109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19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ref="H44" ca="1" si="18">IF(OR(D44="MDU",D44="MDU-KD"),(IF($O$3="RAB NON MDU","PLN KD",G44*F44)),0)</f>
        <v>0</v>
      </c>
      <c r="I44" s="308">
        <f t="shared" ref="I44" ca="1" si="19">IF(D44="HDW",G44*F44,0)</f>
        <v>0</v>
      </c>
      <c r="J44" s="308">
        <f t="shared" ref="J44" ca="1" si="20">IF(D44="JASA",G44*F44,0)</f>
        <v>0</v>
      </c>
      <c r="K44" s="309">
        <f t="shared" ref="K44" ca="1" si="21">SUM(H44:J44)</f>
        <v>0</v>
      </c>
      <c r="L44" s="316"/>
      <c r="M44" s="289" t="str">
        <f t="shared" ca="1" si="13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318"/>
      <c r="C45" s="319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19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ref="H45:H63" ca="1" si="22">IF(OR(D45="MDU",D45="MDU-KD"),(IF($O$3="RAB NON MDU","PLN KD",G45*F45)),0)</f>
        <v>0</v>
      </c>
      <c r="I45" s="308">
        <f t="shared" ref="I45:I63" ca="1" si="23">IF(D45="HDW",G45*F45,0)</f>
        <v>0</v>
      </c>
      <c r="J45" s="308">
        <f t="shared" ref="J45:J63" ca="1" si="24">IF(D45="JASA",G45*F45,0)</f>
        <v>0</v>
      </c>
      <c r="K45" s="309">
        <f t="shared" ref="K45:K63" ca="1" si="25">SUM(H45:J45)</f>
        <v>0</v>
      </c>
      <c r="L45" s="316"/>
      <c r="M45" s="289" t="e">
        <f>IF(AND(F45&gt;0,#REF!=0),"",IF(AND(ISBLANK(F45)=FALSE,K45=0),"WARNING",""))</f>
        <v>#REF!</v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418" t="s">
        <v>1610</v>
      </c>
      <c r="C46" s="421" t="s">
        <v>1606</v>
      </c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5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ref="H46:H62" ca="1" si="26">IF(OR(D46="MDU",D46="MDU-KD"),(IF($O$3="RAB NON MDU","PLN KD",G46*F46)),0)</f>
        <v>0</v>
      </c>
      <c r="I46" s="308">
        <f t="shared" ref="I46:I62" ca="1" si="27">IF(D46="HDW",G46*F46,0)</f>
        <v>0</v>
      </c>
      <c r="J46" s="308">
        <f t="shared" ref="J46:J62" ca="1" si="28">IF(D46="JASA",G46*F46,0)</f>
        <v>0</v>
      </c>
      <c r="K46" s="309">
        <f t="shared" ref="K46:K62" ca="1" si="29">SUM(H46:J46)</f>
        <v>0</v>
      </c>
      <c r="L46" s="316"/>
      <c r="M46" s="289" t="str">
        <f t="shared" ca="1" si="13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460" t="s">
        <v>1035</v>
      </c>
      <c r="C47" s="461" t="s">
        <v>1634</v>
      </c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>Unit</v>
      </c>
      <c r="F47" s="513">
        <v>1</v>
      </c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26"/>
        <v>0</v>
      </c>
      <c r="I47" s="308">
        <f t="shared" ca="1" si="27"/>
        <v>0</v>
      </c>
      <c r="J47" s="308">
        <f t="shared" ca="1" si="28"/>
        <v>0</v>
      </c>
      <c r="K47" s="309">
        <f t="shared" ca="1" si="29"/>
        <v>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t="30">
      <c r="A48" s="283"/>
      <c r="B48" s="716">
        <v>1</v>
      </c>
      <c r="C48" s="109" t="s">
        <v>1196</v>
      </c>
      <c r="D48" s="305" t="str">
        <f ca="1">IF(ISERROR(OFFSET('HARGA SATUAN'!$D$6,MATCH(RAB!C48,'HARGA SATUAN'!$C$7:$C$1495,0),0)),"",OFFSET('HARGA SATUAN'!$D$6,MATCH(RAB!C48,'HARGA SATUAN'!$C$7:$C$1495,0),0))</f>
        <v>MDU-KD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513">
        <f>F47*1</f>
        <v>1</v>
      </c>
      <c r="G48" s="307">
        <f ca="1">IF(ISERROR(OFFSET('HARGA SATUAN'!$I$6,MATCH(RAB!C48,'HARGA SATUAN'!$C$7:$C$1495,0),0)),0,OFFSET('HARGA SATUAN'!$I$6,MATCH(RAB!C48,'HARGA SATUAN'!$C$7:$C$1495,0),0))</f>
        <v>1427400</v>
      </c>
      <c r="H48" s="308">
        <f t="shared" ca="1" si="26"/>
        <v>1427400</v>
      </c>
      <c r="I48" s="308">
        <f t="shared" ca="1" si="27"/>
        <v>0</v>
      </c>
      <c r="J48" s="308">
        <f t="shared" ca="1" si="28"/>
        <v>0</v>
      </c>
      <c r="K48" s="309">
        <f t="shared" ca="1" si="29"/>
        <v>1427400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716">
        <v>2</v>
      </c>
      <c r="C49" s="717" t="s">
        <v>512</v>
      </c>
      <c r="D49" s="305" t="str">
        <f ca="1">IF(ISERROR(OFFSET('HARGA SATUAN'!$D$6,MATCH(RAB!C49,'HARGA SATUAN'!$C$7:$C$1495,0),0)),"",OFFSET('HARGA SATUAN'!$D$6,MATCH(RAB!C49,'HARGA SATUAN'!$C$7:$C$1495,0),0))</f>
        <v>MDU-KD</v>
      </c>
      <c r="E49" s="306" t="str">
        <f ca="1">IF(B49="+","Unit",IF(ISERROR(OFFSET('HARGA SATUAN'!$E$6,MATCH(RAB!C49,'HARGA SATUAN'!$C$7:$C$1495,0),0)),"",OFFSET('HARGA SATUAN'!$E$6,MATCH(RAB!C49,'HARGA SATUAN'!$C$7:$C$1495,0),0)))</f>
        <v>Unit</v>
      </c>
      <c r="F49" s="513">
        <f>F47*1</f>
        <v>1</v>
      </c>
      <c r="G49" s="307">
        <f ca="1">IF(ISERROR(OFFSET('HARGA SATUAN'!$I$6,MATCH(RAB!C49,'HARGA SATUAN'!$C$7:$C$1495,0),0)),0,OFFSET('HARGA SATUAN'!$I$6,MATCH(RAB!C49,'HARGA SATUAN'!$C$7:$C$1495,0),0))</f>
        <v>3564900</v>
      </c>
      <c r="H49" s="308">
        <f t="shared" ca="1" si="26"/>
        <v>3564900</v>
      </c>
      <c r="I49" s="308">
        <f t="shared" ca="1" si="27"/>
        <v>0</v>
      </c>
      <c r="J49" s="308">
        <f t="shared" ca="1" si="28"/>
        <v>0</v>
      </c>
      <c r="K49" s="309">
        <f t="shared" ca="1" si="29"/>
        <v>3564900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716">
        <v>3</v>
      </c>
      <c r="C50" s="717" t="s">
        <v>1141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Unit</v>
      </c>
      <c r="F50" s="513">
        <f>F47*1</f>
        <v>1</v>
      </c>
      <c r="G50" s="307">
        <f ca="1">IF(ISERROR(OFFSET('HARGA SATUAN'!$I$6,MATCH(RAB!C50,'HARGA SATUAN'!$C$7:$C$1495,0),0)),0,OFFSET('HARGA SATUAN'!$I$6,MATCH(RAB!C50,'HARGA SATUAN'!$C$7:$C$1495,0),0))</f>
        <v>1113900</v>
      </c>
      <c r="H50" s="308">
        <f t="shared" ca="1" si="26"/>
        <v>0</v>
      </c>
      <c r="I50" s="308">
        <f t="shared" ca="1" si="27"/>
        <v>1113900</v>
      </c>
      <c r="J50" s="308">
        <f t="shared" ca="1" si="28"/>
        <v>0</v>
      </c>
      <c r="K50" s="309">
        <f t="shared" ca="1" si="29"/>
        <v>1113900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716">
        <v>4</v>
      </c>
      <c r="C51" s="717" t="s">
        <v>77</v>
      </c>
      <c r="D51" s="305" t="str">
        <f ca="1">IF(ISERROR(OFFSET('HARGA SATUAN'!$D$6,MATCH(RAB!C51,'HARGA SATUAN'!$C$7:$C$1495,0),0)),"",OFFSET('HARGA SATUAN'!$D$6,MATCH(RAB!C51,'HARGA SATUAN'!$C$7:$C$1495,0),0))</f>
        <v>MDU-KD</v>
      </c>
      <c r="E51" s="306" t="str">
        <f ca="1">IF(B51="+","Unit",IF(ISERROR(OFFSET('HARGA SATUAN'!$E$6,MATCH(RAB!C51,'HARGA SATUAN'!$C$7:$C$1495,0),0)),"",OFFSET('HARGA SATUAN'!$E$6,MATCH(RAB!C51,'HARGA SATUAN'!$C$7:$C$1495,0),0)))</f>
        <v>Mtr</v>
      </c>
      <c r="F51" s="513">
        <v>50</v>
      </c>
      <c r="G51" s="307">
        <f ca="1">IF(ISERROR(OFFSET('HARGA SATUAN'!$I$6,MATCH(RAB!C51,'HARGA SATUAN'!$C$7:$C$1495,0),0)),0,OFFSET('HARGA SATUAN'!$I$6,MATCH(RAB!C51,'HARGA SATUAN'!$C$7:$C$1495,0),0))</f>
        <v>13500</v>
      </c>
      <c r="H51" s="308">
        <f t="shared" ca="1" si="26"/>
        <v>675000</v>
      </c>
      <c r="I51" s="308">
        <f t="shared" ca="1" si="27"/>
        <v>0</v>
      </c>
      <c r="J51" s="308">
        <f t="shared" ca="1" si="28"/>
        <v>0</v>
      </c>
      <c r="K51" s="309">
        <f t="shared" ca="1" si="29"/>
        <v>675000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716">
        <v>5</v>
      </c>
      <c r="C52" s="717" t="s">
        <v>799</v>
      </c>
      <c r="D52" s="305" t="str">
        <f ca="1">IF(ISERROR(OFFSET('HARGA SATUAN'!$D$6,MATCH(RAB!C52,'HARGA SATUAN'!$C$7:$C$1495,0),0)),"",OFFSET('HARGA SATUAN'!$D$6,MATCH(RAB!C52,'HARGA SATUAN'!$C$7:$C$1495,0),0))</f>
        <v>JASA</v>
      </c>
      <c r="E52" s="306" t="str">
        <f ca="1">IF(B52="+","Unit",IF(ISERROR(OFFSET('HARGA SATUAN'!$E$6,MATCH(RAB!C52,'HARGA SATUAN'!$C$7:$C$1495,0),0)),"",OFFSET('HARGA SATUAN'!$E$6,MATCH(RAB!C52,'HARGA SATUAN'!$C$7:$C$1495,0),0)))</f>
        <v>Unit</v>
      </c>
      <c r="F52" s="513">
        <f>F47*1</f>
        <v>1</v>
      </c>
      <c r="G52" s="307">
        <f ca="1">IF(ISERROR(OFFSET('HARGA SATUAN'!$I$6,MATCH(RAB!C52,'HARGA SATUAN'!$C$7:$C$1495,0),0)),0,OFFSET('HARGA SATUAN'!$I$6,MATCH(RAB!C52,'HARGA SATUAN'!$C$7:$C$1495,0),0))</f>
        <v>106400</v>
      </c>
      <c r="H52" s="308">
        <f t="shared" ref="H52" ca="1" si="30">IF(OR(D52="MDU",D52="MDU-KD"),(IF($O$3="RAB NON MDU","PLN KD",G52*F52)),0)</f>
        <v>0</v>
      </c>
      <c r="I52" s="308">
        <f t="shared" ref="I52" ca="1" si="31">IF(D52="HDW",G52*F52,0)</f>
        <v>0</v>
      </c>
      <c r="J52" s="308">
        <f t="shared" ref="J52" ca="1" si="32">IF(D52="JASA",G52*F52,0)</f>
        <v>106400</v>
      </c>
      <c r="K52" s="309">
        <f t="shared" ref="K52" ca="1" si="33">SUM(H52:J52)</f>
        <v>106400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318"/>
      <c r="C53" s="319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2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26"/>
        <v>0</v>
      </c>
      <c r="I53" s="308">
        <f t="shared" ca="1" si="27"/>
        <v>0</v>
      </c>
      <c r="J53" s="308">
        <f t="shared" ca="1" si="28"/>
        <v>0</v>
      </c>
      <c r="K53" s="309">
        <f t="shared" ca="1" si="29"/>
        <v>0</v>
      </c>
      <c r="L53" s="316"/>
      <c r="M53" s="289" t="str">
        <f ca="1">IF(AND(F53&gt;0,F46=0),"",IF(AND(ISBLANK(F53)=FALSE,K53=0),"WARNING",""))</f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318" t="s">
        <v>1035</v>
      </c>
      <c r="C54" s="319" t="s">
        <v>1618</v>
      </c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>Unit</v>
      </c>
      <c r="F54" s="451">
        <v>1</v>
      </c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26"/>
        <v>0</v>
      </c>
      <c r="I54" s="308">
        <f t="shared" ca="1" si="27"/>
        <v>0</v>
      </c>
      <c r="J54" s="308">
        <f t="shared" ca="1" si="28"/>
        <v>0</v>
      </c>
      <c r="K54" s="309">
        <f t="shared" ca="1" si="29"/>
        <v>0</v>
      </c>
      <c r="L54" s="316"/>
      <c r="M54" s="289" t="str">
        <f t="shared" si="13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318">
        <v>1</v>
      </c>
      <c r="C55" s="319" t="s">
        <v>29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451">
        <f>F54*1</f>
        <v>1</v>
      </c>
      <c r="G55" s="307">
        <f ca="1">IF(ISERROR(OFFSET('HARGA SATUAN'!$I$6,MATCH(RAB!C55,'HARGA SATUAN'!$C$7:$C$1495,0),0)),0,OFFSET('HARGA SATUAN'!$I$6,MATCH(RAB!C55,'HARGA SATUAN'!$C$7:$C$1495,0),0))</f>
        <v>185200</v>
      </c>
      <c r="H55" s="308">
        <f t="shared" ca="1" si="26"/>
        <v>0</v>
      </c>
      <c r="I55" s="308">
        <f t="shared" ca="1" si="27"/>
        <v>185200</v>
      </c>
      <c r="J55" s="308">
        <f t="shared" ca="1" si="28"/>
        <v>0</v>
      </c>
      <c r="K55" s="309">
        <f t="shared" ca="1" si="29"/>
        <v>185200</v>
      </c>
      <c r="L55" s="316"/>
      <c r="M55" s="289" t="str">
        <f t="shared" ca="1" si="13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318">
        <v>2</v>
      </c>
      <c r="C56" s="319" t="s">
        <v>30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51">
        <f>F54*1</f>
        <v>1</v>
      </c>
      <c r="G56" s="307">
        <f ca="1">IF(ISERROR(OFFSET('HARGA SATUAN'!$I$6,MATCH(RAB!C56,'HARGA SATUAN'!$C$7:$C$1495,0),0)),0,OFFSET('HARGA SATUAN'!$I$6,MATCH(RAB!C56,'HARGA SATUAN'!$C$7:$C$1495,0),0))</f>
        <v>47459</v>
      </c>
      <c r="H56" s="308">
        <f t="shared" ca="1" si="26"/>
        <v>0</v>
      </c>
      <c r="I56" s="308">
        <f t="shared" ca="1" si="27"/>
        <v>47459</v>
      </c>
      <c r="J56" s="308">
        <f t="shared" ca="1" si="28"/>
        <v>0</v>
      </c>
      <c r="K56" s="309">
        <f t="shared" ca="1" si="29"/>
        <v>47459</v>
      </c>
      <c r="L56" s="316"/>
      <c r="M56" s="289" t="str">
        <f t="shared" ca="1" si="13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318">
        <v>3</v>
      </c>
      <c r="C57" s="319" t="s">
        <v>32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Mtr</v>
      </c>
      <c r="F57" s="451">
        <f>F54*1.5</f>
        <v>1.5</v>
      </c>
      <c r="G57" s="307">
        <f ca="1">IF(ISERROR(OFFSET('HARGA SATUAN'!$I$6,MATCH(RAB!C57,'HARGA SATUAN'!$C$7:$C$1495,0),0)),0,OFFSET('HARGA SATUAN'!$I$6,MATCH(RAB!C57,'HARGA SATUAN'!$C$7:$C$1495,0),0))</f>
        <v>30000</v>
      </c>
      <c r="H57" s="308">
        <f t="shared" ca="1" si="26"/>
        <v>0</v>
      </c>
      <c r="I57" s="308">
        <f t="shared" ca="1" si="27"/>
        <v>45000</v>
      </c>
      <c r="J57" s="308">
        <f t="shared" ca="1" si="28"/>
        <v>0</v>
      </c>
      <c r="K57" s="309">
        <f t="shared" ca="1" si="29"/>
        <v>45000</v>
      </c>
      <c r="L57" s="316"/>
      <c r="M57" s="289" t="str">
        <f t="shared" ca="1" si="13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318">
        <v>4</v>
      </c>
      <c r="C58" s="319" t="s">
        <v>33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51">
        <f>F54*2</f>
        <v>2</v>
      </c>
      <c r="G58" s="307">
        <f ca="1">IF(ISERROR(OFFSET('HARGA SATUAN'!$I$6,MATCH(RAB!C58,'HARGA SATUAN'!$C$7:$C$1495,0),0)),0,OFFSET('HARGA SATUAN'!$I$6,MATCH(RAB!C58,'HARGA SATUAN'!$C$7:$C$1495,0),0))</f>
        <v>9500</v>
      </c>
      <c r="H58" s="308">
        <f t="shared" ca="1" si="26"/>
        <v>0</v>
      </c>
      <c r="I58" s="308">
        <f t="shared" ca="1" si="27"/>
        <v>19000</v>
      </c>
      <c r="J58" s="308">
        <f t="shared" ca="1" si="28"/>
        <v>0</v>
      </c>
      <c r="K58" s="309">
        <f t="shared" ca="1" si="29"/>
        <v>19000</v>
      </c>
      <c r="L58" s="316"/>
      <c r="M58" s="289" t="str">
        <f t="shared" ca="1" si="13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318">
        <v>5</v>
      </c>
      <c r="C59" s="319" t="s">
        <v>735</v>
      </c>
      <c r="D59" s="305" t="str">
        <f ca="1">IF(ISERROR(OFFSET('HARGA SATUAN'!$D$6,MATCH(RAB!C59,'HARGA SATUAN'!$C$7:$C$1495,0),0)),"",OFFSET('HARGA SATUAN'!$D$6,MATCH(RAB!C59,'HARGA SATUAN'!$C$7:$C$1495,0),0))</f>
        <v>JASA</v>
      </c>
      <c r="E59" s="306" t="str">
        <f ca="1">IF(B59="+","Unit",IF(ISERROR(OFFSET('HARGA SATUAN'!$E$6,MATCH(RAB!C59,'HARGA SATUAN'!$C$7:$C$1495,0),0)),"",OFFSET('HARGA SATUAN'!$E$6,MATCH(RAB!C59,'HARGA SATUAN'!$C$7:$C$1495,0),0)))</f>
        <v>Unit</v>
      </c>
      <c r="F59" s="451">
        <f>F54*1</f>
        <v>1</v>
      </c>
      <c r="G59" s="307">
        <f ca="1">IF(ISERROR(OFFSET('HARGA SATUAN'!$I$6,MATCH(RAB!C59,'HARGA SATUAN'!$C$7:$C$1495,0),0)),0,OFFSET('HARGA SATUAN'!$I$6,MATCH(RAB!C59,'HARGA SATUAN'!$C$7:$C$1495,0),0))</f>
        <v>56400</v>
      </c>
      <c r="H59" s="308">
        <f t="shared" ca="1" si="26"/>
        <v>0</v>
      </c>
      <c r="I59" s="308">
        <f t="shared" ca="1" si="27"/>
        <v>0</v>
      </c>
      <c r="J59" s="308">
        <f t="shared" ca="1" si="28"/>
        <v>56400</v>
      </c>
      <c r="K59" s="309">
        <f t="shared" ca="1" si="29"/>
        <v>56400</v>
      </c>
      <c r="L59" s="316"/>
      <c r="M59" s="289" t="str">
        <f t="shared" ca="1" si="13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418" t="s">
        <v>22</v>
      </c>
      <c r="C60" s="421" t="s">
        <v>802</v>
      </c>
      <c r="D60" s="305" t="str">
        <f ca="1">IF(ISERROR(OFFSET('HARGA SATUAN'!$D$6,MATCH(RAB!C60,'HARGA SATUAN'!$C$7:$C$1495,0),0)),"",OFFSET('HARGA SATUAN'!$D$6,MATCH(RAB!C60,'HARGA SATUAN'!$C$7:$C$1495,0),0))</f>
        <v/>
      </c>
      <c r="E60" s="306">
        <f ca="1">IF(B60="+","Unit",IF(ISERROR(OFFSET('HARGA SATUAN'!$E$6,MATCH(RAB!C60,'HARGA SATUAN'!$C$7:$C$1495,0),0)),"",OFFSET('HARGA SATUAN'!$E$6,MATCH(RAB!C60,'HARGA SATUAN'!$C$7:$C$1495,0),0)))</f>
        <v>0</v>
      </c>
      <c r="F60" s="451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ref="H60:H61" ca="1" si="34">IF(OR(D60="MDU",D60="MDU-KD"),(IF($O$3="RAB NON MDU","PLN KD",G60*F60)),0)</f>
        <v>0</v>
      </c>
      <c r="I60" s="308">
        <f t="shared" ref="I60:I61" ca="1" si="35">IF(D60="HDW",G60*F60,0)</f>
        <v>0</v>
      </c>
      <c r="J60" s="308">
        <f t="shared" ref="J60:J61" ca="1" si="36">IF(D60="JASA",G60*F60,0)</f>
        <v>0</v>
      </c>
      <c r="K60" s="309">
        <f t="shared" ref="K60:K61" ca="1" si="37">SUM(H60:J60)</f>
        <v>0</v>
      </c>
      <c r="L60" s="316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318">
        <v>1</v>
      </c>
      <c r="C61" s="109" t="s">
        <v>981</v>
      </c>
      <c r="D61" s="305" t="str">
        <f ca="1">IF(ISERROR(OFFSET('HARGA SATUAN'!$D$6,MATCH(RAB!C61,'HARGA SATUAN'!$C$7:$C$1495,0),0)),"",OFFSET('HARGA SATUAN'!$D$6,MATCH(RAB!C61,'HARGA SATUAN'!$C$7:$C$1495,0),0))</f>
        <v>JASA</v>
      </c>
      <c r="E61" s="306" t="str">
        <f ca="1">IF(B61="+","Unit",IF(ISERROR(OFFSET('HARGA SATUAN'!$E$6,MATCH(RAB!C61,'HARGA SATUAN'!$C$7:$C$1495,0),0)),"",OFFSET('HARGA SATUAN'!$E$6,MATCH(RAB!C61,'HARGA SATUAN'!$C$7:$C$1495,0),0)))</f>
        <v>Unit</v>
      </c>
      <c r="F61" s="451">
        <v>1</v>
      </c>
      <c r="G61" s="307">
        <f ca="1">IF(ISERROR(OFFSET('HARGA SATUAN'!$I$6,MATCH(RAB!C61,'HARGA SATUAN'!$C$7:$C$1495,0),0)),0,OFFSET('HARGA SATUAN'!$I$6,MATCH(RAB!C61,'HARGA SATUAN'!$C$7:$C$1495,0),0))</f>
        <v>32640</v>
      </c>
      <c r="H61" s="308">
        <f t="shared" ca="1" si="34"/>
        <v>0</v>
      </c>
      <c r="I61" s="308">
        <f t="shared" ca="1" si="35"/>
        <v>0</v>
      </c>
      <c r="J61" s="308">
        <f t="shared" ca="1" si="36"/>
        <v>32640</v>
      </c>
      <c r="K61" s="309">
        <f t="shared" ca="1" si="37"/>
        <v>32640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>
      <c r="B62" s="320"/>
      <c r="C62" s="109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315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26"/>
        <v>0</v>
      </c>
      <c r="I62" s="308">
        <f t="shared" ca="1" si="27"/>
        <v>0</v>
      </c>
      <c r="J62" s="308">
        <f t="shared" ca="1" si="28"/>
        <v>0</v>
      </c>
      <c r="K62" s="309">
        <f t="shared" ca="1" si="29"/>
        <v>0</v>
      </c>
      <c r="M62" s="289" t="str">
        <f ca="1">IF(AND(F62&gt;0,F59=0),"",IF(AND(ISBLANK(F62)=FALSE,K62=0),"WARNING",""))</f>
        <v/>
      </c>
    </row>
    <row r="63" spans="1:22">
      <c r="B63" s="321"/>
      <c r="C63" s="322" t="s">
        <v>475</v>
      </c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315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22"/>
        <v>0</v>
      </c>
      <c r="I63" s="308">
        <f t="shared" ca="1" si="23"/>
        <v>0</v>
      </c>
      <c r="J63" s="308">
        <f t="shared" ca="1" si="24"/>
        <v>0</v>
      </c>
      <c r="K63" s="309">
        <f t="shared" ca="1" si="25"/>
        <v>0</v>
      </c>
      <c r="M63" s="289" t="e">
        <f>IF(AND(F63&gt;0,#REF!=0),"",IF(AND(ISBLANK(F63)=FALSE,K63=0),"WARNING",""))</f>
        <v>#REF!</v>
      </c>
    </row>
    <row r="64" spans="1:22">
      <c r="B64" s="324">
        <v>1</v>
      </c>
      <c r="C64" s="325" t="s">
        <v>1091</v>
      </c>
      <c r="D64" s="326" t="str">
        <f ca="1">IF(ISERROR(OFFSET('HARGA SATUAN'!$D$6,MATCH(RAB!C64,'HARGA SATUAN'!$C$7:$C$1495,0),0)),"",OFFSET('HARGA SATUAN'!$D$6,MATCH(RAB!C64,'HARGA SATUAN'!$C$7:$C$1495,0),0))</f>
        <v>JASA</v>
      </c>
      <c r="E64" s="327" t="str">
        <f ca="1">IF(ISERROR(OFFSET('HARGA SATUAN'!$E$6,MATCH(RAB!C64,'HARGA SATUAN'!$C$7:$C$1495,0),0)),"",OFFSET('HARGA SATUAN'!$E$6,MATCH(RAB!C64,'HARGA SATUAN'!$C$7:$C$1495,0),0))</f>
        <v>Lot</v>
      </c>
      <c r="F64" s="328">
        <v>1</v>
      </c>
      <c r="G64" s="329">
        <f ca="1">IF(ISERROR(OFFSET('HARGA SATUAN'!$I$6,MATCH(RAB!C64,'HARGA SATUAN'!$C$7:$C$1495,0),0)),0,OFFSET('HARGA SATUAN'!$I$6,MATCH(RAB!C64,'HARGA SATUAN'!$C$7:$C$1495,0),0))</f>
        <v>2.5000000000000001E-2</v>
      </c>
      <c r="H64" s="330">
        <f ca="1">SUM(H14:H63)*G64</f>
        <v>141682.5</v>
      </c>
      <c r="I64" s="330">
        <f ca="1">SUM(I14:I63)*G64</f>
        <v>35263.974999999999</v>
      </c>
      <c r="J64" s="330">
        <f ca="1">SUM(J14:J63)*G64</f>
        <v>4886</v>
      </c>
      <c r="K64" s="330">
        <f ca="1">SUM(K14:K63)*G64</f>
        <v>181832.47500000001</v>
      </c>
      <c r="M64" s="289" t="str">
        <f t="shared" ref="M64" si="38">IF(AND(F64&gt;0,F63=0),"",IF(AND(ISBLANK(F64)=FALSE,K64=0),"WARNING",""))</f>
        <v/>
      </c>
    </row>
    <row r="65" spans="2:13">
      <c r="B65" s="331"/>
      <c r="C65" s="332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IF(ISERROR(OFFSET('HARGA SATUAN'!$E$6,MATCH(RAB!C65,'HARGA SATUAN'!$C$7:$C$1495,0),0)),"",OFFSET('HARGA SATUAN'!$E$6,MATCH(RAB!C65,'HARGA SATUAN'!$C$7:$C$1495,0),0))</f>
        <v/>
      </c>
      <c r="F65" s="323"/>
      <c r="G65" s="307" t="str">
        <f ca="1">IF(ISERROR(OFFSET('HARGA SATUAN'!$I$6,MATCH(RAB!C65,'HARGA SATUAN'!$C$7:$C$1495,0),0)),"",OFFSET('HARGA SATUAN'!$I$6,MATCH(RAB!C65,'HARGA SATUAN'!$C$7:$C$1495,0),0))</f>
        <v/>
      </c>
      <c r="H65" s="308">
        <f ca="1">IF(OR(D65="MDU",D65="MDU-KD"),IF(G65="PLN",0,G65*F65),0)</f>
        <v>0</v>
      </c>
      <c r="I65" s="308">
        <f ca="1">IF(D65="HDW",IF(G65="PLN",0,G65*F65),0)</f>
        <v>0</v>
      </c>
      <c r="J65" s="308">
        <f ca="1">IF(D65="JASA",IF(G65="PLN",0,G65*F65),0)</f>
        <v>0</v>
      </c>
      <c r="K65" s="309">
        <f ca="1">SUM(H65:J65)</f>
        <v>0</v>
      </c>
    </row>
    <row r="66" spans="2:13" ht="15.75" thickBot="1">
      <c r="B66" s="333"/>
      <c r="C66" s="334"/>
      <c r="D66" s="335"/>
      <c r="E66" s="336"/>
      <c r="F66" s="336"/>
      <c r="G66" s="336"/>
      <c r="H66" s="337"/>
      <c r="I66" s="337"/>
      <c r="J66" s="337"/>
      <c r="K66" s="338"/>
    </row>
    <row r="67" spans="2:13">
      <c r="B67" s="339"/>
      <c r="C67" s="634" t="s">
        <v>1008</v>
      </c>
      <c r="D67" s="634"/>
      <c r="E67" s="634"/>
      <c r="F67" s="634"/>
      <c r="G67" s="340" t="s">
        <v>9</v>
      </c>
      <c r="H67" s="341">
        <f ca="1">SUM(H14:H65)</f>
        <v>5808982.5</v>
      </c>
      <c r="I67" s="341">
        <f ca="1">SUM(I14:I65)</f>
        <v>1445822.9750000001</v>
      </c>
      <c r="J67" s="341">
        <f ca="1">SUM(J14:J65)</f>
        <v>200326</v>
      </c>
      <c r="K67" s="341">
        <f ca="1">SUM(K14:K65)</f>
        <v>7455131.4749999996</v>
      </c>
    </row>
    <row r="68" spans="2:13">
      <c r="B68" s="342"/>
      <c r="C68" s="617" t="s">
        <v>1455</v>
      </c>
      <c r="D68" s="617"/>
      <c r="E68" s="617"/>
      <c r="F68" s="617"/>
      <c r="G68" s="343" t="s">
        <v>9</v>
      </c>
      <c r="H68" s="344">
        <f ca="1">H67*0.11</f>
        <v>638988.07499999995</v>
      </c>
      <c r="I68" s="344">
        <f ca="1">I67*0.11</f>
        <v>159040.52725000001</v>
      </c>
      <c r="J68" s="344">
        <f ca="1">J67*0.11</f>
        <v>22035.86</v>
      </c>
      <c r="K68" s="344">
        <f ca="1">K67*0.11</f>
        <v>820064.46224999998</v>
      </c>
    </row>
    <row r="69" spans="2:13" ht="15.75" thickBot="1">
      <c r="B69" s="342"/>
      <c r="C69" s="614" t="s">
        <v>463</v>
      </c>
      <c r="D69" s="614"/>
      <c r="E69" s="614"/>
      <c r="F69" s="614"/>
      <c r="G69" s="345" t="s">
        <v>9</v>
      </c>
      <c r="H69" s="346">
        <f ca="1">SUM(H67:H68)</f>
        <v>6447970.5750000002</v>
      </c>
      <c r="I69" s="346">
        <f ca="1">SUM(I67:I68)</f>
        <v>1604863.5022500001</v>
      </c>
      <c r="J69" s="345">
        <f ca="1">SUM(J67:J68)</f>
        <v>222361.86</v>
      </c>
      <c r="K69" s="345">
        <f ca="1">SUM(K67:K68)</f>
        <v>8275195.9372499995</v>
      </c>
      <c r="M69" s="410"/>
    </row>
    <row r="70" spans="2:13">
      <c r="B70" s="618" t="str">
        <f ca="1">"Terbilang : "&amp;PROPER(IF(K69=0,"nol",IF(K69&lt;0,"minus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IF(--MID(TEXT(ABS(K69),"000000000000000"),1,3)=0,"",MID(TEXT(ABS(K69),"000000000000000"),1,1)&amp;" ratus "&amp;MID(TEXT(ABS(K69),"000000000000000"),2,1)&amp;" puluh "&amp;MID(TEXT(ABS(K69),"000000000000000"),3,1)&amp;" trilyun ")&amp; IF(--MID(TEXT(ABS(K69),"000000000000000"),4,3)=0,"",MID(TEXT(ABS(K69),"000000000000000"),4,1)&amp;" ratus "&amp;MID(TEXT(ABS(K69),"000000000000000"),5,1)&amp;" puluh "&amp;MID(TEXT(ABS(K69),"000000000000000"),6,1)&amp;" milyar ")&amp; IF(--MID(TEXT(ABS(K69),"000000000000000"),7,3)=0,"",MID(TEXT(ABS(K69),"000000000000000"),7,1)&amp;" ratus "&amp;MID(TEXT(ABS(K69),"000000000000000"),8,1)&amp;" puluh "&amp;MID(TEXT(ABS(K69),"000000000000000"),9,1)&amp;" juta ")&amp; IF(--MID(TEXT(ABS(K69),"000000000000000"),10,3)=0,"",IF(--MID(TEXT(ABS(K69),"000000000000000"),10,3)=1,"*",MID(TEXT(ABS(K69),"000000000000000"),10,1)&amp;" ratus "&amp;MID(TEXT(ABS(K69),"000000000000000"),11,1)&amp;" puluh ")&amp;MID(TEXT(ABS(K69),"000000000000000"),12,1)&amp;" ribu ")&amp; IF(--MID(TEXT(ABS(K69),"000000000000000"),13,3)=0,"",MID(TEXT(ABS(K69),"000000000000000"),13,1)&amp;" ratus "&amp;MID(TEXT(ABS(K69),"000000000000000"),14,1)&amp;" puluh "&amp;MID(TEXT(ABS(K69),"000000000000000"),15,1)),1,"satu"),2,"dua"),3,"tiga"),4,"empat"),5,"lima"),6,"enam"),7,"tujuh"),8,"delapan"),9,"sembilan"),"0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Juta Dua Ratus Tujuh Puluh Lima Ribu Seratus Sembilan Puluh Enam Rupiah</v>
      </c>
      <c r="C70" s="619"/>
      <c r="D70" s="619"/>
      <c r="E70" s="619"/>
      <c r="F70" s="619"/>
      <c r="G70" s="619"/>
      <c r="H70" s="619"/>
      <c r="I70" s="619"/>
      <c r="J70" s="619"/>
      <c r="K70" s="620"/>
    </row>
    <row r="71" spans="2:13">
      <c r="B71" s="621"/>
      <c r="C71" s="622"/>
      <c r="D71" s="622"/>
      <c r="E71" s="622"/>
      <c r="F71" s="622"/>
      <c r="G71" s="622"/>
      <c r="H71" s="622"/>
      <c r="I71" s="622"/>
      <c r="J71" s="622"/>
      <c r="K71" s="623"/>
    </row>
    <row r="72" spans="2:13" ht="15.75" thickBot="1">
      <c r="B72" s="347" t="str">
        <f>"Harga yang dipakai adalah "&amp;'HARGA SATUAN'!I5&amp;""</f>
        <v>Harga yang dipakai adalah RAB HSS 2023</v>
      </c>
      <c r="C72" s="348"/>
      <c r="D72" s="349"/>
      <c r="E72" s="349"/>
      <c r="F72" s="349"/>
      <c r="G72" s="350"/>
      <c r="H72" s="350"/>
      <c r="I72" s="350"/>
      <c r="J72" s="350"/>
      <c r="K72" s="351"/>
    </row>
    <row r="73" spans="2:13">
      <c r="C73" s="352"/>
      <c r="E73" s="354"/>
      <c r="F73" s="354"/>
      <c r="G73" s="354"/>
    </row>
    <row r="74" spans="2:13">
      <c r="C74" s="284"/>
      <c r="E74" s="354"/>
      <c r="F74" s="354"/>
      <c r="G74" s="354"/>
      <c r="H74" s="624"/>
      <c r="I74" s="624"/>
      <c r="J74" s="625"/>
      <c r="K74" s="625"/>
    </row>
    <row r="75" spans="2:13">
      <c r="C75" s="284"/>
      <c r="E75" s="354"/>
      <c r="F75" s="354"/>
      <c r="G75" s="354"/>
      <c r="H75" s="355"/>
      <c r="I75" s="613" t="s">
        <v>1616</v>
      </c>
      <c r="J75" s="613"/>
      <c r="K75" s="613"/>
    </row>
    <row r="76" spans="2:13">
      <c r="C76" s="284"/>
      <c r="E76" s="354"/>
      <c r="F76" s="354"/>
      <c r="G76" s="354"/>
      <c r="H76" s="355"/>
      <c r="I76" s="613" t="s">
        <v>1611</v>
      </c>
      <c r="J76" s="613"/>
      <c r="K76" s="613"/>
    </row>
    <row r="77" spans="2:13">
      <c r="C77" s="284"/>
      <c r="E77" s="354"/>
      <c r="F77" s="354"/>
      <c r="G77" s="354"/>
      <c r="H77" s="356"/>
      <c r="I77" s="357"/>
      <c r="J77" s="357"/>
      <c r="K77" s="357"/>
    </row>
    <row r="78" spans="2:13">
      <c r="C78" s="284"/>
      <c r="E78" s="354"/>
      <c r="F78" s="354"/>
      <c r="G78" s="354"/>
      <c r="H78" s="356"/>
      <c r="I78" s="356"/>
      <c r="J78" s="356"/>
      <c r="K78" s="356"/>
    </row>
    <row r="79" spans="2:13">
      <c r="C79" s="284"/>
      <c r="E79" s="354"/>
      <c r="F79" s="354"/>
      <c r="G79" s="354"/>
      <c r="H79" s="356"/>
      <c r="I79" s="356"/>
      <c r="J79" s="356"/>
      <c r="K79" s="356"/>
    </row>
    <row r="80" spans="2:13">
      <c r="C80" s="284"/>
      <c r="E80" s="354"/>
      <c r="F80" s="354"/>
      <c r="G80" s="354"/>
      <c r="H80" s="356"/>
      <c r="I80" s="356"/>
      <c r="J80" s="356"/>
      <c r="K80" s="356"/>
    </row>
    <row r="81" spans="3:11">
      <c r="C81" s="284"/>
      <c r="E81" s="354"/>
      <c r="F81" s="354"/>
      <c r="G81" s="354"/>
      <c r="H81" s="358"/>
      <c r="I81" s="613" t="s">
        <v>1612</v>
      </c>
      <c r="J81" s="613"/>
      <c r="K81" s="613"/>
    </row>
    <row r="82" spans="3:11">
      <c r="C82" s="352"/>
      <c r="E82" s="354"/>
      <c r="F82" s="354"/>
      <c r="G82" s="354"/>
      <c r="H82" s="356"/>
      <c r="I82" s="356"/>
      <c r="J82" s="356"/>
      <c r="K82" s="356"/>
    </row>
    <row r="83" spans="3:11">
      <c r="C83" s="352"/>
      <c r="E83" s="354"/>
      <c r="F83" s="354"/>
      <c r="G83" s="354"/>
      <c r="H83" s="356"/>
      <c r="I83" s="356"/>
      <c r="J83" s="356"/>
      <c r="K83" s="356"/>
    </row>
    <row r="84" spans="3:11">
      <c r="C84" s="352"/>
      <c r="E84" s="354"/>
      <c r="F84" s="354"/>
      <c r="G84" s="354"/>
      <c r="H84" s="356"/>
      <c r="I84" s="356"/>
      <c r="J84" s="356"/>
      <c r="K84" s="356"/>
    </row>
  </sheetData>
  <sheetProtection sort="0" autoFilter="0"/>
  <protectedRanges>
    <protectedRange sqref="B46:C46 B15 B16:C16 B43:B45 B17:B18 B22:C42 B19:C19" name="Range1_6_1"/>
    <protectedRange sqref="C45" name="Range1_6_1_10"/>
    <protectedRange sqref="B53:C60 B47:B52 B61" name="Range1_6_1_11"/>
    <protectedRange sqref="B20:C21" name="Range1_6_1_15"/>
    <protectedRange sqref="C47:C49 C52" name="Range1_6_1_18"/>
    <protectedRange sqref="C18" name="Range1_1_3_1"/>
    <protectedRange sqref="C43" name="Range1_1_3_3"/>
    <protectedRange sqref="C44" name="Range1_1_3_4"/>
    <protectedRange sqref="C17" name="Range1_1_3_2"/>
    <protectedRange sqref="C50" name="Range1_1_3_7"/>
    <protectedRange sqref="C51" name="Range1_1_3"/>
    <protectedRange sqref="C61" name="Range1_1_3_8"/>
    <protectedRange sqref="C62" name="Range1_1_3_9"/>
  </protectedRanges>
  <mergeCells count="22">
    <mergeCell ref="O3:P4"/>
    <mergeCell ref="B4:K4"/>
    <mergeCell ref="C67:F67"/>
    <mergeCell ref="B11:B13"/>
    <mergeCell ref="C11:C13"/>
    <mergeCell ref="D11:D13"/>
    <mergeCell ref="E11:E13"/>
    <mergeCell ref="F11:F13"/>
    <mergeCell ref="G11:G13"/>
    <mergeCell ref="I12:I13"/>
    <mergeCell ref="I76:K76"/>
    <mergeCell ref="I81:K81"/>
    <mergeCell ref="C69:F69"/>
    <mergeCell ref="G6:K6"/>
    <mergeCell ref="I75:K75"/>
    <mergeCell ref="C68:F68"/>
    <mergeCell ref="B70:K71"/>
    <mergeCell ref="H74:K74"/>
    <mergeCell ref="H11:K11"/>
    <mergeCell ref="H12:H13"/>
    <mergeCell ref="J12:J13"/>
    <mergeCell ref="K12:K13"/>
  </mergeCells>
  <phoneticPr fontId="133" type="noConversion"/>
  <conditionalFormatting sqref="C15">
    <cfRule type="cellIs" dxfId="9" priority="100" operator="equal">
      <formula>0</formula>
    </cfRule>
  </conditionalFormatting>
  <conditionalFormatting sqref="C17:C18">
    <cfRule type="cellIs" dxfId="8" priority="14" operator="equal">
      <formula>0</formula>
    </cfRule>
  </conditionalFormatting>
  <conditionalFormatting sqref="C43:C44">
    <cfRule type="cellIs" dxfId="7" priority="16" operator="equal">
      <formula>0</formula>
    </cfRule>
  </conditionalFormatting>
  <conditionalFormatting sqref="C61:C62">
    <cfRule type="cellIs" dxfId="4" priority="2" operator="equal">
      <formula>0</formula>
    </cfRule>
  </conditionalFormatting>
  <conditionalFormatting sqref="E1:E3 E5:E13 H12:I12 O13 E64:G64 H64:K66 E65:H65 E66:F66 S14:V61 E14:K63">
    <cfRule type="cellIs" dxfId="3" priority="1144" stopIfTrue="1" operator="equal">
      <formula>0</formula>
    </cfRule>
  </conditionalFormatting>
  <conditionalFormatting sqref="G1:G13">
    <cfRule type="cellIs" dxfId="2" priority="69" stopIfTrue="1" operator="equal">
      <formula>0</formula>
    </cfRule>
  </conditionalFormatting>
  <conditionalFormatting sqref="G65:G65531 E70:E65531">
    <cfRule type="cellIs" dxfId="1" priority="278" stopIfTrue="1" operator="equal">
      <formula>0</formula>
    </cfRule>
  </conditionalFormatting>
  <conditionalFormatting sqref="C48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54:F61 F43:F45 H14:K66 F16:F4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64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opLeftCell="A10" zoomScale="90" zoomScaleNormal="90" zoomScaleSheetLayoutView="100" workbookViewId="0">
      <selection activeCell="N13" sqref="N13"/>
    </sheetView>
  </sheetViews>
  <sheetFormatPr defaultColWidth="9.140625" defaultRowHeight="12"/>
  <cols>
    <col min="1" max="2" width="1.42578125" style="462" customWidth="1"/>
    <col min="3" max="3" width="7.42578125" style="462" customWidth="1"/>
    <col min="4" max="23" width="5.7109375" style="462" customWidth="1"/>
    <col min="24" max="24" width="6.28515625" style="462" customWidth="1"/>
    <col min="25" max="26" width="5.7109375" style="462" customWidth="1"/>
    <col min="27" max="27" width="6.5703125" style="462" customWidth="1"/>
    <col min="28" max="118" width="5.7109375" style="462" customWidth="1"/>
    <col min="119" max="16384" width="9.140625" style="462"/>
  </cols>
  <sheetData>
    <row r="1" spans="3:30" ht="12.75" thickBot="1"/>
    <row r="2" spans="3:30" ht="12.75" customHeight="1">
      <c r="C2" s="463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4"/>
      <c r="R2" s="464"/>
      <c r="S2" s="464"/>
      <c r="T2" s="464"/>
      <c r="U2" s="464"/>
      <c r="V2" s="464"/>
      <c r="W2" s="643" t="s">
        <v>1438</v>
      </c>
      <c r="X2" s="644"/>
      <c r="Y2" s="644"/>
      <c r="Z2" s="644"/>
      <c r="AA2" s="644"/>
      <c r="AB2" s="644"/>
      <c r="AC2" s="644"/>
      <c r="AD2" s="645"/>
    </row>
    <row r="3" spans="3:30">
      <c r="C3" s="465"/>
      <c r="W3" s="646"/>
      <c r="X3" s="647"/>
      <c r="Y3" s="647"/>
      <c r="Z3" s="647"/>
      <c r="AA3" s="647"/>
      <c r="AB3" s="647"/>
      <c r="AC3" s="647"/>
      <c r="AD3" s="648"/>
    </row>
    <row r="4" spans="3:30">
      <c r="C4" s="465"/>
      <c r="G4" s="466" t="s">
        <v>1632</v>
      </c>
      <c r="W4" s="467" t="s">
        <v>987</v>
      </c>
      <c r="AD4" s="468"/>
    </row>
    <row r="5" spans="3:30">
      <c r="C5" s="465"/>
      <c r="W5" s="469" t="s">
        <v>991</v>
      </c>
      <c r="X5" s="649" t="s">
        <v>990</v>
      </c>
      <c r="Y5" s="649"/>
      <c r="Z5" s="649"/>
      <c r="AA5" s="649" t="s">
        <v>988</v>
      </c>
      <c r="AB5" s="649"/>
      <c r="AC5" s="649" t="s">
        <v>989</v>
      </c>
      <c r="AD5" s="650"/>
    </row>
    <row r="6" spans="3:30">
      <c r="C6" s="465"/>
      <c r="W6" s="469">
        <v>1</v>
      </c>
      <c r="X6" s="649" t="s">
        <v>993</v>
      </c>
      <c r="Y6" s="649"/>
      <c r="Z6" s="649"/>
      <c r="AA6" s="649"/>
      <c r="AB6" s="649"/>
      <c r="AC6" s="649"/>
      <c r="AD6" s="650"/>
    </row>
    <row r="7" spans="3:30">
      <c r="C7" s="465"/>
      <c r="W7" s="469">
        <v>2</v>
      </c>
      <c r="X7" s="649" t="s">
        <v>994</v>
      </c>
      <c r="Y7" s="649"/>
      <c r="Z7" s="649"/>
      <c r="AA7" s="649"/>
      <c r="AB7" s="649"/>
      <c r="AC7" s="649"/>
      <c r="AD7" s="650"/>
    </row>
    <row r="8" spans="3:30">
      <c r="C8" s="465"/>
      <c r="W8" s="469">
        <v>3</v>
      </c>
      <c r="X8" s="649" t="s">
        <v>995</v>
      </c>
      <c r="Y8" s="649"/>
      <c r="Z8" s="649"/>
      <c r="AA8" s="649"/>
      <c r="AB8" s="649"/>
      <c r="AC8" s="649"/>
      <c r="AD8" s="650"/>
    </row>
    <row r="9" spans="3:30">
      <c r="C9" s="465"/>
      <c r="W9" s="469">
        <v>4</v>
      </c>
      <c r="X9" s="649" t="s">
        <v>996</v>
      </c>
      <c r="Y9" s="649"/>
      <c r="Z9" s="649"/>
      <c r="AA9" s="649"/>
      <c r="AB9" s="649"/>
      <c r="AC9" s="649"/>
      <c r="AD9" s="650"/>
    </row>
    <row r="10" spans="3:30">
      <c r="C10" s="465"/>
      <c r="W10" s="469">
        <v>5</v>
      </c>
      <c r="X10" s="649" t="s">
        <v>997</v>
      </c>
      <c r="Y10" s="649"/>
      <c r="Z10" s="649"/>
      <c r="AA10" s="649"/>
      <c r="AB10" s="649"/>
      <c r="AC10" s="649"/>
      <c r="AD10" s="650"/>
    </row>
    <row r="11" spans="3:30">
      <c r="C11" s="465"/>
      <c r="W11" s="469">
        <v>6</v>
      </c>
      <c r="X11" s="649" t="s">
        <v>998</v>
      </c>
      <c r="Y11" s="649"/>
      <c r="Z11" s="649"/>
      <c r="AA11" s="649"/>
      <c r="AB11" s="649"/>
      <c r="AC11" s="649"/>
      <c r="AD11" s="650"/>
    </row>
    <row r="12" spans="3:30">
      <c r="C12" s="465"/>
      <c r="W12" s="469">
        <v>7</v>
      </c>
      <c r="X12" s="649" t="s">
        <v>999</v>
      </c>
      <c r="Y12" s="649"/>
      <c r="Z12" s="649"/>
      <c r="AA12" s="649"/>
      <c r="AB12" s="649"/>
      <c r="AC12" s="649"/>
      <c r="AD12" s="650"/>
    </row>
    <row r="13" spans="3:30" ht="12.75" customHeight="1">
      <c r="C13" s="465"/>
      <c r="W13" s="469">
        <v>8</v>
      </c>
      <c r="X13" s="649" t="s">
        <v>1000</v>
      </c>
      <c r="Y13" s="649"/>
      <c r="Z13" s="649"/>
      <c r="AA13" s="649"/>
      <c r="AB13" s="649"/>
      <c r="AC13" s="649"/>
      <c r="AD13" s="650"/>
    </row>
    <row r="14" spans="3:30">
      <c r="C14" s="465"/>
      <c r="W14" s="469">
        <v>9</v>
      </c>
      <c r="X14" s="649" t="s">
        <v>1001</v>
      </c>
      <c r="Y14" s="649"/>
      <c r="Z14" s="649"/>
      <c r="AA14" s="649"/>
      <c r="AB14" s="649"/>
      <c r="AC14" s="649"/>
      <c r="AD14" s="650"/>
    </row>
    <row r="15" spans="3:30">
      <c r="C15" s="465"/>
      <c r="W15" s="469">
        <v>10</v>
      </c>
      <c r="X15" s="649" t="s">
        <v>1010</v>
      </c>
      <c r="Y15" s="649"/>
      <c r="Z15" s="649"/>
      <c r="AA15" s="649"/>
      <c r="AB15" s="649"/>
      <c r="AC15" s="649"/>
      <c r="AD15" s="650"/>
    </row>
    <row r="16" spans="3:30">
      <c r="C16" s="465"/>
      <c r="W16" s="469">
        <v>11</v>
      </c>
      <c r="X16" s="649" t="s">
        <v>1454</v>
      </c>
      <c r="Y16" s="649"/>
      <c r="Z16" s="649"/>
      <c r="AA16" s="649"/>
      <c r="AB16" s="649"/>
      <c r="AC16" s="649"/>
      <c r="AD16" s="650"/>
    </row>
    <row r="17" spans="3:30">
      <c r="C17" s="465"/>
      <c r="S17" s="471"/>
      <c r="W17" s="469">
        <v>12</v>
      </c>
      <c r="X17" s="649" t="s">
        <v>1011</v>
      </c>
      <c r="Y17" s="649"/>
      <c r="Z17" s="649"/>
      <c r="AA17" s="649"/>
      <c r="AB17" s="649"/>
      <c r="AC17" s="649"/>
      <c r="AD17" s="650"/>
    </row>
    <row r="18" spans="3:30">
      <c r="C18" s="472"/>
      <c r="D18" s="473"/>
      <c r="E18" s="473"/>
      <c r="W18" s="469">
        <v>13</v>
      </c>
      <c r="X18" s="649"/>
      <c r="Y18" s="649"/>
      <c r="Z18" s="649"/>
      <c r="AA18" s="649"/>
      <c r="AB18" s="649"/>
      <c r="AC18" s="649"/>
      <c r="AD18" s="650"/>
    </row>
    <row r="19" spans="3:30">
      <c r="C19" s="465"/>
      <c r="W19" s="474"/>
      <c r="X19" s="659"/>
      <c r="Y19" s="659"/>
      <c r="Z19" s="659"/>
      <c r="AA19" s="659"/>
      <c r="AB19" s="659"/>
      <c r="AC19" s="659"/>
      <c r="AD19" s="660"/>
    </row>
    <row r="20" spans="3:30">
      <c r="C20" s="465"/>
      <c r="Q20" s="475"/>
      <c r="W20" s="661" t="s">
        <v>992</v>
      </c>
      <c r="X20" s="662"/>
      <c r="Y20" s="662"/>
      <c r="Z20" s="662"/>
      <c r="AA20" s="662"/>
      <c r="AB20" s="662"/>
      <c r="AC20" s="662"/>
      <c r="AD20" s="663"/>
    </row>
    <row r="21" spans="3:30">
      <c r="C21" s="465"/>
      <c r="W21" s="664" t="s">
        <v>985</v>
      </c>
      <c r="X21" s="665"/>
      <c r="Y21" s="665"/>
      <c r="Z21" s="666"/>
      <c r="AA21" s="667" t="s">
        <v>986</v>
      </c>
      <c r="AB21" s="668"/>
      <c r="AC21" s="668"/>
      <c r="AD21" s="669"/>
    </row>
    <row r="22" spans="3:30">
      <c r="C22" s="465"/>
      <c r="S22" s="476"/>
      <c r="W22" s="651"/>
      <c r="X22" s="652"/>
      <c r="Y22" s="477"/>
      <c r="Z22" s="478"/>
      <c r="AA22" s="653"/>
      <c r="AB22" s="654"/>
      <c r="AC22" s="479"/>
      <c r="AD22" s="480"/>
    </row>
    <row r="23" spans="3:30">
      <c r="C23" s="465"/>
      <c r="W23" s="651"/>
      <c r="X23" s="652"/>
      <c r="Y23" s="477"/>
      <c r="Z23" s="478"/>
      <c r="AA23" s="655" t="s">
        <v>1628</v>
      </c>
      <c r="AB23" s="656"/>
      <c r="AC23" s="479" t="s">
        <v>1617</v>
      </c>
      <c r="AD23" s="480">
        <v>1</v>
      </c>
    </row>
    <row r="24" spans="3:30" ht="14.25">
      <c r="C24" s="465"/>
      <c r="O24" s="512"/>
      <c r="W24" s="651"/>
      <c r="X24" s="652"/>
      <c r="Y24" s="477"/>
      <c r="Z24" s="478"/>
      <c r="AA24" s="657"/>
      <c r="AB24" s="658"/>
      <c r="AC24" s="479"/>
      <c r="AD24" s="480"/>
    </row>
    <row r="25" spans="3:30">
      <c r="C25" s="465"/>
      <c r="W25" s="651"/>
      <c r="X25" s="652"/>
      <c r="Y25" s="477"/>
      <c r="Z25" s="478"/>
      <c r="AA25" s="655"/>
      <c r="AB25" s="656"/>
      <c r="AC25" s="479"/>
      <c r="AD25" s="480"/>
    </row>
    <row r="26" spans="3:30">
      <c r="C26" s="465"/>
      <c r="W26" s="672" t="s">
        <v>1630</v>
      </c>
      <c r="X26" s="673"/>
      <c r="Y26" s="477" t="s">
        <v>1617</v>
      </c>
      <c r="Z26" s="478">
        <v>1</v>
      </c>
      <c r="AA26" s="655"/>
      <c r="AB26" s="656"/>
      <c r="AC26" s="479"/>
      <c r="AD26" s="480"/>
    </row>
    <row r="27" spans="3:30">
      <c r="C27" s="465"/>
      <c r="W27" s="672"/>
      <c r="X27" s="673"/>
      <c r="Y27" s="477"/>
      <c r="Z27" s="478"/>
      <c r="AA27" s="655"/>
      <c r="AB27" s="656"/>
      <c r="AC27" s="479"/>
      <c r="AD27" s="480"/>
    </row>
    <row r="28" spans="3:30">
      <c r="C28" s="465"/>
      <c r="W28" s="670"/>
      <c r="X28" s="671"/>
      <c r="Y28" s="477"/>
      <c r="Z28" s="478"/>
      <c r="AA28" s="655"/>
      <c r="AB28" s="656"/>
      <c r="AC28" s="479"/>
      <c r="AD28" s="480"/>
    </row>
    <row r="29" spans="3:30">
      <c r="C29" s="465"/>
      <c r="W29" s="672"/>
      <c r="X29" s="673"/>
      <c r="Y29" s="477"/>
      <c r="Z29" s="478"/>
      <c r="AA29" s="655"/>
      <c r="AB29" s="656"/>
      <c r="AC29" s="479"/>
      <c r="AD29" s="480"/>
    </row>
    <row r="30" spans="3:30" ht="11.25" customHeight="1">
      <c r="C30" s="465"/>
      <c r="W30" s="670"/>
      <c r="X30" s="671"/>
      <c r="Y30" s="477"/>
      <c r="Z30" s="478"/>
      <c r="AA30" s="655"/>
      <c r="AB30" s="656"/>
      <c r="AC30" s="479"/>
      <c r="AD30" s="480"/>
    </row>
    <row r="31" spans="3:30">
      <c r="C31" s="465"/>
      <c r="U31" s="485"/>
      <c r="W31" s="483" t="s">
        <v>1618</v>
      </c>
      <c r="X31" s="484"/>
      <c r="Y31" s="477" t="s">
        <v>1617</v>
      </c>
      <c r="Z31" s="478">
        <v>1</v>
      </c>
      <c r="AA31" s="655"/>
      <c r="AB31" s="656"/>
      <c r="AC31" s="479"/>
      <c r="AD31" s="480"/>
    </row>
    <row r="32" spans="3:30">
      <c r="C32" s="465"/>
      <c r="U32" s="485"/>
      <c r="W32" s="481"/>
      <c r="X32" s="482"/>
      <c r="Y32" s="477"/>
      <c r="Z32" s="478"/>
      <c r="AA32" s="655"/>
      <c r="AB32" s="656"/>
      <c r="AC32" s="479"/>
      <c r="AD32" s="480"/>
    </row>
    <row r="33" spans="3:30">
      <c r="C33" s="465"/>
      <c r="W33" s="670"/>
      <c r="X33" s="671"/>
      <c r="Y33" s="477"/>
      <c r="Z33" s="478"/>
      <c r="AA33" s="655"/>
      <c r="AB33" s="656"/>
      <c r="AC33" s="479"/>
      <c r="AD33" s="480"/>
    </row>
    <row r="34" spans="3:30">
      <c r="C34" s="465"/>
      <c r="Q34" s="462" t="s">
        <v>1607</v>
      </c>
      <c r="S34" s="514"/>
      <c r="W34" s="670" t="s">
        <v>1626</v>
      </c>
      <c r="X34" s="671"/>
      <c r="Y34" s="477" t="s">
        <v>1625</v>
      </c>
      <c r="Z34" s="478">
        <v>50</v>
      </c>
      <c r="AA34" s="655"/>
      <c r="AB34" s="656"/>
      <c r="AC34" s="479"/>
      <c r="AD34" s="480"/>
    </row>
    <row r="35" spans="3:30">
      <c r="C35" s="465"/>
      <c r="W35" s="670"/>
      <c r="X35" s="671"/>
      <c r="Y35" s="477"/>
      <c r="Z35" s="478"/>
      <c r="AA35" s="655"/>
      <c r="AB35" s="656"/>
      <c r="AC35" s="479"/>
      <c r="AD35" s="480"/>
    </row>
    <row r="36" spans="3:30">
      <c r="C36" s="465"/>
      <c r="W36" s="670"/>
      <c r="X36" s="671"/>
      <c r="Y36" s="477"/>
      <c r="Z36" s="478"/>
      <c r="AA36" s="655"/>
      <c r="AB36" s="656"/>
      <c r="AC36" s="479"/>
      <c r="AD36" s="480"/>
    </row>
    <row r="37" spans="3:30" ht="12.75" customHeight="1">
      <c r="C37" s="465"/>
      <c r="W37" s="483"/>
      <c r="X37" s="486"/>
      <c r="Y37" s="477"/>
      <c r="Z37" s="478"/>
      <c r="AA37" s="674"/>
      <c r="AB37" s="675"/>
      <c r="AC37" s="479"/>
      <c r="AD37" s="487"/>
    </row>
    <row r="38" spans="3:30" ht="12.75" customHeight="1">
      <c r="C38" s="465"/>
      <c r="W38" s="488"/>
      <c r="X38" s="489"/>
      <c r="Y38" s="477"/>
      <c r="Z38" s="490"/>
      <c r="AA38" s="676"/>
      <c r="AB38" s="677"/>
      <c r="AC38" s="479"/>
      <c r="AD38" s="487"/>
    </row>
    <row r="39" spans="3:30" ht="12" customHeight="1">
      <c r="C39" s="465"/>
      <c r="W39" s="488"/>
      <c r="X39" s="489"/>
      <c r="Y39" s="477"/>
      <c r="Z39" s="490"/>
      <c r="AA39" s="681"/>
      <c r="AB39" s="682"/>
      <c r="AC39" s="479"/>
      <c r="AD39" s="487"/>
    </row>
    <row r="40" spans="3:30" ht="12" customHeight="1">
      <c r="C40" s="465"/>
      <c r="W40" s="491"/>
      <c r="X40" s="492"/>
      <c r="Y40" s="493"/>
      <c r="Z40" s="490"/>
      <c r="AA40" s="494"/>
      <c r="AB40" s="495"/>
      <c r="AC40" s="496"/>
      <c r="AD40" s="497"/>
    </row>
    <row r="41" spans="3:30" ht="12" customHeight="1">
      <c r="C41" s="465"/>
      <c r="W41" s="683"/>
      <c r="X41" s="684"/>
      <c r="Y41" s="498"/>
      <c r="Z41" s="499"/>
      <c r="AA41" s="685"/>
      <c r="AB41" s="686"/>
      <c r="AC41" s="496"/>
      <c r="AD41" s="497"/>
    </row>
    <row r="42" spans="3:30" ht="12" customHeight="1">
      <c r="C42" s="465"/>
      <c r="W42" s="687" t="s">
        <v>1624</v>
      </c>
      <c r="X42" s="688"/>
      <c r="Y42" s="688"/>
      <c r="Z42" s="688"/>
      <c r="AA42" s="688"/>
      <c r="AB42" s="688"/>
      <c r="AC42" s="688"/>
      <c r="AD42" s="689"/>
    </row>
    <row r="43" spans="3:30" ht="12" customHeight="1">
      <c r="C43" s="465"/>
      <c r="V43" s="500"/>
      <c r="W43" s="690"/>
      <c r="X43" s="691"/>
      <c r="Y43" s="691"/>
      <c r="Z43" s="691"/>
      <c r="AA43" s="691"/>
      <c r="AB43" s="691"/>
      <c r="AC43" s="691"/>
      <c r="AD43" s="692"/>
    </row>
    <row r="44" spans="3:30">
      <c r="C44" s="501"/>
      <c r="D44" s="502"/>
      <c r="E44" s="502"/>
      <c r="F44" s="502"/>
      <c r="G44" s="502"/>
      <c r="H44" s="502"/>
      <c r="I44" s="502"/>
      <c r="N44" s="502"/>
      <c r="O44" s="502"/>
      <c r="P44" s="502"/>
      <c r="Q44" s="502"/>
      <c r="R44" s="502"/>
      <c r="S44" s="502"/>
      <c r="T44" s="502"/>
      <c r="U44" s="502"/>
      <c r="V44" s="500"/>
      <c r="W44" s="678" t="s">
        <v>11</v>
      </c>
      <c r="X44" s="679"/>
      <c r="Y44" s="649"/>
      <c r="Z44" s="649"/>
      <c r="AA44" s="649"/>
      <c r="AB44" s="649"/>
      <c r="AC44" s="649"/>
      <c r="AD44" s="650"/>
    </row>
    <row r="45" spans="3:30">
      <c r="C45" s="501"/>
      <c r="D45" s="502"/>
      <c r="E45" s="502"/>
      <c r="F45" s="502"/>
      <c r="G45" s="502"/>
      <c r="H45" s="502"/>
      <c r="I45" s="502"/>
      <c r="N45" s="502"/>
      <c r="O45" s="502"/>
      <c r="P45" s="502"/>
      <c r="Q45" s="502"/>
      <c r="R45" s="502"/>
      <c r="S45" s="502"/>
      <c r="T45" s="502"/>
      <c r="U45" s="502"/>
      <c r="V45" s="500"/>
      <c r="W45" s="678" t="s">
        <v>984</v>
      </c>
      <c r="X45" s="679"/>
      <c r="Y45" s="649">
        <v>1</v>
      </c>
      <c r="Z45" s="649"/>
      <c r="AA45" s="649"/>
      <c r="AB45" s="649" t="s">
        <v>12</v>
      </c>
      <c r="AC45" s="649"/>
      <c r="AD45" s="470" t="s">
        <v>13</v>
      </c>
    </row>
    <row r="46" spans="3:30">
      <c r="C46" s="501"/>
      <c r="D46" s="502"/>
      <c r="E46" s="502"/>
      <c r="F46" s="502"/>
      <c r="G46" s="502"/>
      <c r="H46" s="502"/>
      <c r="I46" s="502"/>
      <c r="J46" s="502"/>
      <c r="K46" s="502"/>
      <c r="L46" s="502"/>
      <c r="M46" s="502"/>
      <c r="N46" s="502"/>
      <c r="O46" s="502"/>
      <c r="P46" s="502"/>
      <c r="Q46" s="502"/>
      <c r="R46" s="502"/>
      <c r="S46" s="502"/>
      <c r="T46" s="502"/>
      <c r="U46" s="502"/>
      <c r="V46" s="500"/>
      <c r="W46" s="678" t="s">
        <v>15</v>
      </c>
      <c r="X46" s="679"/>
      <c r="Y46" s="680"/>
      <c r="Z46" s="680"/>
      <c r="AA46" s="680"/>
      <c r="AB46" s="649" t="s">
        <v>16</v>
      </c>
      <c r="AC46" s="649"/>
      <c r="AD46" s="503"/>
    </row>
    <row r="47" spans="3:30">
      <c r="C47" s="501"/>
      <c r="D47" s="502"/>
      <c r="E47" s="502"/>
      <c r="F47" s="502"/>
      <c r="G47" s="502"/>
      <c r="H47" s="502"/>
      <c r="I47" s="502"/>
      <c r="J47" s="502"/>
      <c r="K47" s="502"/>
      <c r="L47" s="502"/>
      <c r="M47" s="502"/>
      <c r="N47" s="502"/>
      <c r="O47" s="502"/>
      <c r="P47" s="502"/>
      <c r="Q47" s="502"/>
      <c r="R47" s="502"/>
      <c r="S47" s="502"/>
      <c r="T47" s="502"/>
      <c r="U47" s="502"/>
      <c r="V47" s="500"/>
      <c r="W47" s="698" t="s">
        <v>17</v>
      </c>
      <c r="X47" s="698"/>
      <c r="Y47" s="698"/>
      <c r="Z47" s="698"/>
      <c r="AA47" s="698"/>
      <c r="AB47" s="698"/>
      <c r="AC47" s="698"/>
      <c r="AD47" s="699"/>
    </row>
    <row r="48" spans="3:30" ht="12.75" customHeight="1">
      <c r="C48" s="501"/>
      <c r="D48" s="502"/>
      <c r="E48" s="502"/>
      <c r="F48" s="502"/>
      <c r="G48" s="502"/>
      <c r="H48" s="502"/>
      <c r="I48" s="502"/>
      <c r="J48" s="502"/>
      <c r="K48" s="502"/>
      <c r="L48" s="502"/>
      <c r="M48" s="502"/>
      <c r="R48" s="502"/>
      <c r="S48" s="502"/>
      <c r="T48" s="502"/>
      <c r="U48" s="502"/>
      <c r="V48" s="500"/>
      <c r="W48" s="700" t="s">
        <v>1631</v>
      </c>
      <c r="X48" s="700"/>
      <c r="Y48" s="700"/>
      <c r="Z48" s="700"/>
      <c r="AA48" s="700"/>
      <c r="AB48" s="700"/>
      <c r="AC48" s="700"/>
      <c r="AD48" s="701"/>
    </row>
    <row r="49" spans="3:30">
      <c r="C49" s="501"/>
      <c r="D49" s="504"/>
      <c r="E49" s="502"/>
      <c r="F49" s="502"/>
      <c r="G49" s="502"/>
      <c r="I49" s="502"/>
      <c r="J49" s="502"/>
      <c r="K49" s="502"/>
      <c r="L49" s="502"/>
      <c r="M49" s="502"/>
      <c r="R49" s="502"/>
      <c r="S49" s="502"/>
      <c r="T49" s="502"/>
      <c r="U49" s="502"/>
      <c r="V49" s="505"/>
      <c r="W49" s="700"/>
      <c r="X49" s="700"/>
      <c r="Y49" s="700"/>
      <c r="Z49" s="700"/>
      <c r="AA49" s="700"/>
      <c r="AB49" s="700"/>
      <c r="AC49" s="700"/>
      <c r="AD49" s="701"/>
    </row>
    <row r="50" spans="3:30">
      <c r="C50" s="501"/>
      <c r="D50" s="506"/>
      <c r="E50" s="506"/>
      <c r="F50" s="506"/>
      <c r="G50" s="506"/>
      <c r="I50" s="502"/>
      <c r="J50" s="502"/>
      <c r="K50" s="502"/>
      <c r="L50" s="502"/>
      <c r="M50" s="502"/>
      <c r="N50" s="502"/>
      <c r="O50" s="502"/>
      <c r="P50" s="502"/>
      <c r="Q50" s="502"/>
      <c r="R50" s="502"/>
      <c r="S50" s="502"/>
      <c r="T50" s="502"/>
      <c r="U50" s="502"/>
      <c r="V50" s="505"/>
      <c r="W50" s="700"/>
      <c r="X50" s="700"/>
      <c r="Y50" s="700"/>
      <c r="Z50" s="700"/>
      <c r="AA50" s="700"/>
      <c r="AB50" s="700"/>
      <c r="AC50" s="700"/>
      <c r="AD50" s="701"/>
    </row>
    <row r="51" spans="3:30" ht="19.5" customHeight="1">
      <c r="C51" s="501"/>
      <c r="D51" s="506"/>
      <c r="E51" s="506"/>
      <c r="F51" s="506"/>
      <c r="G51" s="506"/>
      <c r="I51" s="502"/>
      <c r="J51" s="502"/>
      <c r="K51" s="502"/>
      <c r="L51" s="502"/>
      <c r="M51" s="502"/>
      <c r="N51" s="502"/>
      <c r="O51" s="502"/>
      <c r="P51" s="502"/>
      <c r="Q51" s="502"/>
      <c r="R51" s="502"/>
      <c r="S51" s="502"/>
      <c r="T51" s="502"/>
      <c r="U51" s="502"/>
      <c r="V51" s="505"/>
      <c r="W51" s="702"/>
      <c r="X51" s="702"/>
      <c r="Y51" s="702"/>
      <c r="Z51" s="702"/>
      <c r="AA51" s="702"/>
      <c r="AB51" s="702"/>
      <c r="AC51" s="702"/>
      <c r="AD51" s="703"/>
    </row>
    <row r="52" spans="3:30">
      <c r="C52" s="501"/>
      <c r="D52" s="507"/>
      <c r="E52" s="507"/>
      <c r="F52" s="507"/>
      <c r="G52" s="507"/>
      <c r="I52" s="502"/>
      <c r="J52" s="502"/>
      <c r="K52" s="502"/>
      <c r="L52" s="422"/>
      <c r="M52" s="502"/>
      <c r="N52" s="502"/>
      <c r="O52" s="502"/>
      <c r="P52" s="502"/>
      <c r="Q52" s="502"/>
      <c r="R52" s="502"/>
      <c r="S52" s="502"/>
      <c r="T52" s="502"/>
      <c r="U52" s="502"/>
      <c r="V52" s="500"/>
      <c r="W52" s="693" t="s">
        <v>18</v>
      </c>
      <c r="X52" s="679"/>
      <c r="Y52" s="649" t="s">
        <v>1623</v>
      </c>
      <c r="Z52" s="649"/>
      <c r="AA52" s="649"/>
      <c r="AB52" s="649"/>
      <c r="AC52" s="649"/>
      <c r="AD52" s="650"/>
    </row>
    <row r="53" spans="3:30">
      <c r="C53" s="501"/>
      <c r="D53" s="506"/>
      <c r="E53" s="506"/>
      <c r="F53" s="506"/>
      <c r="G53" s="506"/>
      <c r="I53" s="502"/>
      <c r="J53" s="502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V53" s="500"/>
      <c r="W53" s="693" t="s">
        <v>19</v>
      </c>
      <c r="X53" s="679"/>
      <c r="Y53" s="649" t="s">
        <v>1622</v>
      </c>
      <c r="Z53" s="649"/>
      <c r="AA53" s="649"/>
      <c r="AB53" s="649"/>
      <c r="AC53" s="649"/>
      <c r="AD53" s="650"/>
    </row>
    <row r="54" spans="3:30">
      <c r="C54" s="501"/>
      <c r="D54" s="423"/>
      <c r="E54" s="423"/>
      <c r="F54" s="423"/>
      <c r="G54" s="423"/>
      <c r="I54" s="502"/>
      <c r="J54" s="502"/>
      <c r="K54" s="502"/>
      <c r="L54" s="502"/>
      <c r="M54" s="502"/>
      <c r="N54" s="502"/>
      <c r="O54" s="502"/>
      <c r="P54" s="502"/>
      <c r="Q54" s="502"/>
      <c r="R54" s="502"/>
      <c r="S54" s="502"/>
      <c r="T54" s="502"/>
      <c r="V54" s="500"/>
      <c r="W54" s="693" t="s">
        <v>20</v>
      </c>
      <c r="X54" s="679"/>
      <c r="Y54" s="649" t="s">
        <v>1622</v>
      </c>
      <c r="Z54" s="649"/>
      <c r="AA54" s="649"/>
      <c r="AB54" s="649"/>
      <c r="AC54" s="649"/>
      <c r="AD54" s="650"/>
    </row>
    <row r="55" spans="3:30" ht="12.75" thickBot="1">
      <c r="C55" s="508"/>
      <c r="D55" s="509"/>
      <c r="E55" s="509"/>
      <c r="F55" s="509"/>
      <c r="G55" s="509"/>
      <c r="H55" s="509"/>
      <c r="I55" s="509"/>
      <c r="J55" s="509"/>
      <c r="K55" s="509"/>
      <c r="L55" s="509"/>
      <c r="M55" s="509"/>
      <c r="N55" s="509"/>
      <c r="O55" s="509"/>
      <c r="P55" s="509"/>
      <c r="Q55" s="509"/>
      <c r="R55" s="509"/>
      <c r="S55" s="509"/>
      <c r="T55" s="509"/>
      <c r="U55" s="510"/>
      <c r="V55" s="511"/>
      <c r="W55" s="694" t="s">
        <v>21</v>
      </c>
      <c r="X55" s="695"/>
      <c r="Y55" s="696" t="s">
        <v>1621</v>
      </c>
      <c r="Z55" s="696"/>
      <c r="AA55" s="696"/>
      <c r="AB55" s="696"/>
      <c r="AC55" s="696"/>
      <c r="AD55" s="697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AC35" sqref="AC35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04" t="s">
        <v>1619</v>
      </c>
      <c r="D3" s="705"/>
      <c r="E3" s="705"/>
      <c r="F3" s="705"/>
      <c r="G3" s="705"/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705"/>
      <c r="X3" s="705"/>
      <c r="Y3" s="705"/>
      <c r="Z3" s="705"/>
      <c r="AA3" s="705"/>
      <c r="AB3" s="706"/>
      <c r="AC3" s="430"/>
      <c r="AD3" s="428"/>
      <c r="AE3" s="428"/>
    </row>
    <row r="4" spans="2:31" ht="13.5" customHeight="1" thickBot="1">
      <c r="B4" s="429"/>
      <c r="C4" s="707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708"/>
      <c r="X4" s="708"/>
      <c r="Y4" s="708"/>
      <c r="Z4" s="708"/>
      <c r="AA4" s="708"/>
      <c r="AB4" s="709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topLeftCell="A2" zoomScale="43" zoomScaleNormal="130" zoomScaleSheetLayoutView="40" workbookViewId="0">
      <selection activeCell="AD41" sqref="AD41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0" t="s">
        <v>1620</v>
      </c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2"/>
      <c r="AD4" s="206"/>
      <c r="AE4" s="205"/>
      <c r="AF4" s="205"/>
    </row>
    <row r="5" spans="2:32" ht="13.5" customHeight="1" thickBot="1">
      <c r="B5" s="204"/>
      <c r="C5" s="204"/>
      <c r="D5" s="713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  <c r="AA5" s="714"/>
      <c r="AB5" s="714"/>
      <c r="AC5" s="715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8"/>
    </row>
    <row r="76" spans="2:32" ht="15" customHeight="1">
      <c r="F76" s="459"/>
      <c r="N76" s="458"/>
    </row>
    <row r="77" spans="2:32" ht="15" customHeight="1">
      <c r="F77" s="459"/>
      <c r="N77" s="458"/>
    </row>
    <row r="78" spans="2:32" ht="15" customHeight="1">
      <c r="F78" s="459"/>
      <c r="N78" s="458"/>
    </row>
    <row r="79" spans="2:32" ht="15" customHeight="1">
      <c r="F79" s="459"/>
      <c r="N79" s="458"/>
    </row>
    <row r="80" spans="2:32" ht="15" customHeight="1">
      <c r="F80" s="459"/>
      <c r="N80" s="458"/>
    </row>
    <row r="81" spans="6:14" ht="15" customHeight="1">
      <c r="F81" s="459"/>
      <c r="N81" s="458"/>
    </row>
    <row r="82" spans="6:14" ht="15" customHeight="1">
      <c r="F82" s="459"/>
      <c r="N82" s="458"/>
    </row>
    <row r="83" spans="6:14" ht="15" customHeight="1">
      <c r="F83" s="459"/>
      <c r="N83" s="458"/>
    </row>
    <row r="84" spans="6:14" ht="15" customHeight="1">
      <c r="F84" s="459"/>
      <c r="N84" s="458"/>
    </row>
    <row r="85" spans="6:14" ht="15" customHeight="1">
      <c r="F85" s="459"/>
      <c r="N85" s="458"/>
    </row>
    <row r="86" spans="6:14" ht="15" customHeight="1">
      <c r="F86" s="459"/>
      <c r="N86" s="458"/>
    </row>
    <row r="87" spans="6:14" ht="15" customHeight="1">
      <c r="F87" s="459"/>
      <c r="N87" s="458"/>
    </row>
    <row r="88" spans="6:14" ht="15" customHeight="1">
      <c r="F88" s="459"/>
      <c r="N88" s="458"/>
    </row>
    <row r="89" spans="6:14" ht="15" customHeight="1">
      <c r="F89" s="459"/>
      <c r="N89" s="458"/>
    </row>
    <row r="90" spans="6:14" ht="15" customHeight="1">
      <c r="F90" s="459"/>
      <c r="N90" s="458"/>
    </row>
    <row r="91" spans="6:14" ht="15" customHeight="1">
      <c r="F91" s="459"/>
      <c r="N91" s="458"/>
    </row>
    <row r="92" spans="6:14" ht="15" customHeight="1">
      <c r="F92" s="459"/>
      <c r="N92" s="458"/>
    </row>
    <row r="93" spans="6:14" ht="15" customHeight="1">
      <c r="F93" s="459"/>
      <c r="N93" s="458"/>
    </row>
    <row r="94" spans="6:14" ht="15" customHeight="1">
      <c r="F94" s="459"/>
      <c r="N94" s="458"/>
    </row>
    <row r="95" spans="6:14" ht="15" customHeight="1">
      <c r="F95" s="459"/>
      <c r="N95" s="458"/>
    </row>
    <row r="96" spans="6:14" ht="15" customHeight="1">
      <c r="F96" s="459"/>
      <c r="N96" s="458"/>
    </row>
    <row r="97" spans="6:14" ht="15" customHeight="1">
      <c r="F97" s="459"/>
      <c r="N97" s="458"/>
    </row>
    <row r="98" spans="6:14" ht="15" customHeight="1">
      <c r="F98" s="459"/>
    </row>
    <row r="99" spans="6:14" ht="15" customHeight="1">
      <c r="F99" s="459"/>
    </row>
    <row r="100" spans="6:14" ht="15" customHeight="1">
      <c r="F100" s="459"/>
    </row>
    <row r="101" spans="6:14" ht="15" customHeight="1">
      <c r="F101" s="459"/>
    </row>
    <row r="102" spans="6:14" ht="15" customHeight="1">
      <c r="F102" s="459"/>
    </row>
    <row r="103" spans="6:14" ht="15" customHeight="1">
      <c r="F103" s="459"/>
    </row>
    <row r="104" spans="6:14" ht="15" customHeight="1">
      <c r="F104" s="459"/>
    </row>
    <row r="105" spans="6:14" ht="15" customHeight="1">
      <c r="F105" s="459"/>
    </row>
    <row r="106" spans="6:14" ht="15" customHeight="1">
      <c r="F106" s="459"/>
    </row>
    <row r="107" spans="6:14" ht="15" customHeight="1">
      <c r="F107" s="459"/>
    </row>
    <row r="108" spans="6:14" ht="15" customHeight="1">
      <c r="F108" s="459"/>
    </row>
    <row r="109" spans="6:14" ht="15" customHeight="1">
      <c r="F109" s="459"/>
    </row>
    <row r="110" spans="6:14" ht="15" customHeight="1">
      <c r="F110" s="459"/>
    </row>
    <row r="111" spans="6:14" ht="15" customHeight="1">
      <c r="F111" s="459"/>
    </row>
    <row r="112" spans="6:14" ht="15" customHeight="1">
      <c r="F112" s="459"/>
    </row>
    <row r="113" spans="6:6" ht="15" customHeight="1">
      <c r="F113" s="459"/>
    </row>
    <row r="114" spans="6:6" ht="15" customHeight="1">
      <c r="F114" s="459"/>
    </row>
    <row r="115" spans="6:6" ht="15" customHeight="1">
      <c r="F115" s="459"/>
    </row>
    <row r="116" spans="6:6" ht="15" customHeight="1">
      <c r="F116" s="459"/>
    </row>
    <row r="117" spans="6:6" ht="15" customHeight="1">
      <c r="F117" s="459"/>
    </row>
    <row r="118" spans="6:6" ht="15" customHeight="1">
      <c r="F118" s="459"/>
    </row>
    <row r="119" spans="6:6" ht="15" customHeight="1">
      <c r="F119" s="459"/>
    </row>
    <row r="120" spans="6:6" ht="15" customHeight="1">
      <c r="F120" s="459"/>
    </row>
    <row r="121" spans="6:6" ht="15" customHeight="1">
      <c r="F121" s="459"/>
    </row>
    <row r="122" spans="6:6">
      <c r="F122" s="459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2024-06-28T01:41:25Z</dcterms:modified>
</cp:coreProperties>
</file>