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PBPD\RAB\"/>
    </mc:Choice>
  </mc:AlternateContent>
  <xr:revisionPtr revIDLastSave="0" documentId="13_ncr:1_{1BFFE6D0-46AD-4ECE-A485-C66E5726925A}" xr6:coauthVersionLast="47" xr6:coauthVersionMax="47" xr10:uidLastSave="{00000000-0000-0000-0000-000000000000}"/>
  <bookViews>
    <workbookView xWindow="-120" yWindow="-120" windowWidth="29040" windowHeight="158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8" i="11" l="1"/>
  <c r="G29" i="11"/>
  <c r="G30" i="11"/>
  <c r="D28" i="11"/>
  <c r="H28" i="11" s="1"/>
  <c r="E28" i="11"/>
  <c r="D29" i="11"/>
  <c r="J29" i="11" s="1"/>
  <c r="E29" i="11"/>
  <c r="D30" i="11"/>
  <c r="I30" i="11" s="1"/>
  <c r="E30" i="11"/>
  <c r="F27" i="11"/>
  <c r="F26" i="11"/>
  <c r="F25" i="11"/>
  <c r="F24" i="11"/>
  <c r="F23" i="11"/>
  <c r="I29" i="11" l="1"/>
  <c r="H30" i="11"/>
  <c r="J28" i="11"/>
  <c r="H29" i="11"/>
  <c r="K29" i="11" s="1"/>
  <c r="I28" i="11"/>
  <c r="J30" i="11"/>
  <c r="K28" i="11" l="1"/>
  <c r="K30" i="11"/>
  <c r="D19" i="11" l="1"/>
  <c r="J19" i="11" s="1"/>
  <c r="E19" i="11"/>
  <c r="G19" i="11"/>
  <c r="D16" i="11"/>
  <c r="J16" i="11" s="1"/>
  <c r="E16" i="11"/>
  <c r="G16" i="11"/>
  <c r="D17" i="11"/>
  <c r="J17" i="11" s="1"/>
  <c r="E17" i="11"/>
  <c r="G17" i="11"/>
  <c r="D20" i="11"/>
  <c r="J20" i="11" s="1"/>
  <c r="E20" i="11"/>
  <c r="G20" i="11"/>
  <c r="D21" i="11"/>
  <c r="J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I24" i="11" s="1"/>
  <c r="E24" i="11"/>
  <c r="G24" i="11"/>
  <c r="D25" i="11"/>
  <c r="E25" i="11"/>
  <c r="G25" i="11"/>
  <c r="D26" i="11"/>
  <c r="E26" i="11"/>
  <c r="G26" i="11"/>
  <c r="D27" i="11"/>
  <c r="E27" i="11"/>
  <c r="G27" i="11"/>
  <c r="K12" i="60"/>
  <c r="K13" i="60"/>
  <c r="J27" i="11" l="1"/>
  <c r="I19" i="11"/>
  <c r="H19" i="11"/>
  <c r="I16" i="11"/>
  <c r="H16" i="11"/>
  <c r="I17" i="11"/>
  <c r="H17" i="11"/>
  <c r="H20" i="11"/>
  <c r="I20" i="11"/>
  <c r="I21" i="11"/>
  <c r="H21" i="11"/>
  <c r="H25" i="11"/>
  <c r="J26" i="11"/>
  <c r="J24" i="11"/>
  <c r="I26" i="11"/>
  <c r="H22" i="11"/>
  <c r="I22" i="11"/>
  <c r="H24" i="11"/>
  <c r="H26" i="11"/>
  <c r="I25" i="11"/>
  <c r="H27" i="11"/>
  <c r="J25" i="11"/>
  <c r="H23" i="11"/>
  <c r="I27" i="11"/>
  <c r="I23" i="11"/>
  <c r="K21" i="11" l="1"/>
  <c r="K19" i="11"/>
  <c r="K16" i="11"/>
  <c r="K17" i="11"/>
  <c r="K20" i="11"/>
  <c r="K22" i="11"/>
  <c r="K25" i="11"/>
  <c r="K24" i="11"/>
  <c r="K26" i="11"/>
  <c r="K23" i="11"/>
  <c r="K27" i="11"/>
  <c r="Q6" i="64" l="1"/>
  <c r="G6" i="11" l="1"/>
  <c r="D15" i="11" l="1"/>
  <c r="J15" i="11" s="1"/>
  <c r="E15" i="11"/>
  <c r="G15" i="11"/>
  <c r="I15" i="11" l="1"/>
  <c r="H15" i="11"/>
  <c r="K15" i="11" l="1"/>
  <c r="W49" i="64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1" i="11"/>
  <c r="D32" i="11"/>
  <c r="H32" i="11" s="1"/>
  <c r="E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129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L201" i="10" s="1"/>
  <c r="K201" i="10"/>
  <c r="O201" i="10"/>
  <c r="P201" i="10" s="1"/>
  <c r="J202" i="10"/>
  <c r="K202" i="10"/>
  <c r="O202" i="10"/>
  <c r="J203" i="10"/>
  <c r="L203" i="10" s="1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M314" i="10" s="1"/>
  <c r="N314" i="10" s="1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M598" i="10" s="1"/>
  <c r="N598" i="10" s="1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M606" i="10" s="1"/>
  <c r="N606" i="10" s="1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N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N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N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N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N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N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N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N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N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N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N746" i="10" s="1"/>
  <c r="O746" i="10"/>
  <c r="P746" i="10" s="1"/>
  <c r="J747" i="10"/>
  <c r="L747" i="10" s="1"/>
  <c r="N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N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N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N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N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N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N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N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N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N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N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N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N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N883" i="10" s="1"/>
  <c r="O883" i="10"/>
  <c r="P883" i="10" s="1"/>
  <c r="J884" i="10"/>
  <c r="L884" i="10" s="1"/>
  <c r="K884" i="10"/>
  <c r="M884" i="10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N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N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N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N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N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N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N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N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N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N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N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N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N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N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N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N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N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N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N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N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N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N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N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N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N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N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700" i="10"/>
  <c r="N775" i="10"/>
  <c r="N960" i="10"/>
  <c r="N676" i="10"/>
  <c r="N824" i="10"/>
  <c r="N723" i="10"/>
  <c r="N956" i="10"/>
  <c r="N751" i="10"/>
  <c r="N952" i="10"/>
  <c r="N664" i="10"/>
  <c r="N921" i="10"/>
  <c r="N763" i="10"/>
  <c r="N645" i="10"/>
  <c r="N964" i="10"/>
  <c r="N1085" i="10"/>
  <c r="N1053" i="10"/>
  <c r="N1045" i="10"/>
  <c r="N925" i="10"/>
  <c r="N909" i="10"/>
  <c r="N668" i="10"/>
  <c r="N657" i="10"/>
  <c r="O7" i="10"/>
  <c r="P7" i="10" s="1"/>
  <c r="P188" i="10"/>
  <c r="G9" i="39"/>
  <c r="G6" i="39"/>
  <c r="C2" i="41"/>
  <c r="J7" i="10"/>
  <c r="L112" i="10"/>
  <c r="K7" i="10"/>
  <c r="M7" i="10" s="1"/>
  <c r="L172" i="10"/>
  <c r="L177" i="10"/>
  <c r="L202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9" i="11"/>
  <c r="I1220" i="10"/>
  <c r="I1219" i="10"/>
  <c r="I9" i="10"/>
  <c r="P191" i="10"/>
  <c r="P193" i="10"/>
  <c r="P190" i="10"/>
  <c r="P192" i="10"/>
  <c r="P195" i="10"/>
  <c r="P194" i="10"/>
  <c r="L108" i="10"/>
  <c r="L111" i="10"/>
  <c r="L204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80" i="10"/>
  <c r="L206" i="10"/>
  <c r="L247" i="10"/>
  <c r="N1099" i="10"/>
  <c r="G8" i="39"/>
  <c r="I107" i="10"/>
  <c r="I1408" i="10"/>
  <c r="I1411" i="10"/>
  <c r="I1414" i="10"/>
  <c r="M120" i="10"/>
  <c r="M141" i="10"/>
  <c r="M229" i="10"/>
  <c r="M145" i="10"/>
  <c r="M227" i="10"/>
  <c r="M1405" i="10"/>
  <c r="M1427" i="10"/>
  <c r="M223" i="10"/>
  <c r="M144" i="10"/>
  <c r="M140" i="10"/>
  <c r="M243" i="10"/>
  <c r="M271" i="10"/>
  <c r="M142" i="10"/>
  <c r="M197" i="10"/>
  <c r="N197" i="10" s="1"/>
  <c r="M222" i="10"/>
  <c r="P80" i="10"/>
  <c r="N1298" i="10"/>
  <c r="G8" i="29"/>
  <c r="N1359" i="10"/>
  <c r="N1052" i="10"/>
  <c r="N976" i="10"/>
  <c r="N1177" i="10"/>
  <c r="N969" i="10"/>
  <c r="N939" i="10"/>
  <c r="N870" i="10"/>
  <c r="N767" i="10"/>
  <c r="N759" i="10"/>
  <c r="N755" i="10"/>
  <c r="N743" i="10"/>
  <c r="N735" i="10"/>
  <c r="N731" i="10"/>
  <c r="N719" i="10"/>
  <c r="N715" i="10"/>
  <c r="N913" i="10"/>
  <c r="N861" i="10"/>
  <c r="N844" i="10"/>
  <c r="N830" i="10"/>
  <c r="N829" i="10"/>
  <c r="N934" i="10"/>
  <c r="N933" i="10"/>
  <c r="N932" i="10"/>
  <c r="N930" i="10"/>
  <c r="N929" i="10"/>
  <c r="N695" i="10"/>
  <c r="N687" i="10"/>
  <c r="N683" i="10"/>
  <c r="N671" i="10"/>
  <c r="N667" i="10"/>
  <c r="N663" i="10"/>
  <c r="N651" i="10"/>
  <c r="N647" i="10"/>
  <c r="P202" i="10"/>
  <c r="N1252" i="10"/>
  <c r="N1326" i="10"/>
  <c r="N1185" i="10"/>
  <c r="L86" i="10"/>
  <c r="N86" i="10" s="1"/>
  <c r="L45" i="10"/>
  <c r="N1237" i="10"/>
  <c r="N1144" i="10"/>
  <c r="N1041" i="10"/>
  <c r="N972" i="10"/>
  <c r="N1318" i="10"/>
  <c r="N1254" i="10"/>
  <c r="N1163" i="10"/>
  <c r="N860" i="10"/>
  <c r="N817" i="10"/>
  <c r="N812" i="10"/>
  <c r="N947" i="10"/>
  <c r="N917" i="10"/>
  <c r="N915" i="10"/>
  <c r="N885" i="10"/>
  <c r="N833" i="10"/>
  <c r="N794" i="10"/>
  <c r="N790" i="10"/>
  <c r="N778" i="10"/>
  <c r="N774" i="10"/>
  <c r="N1097" i="10"/>
  <c r="N1084" i="10"/>
  <c r="N694" i="10"/>
  <c r="N670" i="10"/>
  <c r="N666" i="10"/>
  <c r="N1011" i="10"/>
  <c r="N1009" i="10"/>
  <c r="N998" i="10"/>
  <c r="N980" i="10"/>
  <c r="N943" i="10"/>
  <c r="N920" i="10"/>
  <c r="N895" i="10"/>
  <c r="N852" i="10"/>
  <c r="N836" i="10"/>
  <c r="N832" i="10"/>
  <c r="N825" i="10"/>
  <c r="N816" i="10"/>
  <c r="N805" i="10"/>
  <c r="N804" i="10"/>
  <c r="N800" i="10"/>
  <c r="N796" i="10"/>
  <c r="N788" i="10"/>
  <c r="N785" i="10"/>
  <c r="N780" i="10"/>
  <c r="N776" i="10"/>
  <c r="N772" i="10"/>
  <c r="N768" i="10"/>
  <c r="N760" i="10"/>
  <c r="N756" i="10"/>
  <c r="N752" i="10"/>
  <c r="N744" i="10"/>
  <c r="N740" i="10"/>
  <c r="N736" i="10"/>
  <c r="N728" i="10"/>
  <c r="N724" i="10"/>
  <c r="N720" i="10"/>
  <c r="N710" i="10"/>
  <c r="N726" i="10"/>
  <c r="N718" i="10"/>
  <c r="N707" i="10"/>
  <c r="N705" i="10"/>
  <c r="N696" i="10"/>
  <c r="N692" i="10"/>
  <c r="N688" i="10"/>
  <c r="N672" i="10"/>
  <c r="N660" i="10"/>
  <c r="N656" i="10"/>
  <c r="N1312" i="10"/>
  <c r="N1168" i="10"/>
  <c r="N1158" i="10"/>
  <c r="N1141" i="10"/>
  <c r="N1140" i="10"/>
  <c r="N1135" i="10"/>
  <c r="N1133" i="10"/>
  <c r="N1166" i="10"/>
  <c r="L208" i="10"/>
  <c r="L242" i="10"/>
  <c r="L240" i="10"/>
  <c r="L233" i="10"/>
  <c r="L268" i="10"/>
  <c r="N1270" i="10"/>
  <c r="N1121" i="10"/>
  <c r="N1129" i="10"/>
  <c r="N1128" i="10"/>
  <c r="N1049" i="10"/>
  <c r="N1294" i="10"/>
  <c r="N1236" i="10"/>
  <c r="N1171" i="10"/>
  <c r="N1138" i="10"/>
  <c r="N1110" i="10"/>
  <c r="N1076" i="10"/>
  <c r="N1002" i="10"/>
  <c r="N1302" i="10"/>
  <c r="N1249" i="10"/>
  <c r="N1240" i="10"/>
  <c r="N1035" i="10"/>
  <c r="N1034" i="10"/>
  <c r="P10" i="10"/>
  <c r="P198" i="10"/>
  <c r="M1452" i="10"/>
  <c r="N1452" i="10" s="1"/>
  <c r="M98" i="10"/>
  <c r="M183" i="10"/>
  <c r="M99" i="10"/>
  <c r="M639" i="10"/>
  <c r="N639" i="10" s="1"/>
  <c r="M193" i="10"/>
  <c r="M106" i="10"/>
  <c r="M260" i="10"/>
  <c r="M102" i="10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 s="1"/>
  <c r="M108" i="10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M557" i="10"/>
  <c r="M198" i="10"/>
  <c r="N198" i="10" s="1"/>
  <c r="M1435" i="10"/>
  <c r="M231" i="10"/>
  <c r="L172" i="29"/>
  <c r="L42" i="39"/>
  <c r="L70" i="10" l="1"/>
  <c r="N70" i="10" s="1"/>
  <c r="N1454" i="10"/>
  <c r="N994" i="10"/>
  <c r="N990" i="10"/>
  <c r="N986" i="10"/>
  <c r="N970" i="10"/>
  <c r="N650" i="10"/>
  <c r="N273" i="10"/>
  <c r="N1186" i="10"/>
  <c r="N1131" i="10"/>
  <c r="N1012" i="10"/>
  <c r="N1008" i="10"/>
  <c r="N1000" i="10"/>
  <c r="N918" i="10"/>
  <c r="N792" i="10"/>
  <c r="N771" i="10"/>
  <c r="N655" i="10"/>
  <c r="N648" i="10"/>
  <c r="N1091" i="10"/>
  <c r="N1083" i="10"/>
  <c r="N1079" i="10"/>
  <c r="N1071" i="10"/>
  <c r="N1063" i="10"/>
  <c r="N1059" i="10"/>
  <c r="N1051" i="10"/>
  <c r="N1043" i="10"/>
  <c r="N1029" i="10"/>
  <c r="N1021" i="10"/>
  <c r="N936" i="10"/>
  <c r="N923" i="10"/>
  <c r="N793" i="10"/>
  <c r="N773" i="10"/>
  <c r="N697" i="10"/>
  <c r="N693" i="10"/>
  <c r="N677" i="10"/>
  <c r="N106" i="10"/>
  <c r="L235" i="10"/>
  <c r="L93" i="10"/>
  <c r="N93" i="10" s="1"/>
  <c r="L127" i="10"/>
  <c r="L128" i="10"/>
  <c r="L9" i="10"/>
  <c r="N1431" i="10"/>
  <c r="N1407" i="10"/>
  <c r="N1108" i="10"/>
  <c r="N912" i="10"/>
  <c r="N557" i="10"/>
  <c r="N1267" i="10"/>
  <c r="N1262" i="10"/>
  <c r="N1192" i="10"/>
  <c r="N1134" i="10"/>
  <c r="N784" i="10"/>
  <c r="N764" i="10"/>
  <c r="N748" i="10"/>
  <c r="N732" i="10"/>
  <c r="N712" i="10"/>
  <c r="N684" i="10"/>
  <c r="N1356" i="10"/>
  <c r="N1268" i="10"/>
  <c r="N1246" i="10"/>
  <c r="N1088" i="10"/>
  <c r="N1073" i="10"/>
  <c r="N1072" i="10"/>
  <c r="N1040" i="10"/>
  <c r="N928" i="10"/>
  <c r="N889" i="10"/>
  <c r="N840" i="10"/>
  <c r="N815" i="10"/>
  <c r="N701" i="10"/>
  <c r="N669" i="10"/>
  <c r="N652" i="10"/>
  <c r="N633" i="10"/>
  <c r="K14" i="29"/>
  <c r="N877" i="10"/>
  <c r="N873" i="10"/>
  <c r="N869" i="10"/>
  <c r="N865" i="10"/>
  <c r="N699" i="10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47" i="29" s="1"/>
  <c r="D247" i="29" s="1"/>
  <c r="F247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N1435" i="10"/>
  <c r="C245" i="29"/>
  <c r="D245" i="29" s="1"/>
  <c r="F245" i="29" s="1"/>
  <c r="N9" i="10"/>
  <c r="C299" i="29"/>
  <c r="D299" i="29" s="1"/>
  <c r="F299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J32" i="11"/>
  <c r="I32" i="11"/>
  <c r="C75" i="39" l="1"/>
  <c r="D75" i="39" s="1"/>
  <c r="E75" i="39" s="1"/>
  <c r="C251" i="29"/>
  <c r="D251" i="29" s="1"/>
  <c r="F251" i="29" s="1"/>
  <c r="C264" i="29"/>
  <c r="D264" i="29" s="1"/>
  <c r="F264" i="29" s="1"/>
  <c r="C268" i="29"/>
  <c r="D268" i="29" s="1"/>
  <c r="F268" i="29" s="1"/>
  <c r="C276" i="29"/>
  <c r="D276" i="29" s="1"/>
  <c r="F276" i="29" s="1"/>
  <c r="C228" i="29"/>
  <c r="D228" i="29" s="1"/>
  <c r="E228" i="29" s="1"/>
  <c r="C266" i="29"/>
  <c r="D266" i="29" s="1"/>
  <c r="E266" i="29" s="1"/>
  <c r="C273" i="29"/>
  <c r="D273" i="29" s="1"/>
  <c r="F273" i="29" s="1"/>
  <c r="C256" i="29"/>
  <c r="D256" i="29" s="1"/>
  <c r="E256" i="29" s="1"/>
  <c r="C293" i="29"/>
  <c r="D293" i="29" s="1"/>
  <c r="E293" i="29" s="1"/>
  <c r="C261" i="29"/>
  <c r="D261" i="29" s="1"/>
  <c r="F261" i="29" s="1"/>
  <c r="C298" i="29"/>
  <c r="D298" i="29" s="1"/>
  <c r="E298" i="29" s="1"/>
  <c r="C250" i="29"/>
  <c r="D250" i="29" s="1"/>
  <c r="E250" i="29" s="1"/>
  <c r="C284" i="29"/>
  <c r="D284" i="29" s="1"/>
  <c r="E284" i="29" s="1"/>
  <c r="C308" i="29"/>
  <c r="D308" i="29" s="1"/>
  <c r="E308" i="29" s="1"/>
  <c r="C313" i="29"/>
  <c r="D313" i="29" s="1"/>
  <c r="E313" i="29" s="1"/>
  <c r="C270" i="29"/>
  <c r="D270" i="29" s="1"/>
  <c r="E270" i="29" s="1"/>
  <c r="C316" i="29"/>
  <c r="D316" i="29" s="1"/>
  <c r="E316" i="29" s="1"/>
  <c r="C302" i="29"/>
  <c r="D302" i="29" s="1"/>
  <c r="E302" i="29" s="1"/>
  <c r="C289" i="29"/>
  <c r="D289" i="29" s="1"/>
  <c r="E289" i="29" s="1"/>
  <c r="C271" i="29"/>
  <c r="D271" i="29" s="1"/>
  <c r="E271" i="29" s="1"/>
  <c r="C294" i="29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47" i="29"/>
  <c r="E245" i="29"/>
  <c r="E299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32" i="11"/>
  <c r="F270" i="29" l="1"/>
  <c r="F302" i="29"/>
  <c r="E273" i="29"/>
  <c r="F298" i="29"/>
  <c r="E276" i="29"/>
  <c r="F289" i="29"/>
  <c r="E251" i="29"/>
  <c r="E264" i="29"/>
  <c r="F308" i="29"/>
  <c r="E261" i="29"/>
  <c r="E268" i="29"/>
  <c r="F266" i="29"/>
  <c r="F250" i="29"/>
  <c r="F271" i="29"/>
  <c r="F256" i="29"/>
  <c r="F316" i="29"/>
  <c r="F284" i="29"/>
  <c r="E236" i="29"/>
  <c r="J31" i="11"/>
  <c r="K31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4" i="11"/>
  <c r="H35" i="11" s="1"/>
  <c r="I34" i="11"/>
  <c r="I3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6" i="11"/>
  <c r="I3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4" i="11"/>
  <c r="K3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4" i="11"/>
  <c r="J3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6" i="11"/>
  <c r="B3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<sst xmlns="http://schemas.openxmlformats.org/spreadsheetml/2006/main" count="4695" uniqueCount="1622">
  <si>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</si>
  <si>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</si>
  <si>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</si>
  <si>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</si>
  <si>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</si>
  <si>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</si>
  <si>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</si>
  <si>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</si>
  <si>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</si>
  <si>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</si>
  <si>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</si>
  <si>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</si>
  <si>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</si>
  <si>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</si>
  <si>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</si>
  <si>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</si>
  <si>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</si>
  <si>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</si>
  <si>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</si>
  <si>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</si>
  <si>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</si>
  <si>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</si>
  <si>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</si>
  <si>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</si>
  <si>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</si>
  <si>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</si>
  <si>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</si>
  <si>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</si>
  <si>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</si>
  <si>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</si>
  <si>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</si>
  <si>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</si>
  <si>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</si>
  <si>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</si>
  <si>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</si>
  <si>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</si>
  <si>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</si>
  <si>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</si>
  <si>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</si>
  <si>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</si>
  <si>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</si>
  <si>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</si>
  <si>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</si>
  <si>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</si>
  <si>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</si>
  <si>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</si>
  <si>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</si>
  <si>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</si>
  <si>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</si>
  <si>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</si>
  <si>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</si>
  <si>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</si>
  <si>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</si>
  <si>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</si>
  <si>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</si>
  <si>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</si>
  <si>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</si>
  <si>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</si>
  <si>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</si>
  <si>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</si>
  <si>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</si>
  <si>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</si>
  <si>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</si>
  <si>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</si>
  <si>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</si>
  <si>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</si>
  <si>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</si>
  <si>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</si>
  <si>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</si>
  <si>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</si>
  <si>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</si>
  <si>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</si>
  <si>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</si>
  <si>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</si>
  <si>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</si>
  <si>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</si>
  <si>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</si>
  <si>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</si>
  <si>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</si>
  <si>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</si>
  <si>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</si>
  <si>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</si>
  <si>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</si>
  <si>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</si>
  <si>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</si>
  <si>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</si>
  <si>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</si>
  <si>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</si>
  <si>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</si>
  <si>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</si>
  <si>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</si>
  <si>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</si>
  <si>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</si>
  <si>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</si>
  <si>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</si>
  <si>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</si>
  <si>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</si>
  <si>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</si>
  <si>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</si>
  <si>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</si>
  <si>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</si>
  <si>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</si>
  <si>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</si>
  <si>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</si>
  <si>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</si>
  <si>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</si>
  <si>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</si>
  <si>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</si>
  <si>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</si>
  <si>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</si>
  <si>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</si>
  <si>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</si>
  <si>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</si>
  <si>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</si>
  <si>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</si>
  <si>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</si>
  <si>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</si>
  <si>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</si>
  <si>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</si>
  <si>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</si>
  <si>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</si>
  <si>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</si>
  <si>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</si>
  <si>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</si>
  <si>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</si>
  <si>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</si>
  <si>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</si>
  <si>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</si>
  <si>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</si>
  <si>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</si>
  <si>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</si>
  <si>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</si>
  <si>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</si>
  <si>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</si>
  <si>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</si>
  <si>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</si>
  <si>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</si>
  <si>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</si>
  <si>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</si>
  <si>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</si>
  <si>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</si>
  <si>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</si>
  <si>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</si>
  <si>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</si>
  <si>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</si>
  <si>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</si>
  <si>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</si>
  <si>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</si>
  <si>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</si>
  <si>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</si>
  <si>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</si>
  <si>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</si>
  <si>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</si>
  <si>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</si>
  <si>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</si>
  <si>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</si>
  <si>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</si>
  <si>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</si>
  <si>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</si>
  <si>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</si>
  <si>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</si>
  <si>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</si>
  <si>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</si>
  <si>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</si>
  <si>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</si>
  <si>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</si>
  <si>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</si>
  <si>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</si>
  <si>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</si>
  <si>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</si>
  <si>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</si>
  <si>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</si>
  <si>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</si>
  <si>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</si>
  <si>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</si>
  <si>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</si>
  <si>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</si>
  <si>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</si>
  <si>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</si>
  <si>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</si>
  <si>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</si>
  <si>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</si>
  <si>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</si>
  <si>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</si>
  <si>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</si>
  <si>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</si>
  <si>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</si>
  <si>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</si>
  <si>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</si>
  <si>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</si>
  <si>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</si>
  <si>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</si>
  <si>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</si>
  <si>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</si>
  <si>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</si>
  <si>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</si>
  <si>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</si>
  <si>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</si>
  <si>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</si>
  <si>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</si>
  <si>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</si>
  <si>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</si>
  <si>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</si>
  <si>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</si>
  <si>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</si>
  <si>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</si>
  <si>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</si>
  <si>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</si>
  <si>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</si>
  <si>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</si>
  <si>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</si>
  <si>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</si>
  <si>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</si>
  <si>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</si>
  <si>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</si>
  <si>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</si>
  <si>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</si>
  <si>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</si>
  <si>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</si>
  <si>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</si>
  <si>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</si>
  <si>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</si>
  <si>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</si>
  <si>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</si>
  <si>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</si>
  <si>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</si>
  <si>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</si>
  <si>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</si>
  <si>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</si>
  <si>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</si>
  <si>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</si>
  <si>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</si>
  <si>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</si>
  <si>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</si>
  <si>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</si>
  <si>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</si>
  <si>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</si>
  <si>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</si>
  <si>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</si>
  <si>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</si>
  <si>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</si>
  <si>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</si>
  <si>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</si>
  <si>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</si>
  <si>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</si>
  <si>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</si>
  <si>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</si>
  <si>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</si>
  <si>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</si>
  <si>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</si>
  <si>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</si>
  <si>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</si>
  <si>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</si>
  <si>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</si>
  <si>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</si>
  <si>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</si>
  <si>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</si>
  <si>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</si>
  <si>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</si>
  <si>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</si>
  <si>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</si>
  <si>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</si>
  <si>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</si>
  <si>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</si>
  <si>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</si>
  <si>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</si>
  <si>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</si>
  <si>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</si>
  <si>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</si>
  <si>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</si>
  <si>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</si>
  <si>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</si>
  <si>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</si>
  <si>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</si>
  <si>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</si>
  <si>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</si>
  <si>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</si>
  <si>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</si>
  <si>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</si>
  <si>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</si>
  <si>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</si>
  <si>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</si>
  <si>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</si>
  <si>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</si>
  <si>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</si>
  <si>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</si>
  <si>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</si>
  <si>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</si>
  <si>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</si>
  <si>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</si>
  <si>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</si>
  <si>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</si>
  <si>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</si>
  <si>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</si>
  <si>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</si>
  <si>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</si>
  <si>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</si>
  <si>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</si>
  <si>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</si>
  <si>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</si>
  <si>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</si>
  <si>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</si>
  <si>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</si>
  <si>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</si>
  <si>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</si>
  <si>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</si>
  <si>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</si>
  <si>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</si>
  <si>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</si>
  <si>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</si>
  <si>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</si>
  <si>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</si>
  <si>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</si>
  <si>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</si>
  <si>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</si>
  <si>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</si>
  <si>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</si>
  <si>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</si>
  <si>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</si>
  <si>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</si>
  <si>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</si>
  <si>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</si>
  <si>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</si>
  <si>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</si>
  <si>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</si>
  <si>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</si>
  <si>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</si>
  <si>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</si>
  <si>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</si>
  <si>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</si>
  <si>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</si>
  <si>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</si>
  <si>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</si>
  <si>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</si>
  <si>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</si>
  <si>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</si>
  <si>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</si>
  <si>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</si>
  <si>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</si>
  <si>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</si>
  <si>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</si>
  <si>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</si>
  <si>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</si>
  <si>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</si>
  <si>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</si>
  <si>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</si>
  <si>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</si>
  <si>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</si>
  <si>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</si>
  <si>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</si>
  <si>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</si>
  <si>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</si>
  <si>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</si>
  <si>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</si>
  <si>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</si>
  <si>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</si>
  <si>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</si>
  <si>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</si>
  <si>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</si>
  <si>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</si>
  <si>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</si>
  <si>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</si>
  <si>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</si>
  <si>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</si>
  <si>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</si>
  <si>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</si>
  <si>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</si>
  <si>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</si>
  <si>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</si>
  <si>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</si>
  <si>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</si>
  <si>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</si>
  <si>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</si>
  <si>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</si>
  <si>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</si>
  <si>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</si>
  <si>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</si>
  <si>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</si>
  <si>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</si>
  <si>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</si>
  <si>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</si>
  <si>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</si>
  <si>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</si>
  <si>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</si>
  <si>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</si>
  <si>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</si>
  <si>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</si>
  <si>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</si>
  <si>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</si>
  <si>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</si>
  <si>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</si>
  <si>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</si>
  <si>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</si>
  <si>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</si>
  <si>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</si>
  <si>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</si>
  <si>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</si>
  <si>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</si>
  <si>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</si>
  <si>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</si>
  <si>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</si>
  <si>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</si>
  <si>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</si>
  <si>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</si>
  <si>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</si>
  <si>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</si>
  <si>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</si>
  <si>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</si>
  <si>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</si>
  <si>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</si>
  <si>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</si>
  <si>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</si>
  <si>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</si>
  <si>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</si>
  <si>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</si>
  <si>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</si>
  <si>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</si>
  <si>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</si>
  <si>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</si>
  <si>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</si>
  <si>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</si>
  <si>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</si>
  <si>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</si>
  <si>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</si>
  <si>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</si>
  <si>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</si>
  <si>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</si>
  <si>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</si>
  <si>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</si>
  <si>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</si>
  <si>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</si>
  <si>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</si>
  <si>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</si>
  <si>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</si>
  <si>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</si>
  <si>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</si>
  <si>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</si>
  <si>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</si>
  <si>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</si>
  <si>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</si>
  <si>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</si>
  <si>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</si>
  <si>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</si>
  <si>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</si>
  <si>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</si>
  <si>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</si>
  <si>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</si>
  <si>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</si>
  <si>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</si>
  <si>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</si>
  <si>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</si>
  <si>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</si>
  <si>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</si>
  <si>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</si>
  <si>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</si>
  <si>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</si>
  <si>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</si>
  <si>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</si>
  <si>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</si>
  <si>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</si>
  <si>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</si>
  <si>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</si>
  <si>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</si>
  <si>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</si>
  <si>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</si>
  <si>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</si>
  <si>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</si>
  <si>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</si>
  <si>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</si>
  <si>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</si>
  <si>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</si>
  <si>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</si>
  <si>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</si>
  <si>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</si>
  <si>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</si>
  <si>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</si>
  <si>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</si>
  <si>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</si>
  <si>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</si>
  <si>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</si>
  <si>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</si>
  <si>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</si>
  <si>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</si>
  <si>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</si>
  <si>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</si>
  <si>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</si>
  <si>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</si>
  <si>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</si>
  <si>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</si>
  <si>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</si>
  <si>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</si>
  <si>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</si>
  <si>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</si>
  <si>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</si>
  <si>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</si>
  <si>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</si>
  <si>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</si>
  <si>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</si>
  <si>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</si>
  <si>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</si>
  <si>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</si>
  <si>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</si>
  <si>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</si>
  <si>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</si>
  <si>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</si>
  <si>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</si>
  <si>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</si>
  <si>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</si>
  <si>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</si>
  <si>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</si>
  <si>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</si>
  <si>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</si>
  <si>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</si>
  <si>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</si>
  <si>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</si>
  <si>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</si>
  <si>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</si>
  <si>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</si>
  <si>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</si>
  <si>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</si>
  <si>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</si>
  <si>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</si>
  <si>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</si>
  <si>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</si>
  <si>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</si>
  <si>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</si>
  <si>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</si>
  <si>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</si>
  <si>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</si>
  <si>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</si>
  <si>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</si>
  <si>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</si>
  <si>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</si>
  <si>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</si>
  <si>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</si>
  <si>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</si>
  <si>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</si>
  <si>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</si>
  <si>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</si>
  <si>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</si>
  <si>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</si>
  <si>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</si>
  <si>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</si>
  <si>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</si>
  <si>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</si>
  <si>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</si>
  <si>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</si>
  <si>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</si>
  <si>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</si>
  <si>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</si>
  <si>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</si>
  <si>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</si>
  <si>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</si>
  <si>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</si>
  <si>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</si>
  <si>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</si>
  <si>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</si>
  <si>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</si>
  <si>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</si>
  <si>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</si>
  <si>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</si>
  <si>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</si>
  <si>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</si>
  <si>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</si>
  <si>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</si>
  <si>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</si>
  <si>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</si>
  <si>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</si>
  <si>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</si>
  <si>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</si>
  <si>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</si>
  <si>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</si>
  <si>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</si>
  <si>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</si>
  <si>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</si>
  <si>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</si>
  <si>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</si>
  <si>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</si>
  <si>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</si>
  <si>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</si>
  <si>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</si>
  <si>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</si>
  <si>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</si>
  <si>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</si>
  <si>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</si>
  <si>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</si>
  <si>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</si>
  <si>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</si>
  <si>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</si>
  <si>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</si>
  <si>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</si>
  <si>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</si>
  <si>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</si>
  <si>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</si>
  <si>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</si>
  <si>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</si>
  <si>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</si>
  <si>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</si>
  <si>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</si>
  <si>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</si>
  <si>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</si>
  <si>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</si>
  <si>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</si>
  <si>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</si>
  <si>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</si>
  <si>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</si>
  <si>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</si>
  <si>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</si>
  <si>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</si>
  <si>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</si>
  <si>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</si>
  <si>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</si>
  <si>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</si>
  <si>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</si>
  <si>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</si>
  <si>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</si>
  <si>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</si>
  <si>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</si>
  <si>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</si>
  <si>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</si>
  <si>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</si>
  <si>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</si>
  <si>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</si>
  <si>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</si>
  <si>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</si>
  <si>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</si>
  <si>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</si>
  <si>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</si>
  <si>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</si>
  <si>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</si>
  <si>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</si>
  <si>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</si>
  <si>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</si>
  <si>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</si>
  <si>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</si>
  <si>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</si>
  <si>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</si>
  <si>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</si>
  <si>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</si>
  <si>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</si>
  <si>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</si>
  <si>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</si>
  <si>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</si>
  <si>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</si>
  <si>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</si>
  <si>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</si>
  <si>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</si>
  <si>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</si>
  <si>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</si>
  <si>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</si>
  <si>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</si>
  <si>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</si>
  <si>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</si>
  <si>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</si>
  <si>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</si>
  <si>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</si>
  <si>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</si>
  <si>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</si>
  <si>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</si>
  <si>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</si>
  <si>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</si>
  <si>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</si>
  <si>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</si>
  <si>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</si>
  <si>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</si>
  <si>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</si>
  <si>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</si>
  <si>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</si>
  <si>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</si>
  <si>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</si>
  <si>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</si>
  <si>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</si>
  <si>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</si>
  <si>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</si>
  <si>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</si>
  <si>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</si>
  <si>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</si>
  <si>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</si>
  <si>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</si>
  <si>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</si>
  <si>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</si>
  <si>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</si>
  <si>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</si>
  <si>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</si>
  <si>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</si>
  <si>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</si>
  <si>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</si>
  <si>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</si>
  <si>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</si>
  <si>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</si>
  <si>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</si>
  <si>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</si>
  <si>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</si>
  <si>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</si>
  <si>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</si>
  <si>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</si>
  <si>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</si>
  <si>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</si>
  <si>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</si>
  <si>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</si>
  <si>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</si>
  <si>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</si>
  <si>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</si>
  <si>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</si>
  <si>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</si>
  <si>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</si>
  <si>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</si>
  <si>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</si>
  <si>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</si>
  <si>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</si>
  <si>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</si>
  <si>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</si>
  <si>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</si>
  <si>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</si>
  <si>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</si>
  <si>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</si>
  <si>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</si>
  <si>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</si>
  <si>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</si>
  <si>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</si>
  <si>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</si>
  <si>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</si>
  <si>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</si>
  <si>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</si>
  <si>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</si>
  <si>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</si>
  <si>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</si>
  <si>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</si>
  <si>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</si>
  <si>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</si>
  <si>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</si>
  <si>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</si>
  <si>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</si>
  <si>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</si>
  <si>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</si>
  <si>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</si>
  <si>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</si>
  <si>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</si>
  <si>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</si>
  <si>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</si>
  <si>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</si>
  <si>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</si>
  <si>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</si>
  <si>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</si>
  <si>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</si>
  <si>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</si>
  <si>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</si>
  <si>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</si>
  <si>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</si>
  <si>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</si>
  <si>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</si>
  <si>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</si>
  <si>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</si>
  <si>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</si>
  <si>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</si>
  <si>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</si>
  <si>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</si>
  <si>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</si>
  <si>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</si>
  <si>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</si>
  <si>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</si>
  <si>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</si>
  <si>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</si>
  <si>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</si>
  <si>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</si>
  <si>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</si>
  <si>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</si>
  <si>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</si>
  <si>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</si>
  <si>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</si>
  <si>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</si>
  <si>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</si>
  <si>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</si>
  <si>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</si>
  <si>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</si>
  <si>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</si>
  <si>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</si>
  <si>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</si>
  <si>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</si>
  <si>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</si>
  <si>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</si>
  <si>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</si>
  <si>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</si>
  <si>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</si>
  <si>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</si>
  <si>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</si>
  <si>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</si>
  <si>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</si>
  <si>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</si>
  <si>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</si>
  <si>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</si>
  <si>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</si>
  <si>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</si>
  <si>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</si>
  <si>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</si>
  <si>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</si>
  <si>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</si>
  <si>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</si>
  <si>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</si>
  <si>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</si>
  <si>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</si>
  <si>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</si>
  <si>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</si>
  <si>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</si>
  <si>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</si>
  <si>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</si>
  <si>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</si>
  <si>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</si>
  <si>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</si>
  <si>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</si>
  <si>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</si>
  <si>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</si>
  <si>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</si>
  <si>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</si>
  <si>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</si>
  <si>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</si>
  <si>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</si>
  <si>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</si>
  <si>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</si>
  <si>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</si>
  <si>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</si>
  <si>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</si>
  <si>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</si>
  <si>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</si>
  <si>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</si>
  <si>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</si>
  <si>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</si>
  <si>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</si>
  <si>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</si>
  <si>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</si>
  <si>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</si>
  <si>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</si>
  <si>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</si>
  <si>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</si>
  <si>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</si>
  <si>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</si>
  <si>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</si>
  <si>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</si>
  <si>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</si>
  <si>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</si>
  <si>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</si>
  <si>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</si>
  <si>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</si>
  <si>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</si>
  <si>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</si>
  <si>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</si>
  <si>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</si>
  <si>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</si>
  <si>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</si>
  <si>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</si>
  <si>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</si>
  <si>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</si>
  <si>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</si>
  <si>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</si>
  <si>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</si>
  <si>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</si>
  <si>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</si>
  <si>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</si>
  <si>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</si>
  <si>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</si>
  <si>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</si>
  <si>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</si>
  <si>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</si>
  <si>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</si>
  <si>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</si>
  <si>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</si>
  <si>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</si>
  <si>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</si>
  <si>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</si>
  <si>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</si>
  <si>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</si>
  <si>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</si>
  <si>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</si>
  <si>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</si>
  <si>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</si>
  <si>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</si>
  <si>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</si>
  <si>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</si>
  <si>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</si>
  <si>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</si>
  <si>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</si>
  <si>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</si>
  <si>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</si>
  <si>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</si>
  <si>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</si>
  <si>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</si>
  <si>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</si>
  <si>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</si>
  <si>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</si>
  <si>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</si>
  <si>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</si>
  <si>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</si>
  <si>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</si>
  <si>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</si>
  <si>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</si>
  <si>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</si>
  <si>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</si>
  <si>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</si>
  <si>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</si>
  <si>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</si>
  <si>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</si>
  <si>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</si>
  <si>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</si>
  <si>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</si>
  <si>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</si>
  <si>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</si>
  <si>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</si>
  <si>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</si>
  <si>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</si>
  <si>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</si>
  <si>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</si>
  <si>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</si>
  <si>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</si>
  <si>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</si>
  <si>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</si>
  <si>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</si>
  <si>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</si>
  <si>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</si>
  <si>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</si>
  <si>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</si>
  <si>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</si>
  <si>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</si>
  <si>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</si>
  <si>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</si>
  <si>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</si>
  <si>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</si>
  <si>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</si>
  <si>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</si>
  <si>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</si>
  <si>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</si>
  <si>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</si>
  <si>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</si>
  <si>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</si>
  <si>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</si>
  <si>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</si>
  <si>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</si>
  <si>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</si>
  <si>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</si>
  <si>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</si>
  <si>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</si>
  <si>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</si>
  <si>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</si>
  <si>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</si>
  <si>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</si>
  <si>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</si>
  <si>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</si>
  <si>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</si>
  <si>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</si>
  <si>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</si>
  <si>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</si>
  <si>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</si>
  <si>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</si>
  <si>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</si>
  <si>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</si>
  <si>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</si>
  <si>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</si>
  <si>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</si>
  <si>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</si>
  <si>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</si>
  <si>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</si>
  <si>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</si>
  <si>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</si>
  <si>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</si>
  <si>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</si>
  <si>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</si>
  <si>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</si>
  <si>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</si>
  <si>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</si>
  <si>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</si>
  <si>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</si>
  <si>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</si>
  <si>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</si>
  <si>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</si>
  <si>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</si>
  <si>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</si>
  <si>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</si>
  <si>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</si>
  <si>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</si>
  <si>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</si>
  <si>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</si>
  <si>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</si>
  <si>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</si>
  <si>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</si>
  <si>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</si>
  <si>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</si>
  <si>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</si>
  <si>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</si>
  <si>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</si>
  <si>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</si>
  <si>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</si>
  <si>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</si>
  <si>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</si>
  <si>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</si>
  <si>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</si>
  <si>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</si>
  <si>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</si>
  <si>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</si>
  <si>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</si>
  <si>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</si>
  <si>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</si>
  <si>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</si>
  <si>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</si>
  <si>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</si>
  <si>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</si>
  <si>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</si>
  <si>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</si>
  <si>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</si>
  <si>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</si>
  <si>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</si>
  <si>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</si>
  <si>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</si>
  <si>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</si>
  <si>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</si>
  <si>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</si>
  <si>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</si>
  <si>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</si>
  <si>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</si>
  <si>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</si>
  <si>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</si>
  <si>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</si>
  <si>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</si>
  <si>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</si>
  <si>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</si>
  <si>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</si>
  <si>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</si>
  <si>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</si>
  <si>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</si>
  <si>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</si>
  <si>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</si>
  <si>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</si>
  <si>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</si>
  <si>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</si>
  <si>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</si>
  <si>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</si>
  <si>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</si>
  <si>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</si>
  <si>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</si>
  <si>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</si>
  <si>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</si>
  <si>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</si>
  <si>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</si>
  <si>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</si>
  <si>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</si>
  <si>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</si>
  <si>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</si>
  <si>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</si>
  <si>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</si>
  <si>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</si>
  <si>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</si>
  <si>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</si>
  <si>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</si>
  <si>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</si>
  <si>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</si>
  <si>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</si>
  <si>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</si>
  <si>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</si>
  <si>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</si>
  <si>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</si>
  <si>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</si>
  <si>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</si>
  <si>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</si>
  <si>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</si>
  <si>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</si>
  <si>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</si>
  <si>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</si>
  <si>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</si>
  <si>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</si>
  <si>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</si>
  <si>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</si>
  <si>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</si>
  <si>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</si>
  <si>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</si>
  <si>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</si>
  <si>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</si>
  <si>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</si>
  <si>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</si>
  <si>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</si>
  <si>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</si>
  <si>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</si>
  <si>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</si>
  <si>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</si>
  <si>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</si>
  <si>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</si>
  <si>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</si>
  <si>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</si>
  <si>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</si>
  <si>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</si>
  <si>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</si>
  <si>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</si>
  <si>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</si>
  <si>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</si>
  <si>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</si>
  <si>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</si>
  <si>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</si>
  <si>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</si>
  <si>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</si>
  <si>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</si>
  <si>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</si>
  <si>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</si>
  <si>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</si>
  <si>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</si>
  <si>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</si>
  <si>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</si>
  <si>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</si>
  <si>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</si>
  <si>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</si>
  <si>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</si>
  <si>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</si>
  <si>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</si>
  <si>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</si>
  <si>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</si>
  <si>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</si>
  <si>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</si>
  <si>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</si>
  <si>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</si>
  <si>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</si>
  <si>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</si>
  <si>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</si>
  <si>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</si>
  <si>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</si>
  <si>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</si>
  <si>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</si>
  <si>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</si>
  <si>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</si>
  <si>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</si>
  <si>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</si>
  <si>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</si>
  <si>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</si>
  <si>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</si>
  <si>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</si>
  <si>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</si>
  <si>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</si>
  <si>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</si>
  <si>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</si>
  <si>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</si>
  <si>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</si>
  <si>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</si>
  <si>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</si>
  <si>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</si>
  <si>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</si>
  <si>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</si>
  <si>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</si>
  <si>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</si>
  <si>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</si>
  <si>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</si>
  <si>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</si>
  <si>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</si>
  <si>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</si>
  <si>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</si>
  <si>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</si>
  <si>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</si>
  <si>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</si>
  <si>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</si>
  <si>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</si>
  <si>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</si>
  <si>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</si>
  <si>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</si>
  <si>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</si>
  <si>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</si>
  <si>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</si>
  <si>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</si>
  <si>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</si>
  <si>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</si>
  <si>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</si>
  <si>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</si>
  <si>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</si>
  <si>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</si>
  <si>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</si>
  <si>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</si>
  <si>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</si>
  <si>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</si>
  <si>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</si>
  <si>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</si>
  <si>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</si>
  <si>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</si>
  <si>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</si>
  <si>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</si>
  <si>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</si>
  <si>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</si>
  <si>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</si>
  <si>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</si>
  <si>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</si>
  <si>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</si>
  <si>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</si>
  <si>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</si>
  <si>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</si>
  <si>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</si>
  <si>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</si>
  <si>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</si>
  <si>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</si>
  <si>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</si>
  <si>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</si>
  <si>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</si>
  <si>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</si>
  <si>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</si>
  <si>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</si>
  <si>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</si>
  <si>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</si>
  <si>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</si>
  <si>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</si>
  <si>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</si>
  <si>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</si>
  <si>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</si>
  <si>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</si>
  <si>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</si>
  <si>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</si>
  <si>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</si>
  <si>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</si>
  <si>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</si>
  <si>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</si>
  <si>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</si>
  <si>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</si>
  <si>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</si>
  <si>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</si>
  <si>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</si>
  <si>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</si>
  <si>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</si>
  <si>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</si>
  <si>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</si>
  <si>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</si>
  <si>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</si>
  <si>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</si>
  <si>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</si>
  <si>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</si>
  <si>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</si>
  <si>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</si>
  <si>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</si>
  <si>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</si>
  <si>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</si>
  <si>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</si>
  <si>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</si>
  <si>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</si>
  <si>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</si>
  <si>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</si>
  <si>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</si>
  <si>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</si>
  <si>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</si>
  <si>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</si>
  <si>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</si>
  <si>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</si>
  <si>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</si>
  <si>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</si>
  <si>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</si>
  <si>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</si>
  <si>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</si>
  <si>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</si>
  <si>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</si>
  <si>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</si>
  <si>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</si>
  <si>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</si>
  <si>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</si>
  <si>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</si>
  <si>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</si>
  <si>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</si>
  <si>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</si>
  <si>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</si>
  <si>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</si>
  <si>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</si>
  <si>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</si>
  <si>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</si>
  <si>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</si>
  <si>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</si>
  <si>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</si>
  <si>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</si>
  <si>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</si>
  <si>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</si>
  <si>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</si>
  <si>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</si>
  <si>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</si>
  <si>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</si>
  <si>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</si>
  <si>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</si>
  <si>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</si>
  <si>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</si>
  <si>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</si>
  <si>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</si>
  <si>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</si>
  <si>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</si>
  <si>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</si>
  <si>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</si>
  <si>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</si>
  <si>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</si>
  <si>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</si>
  <si>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</si>
  <si>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</si>
  <si>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</si>
  <si>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</si>
  <si>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</si>
  <si>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</si>
  <si>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</si>
  <si>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</si>
  <si>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</si>
  <si>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</si>
  <si>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</si>
  <si>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</si>
  <si>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</si>
  <si>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</si>
  <si>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</si>
  <si>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</si>
  <si>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</si>
  <si>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</si>
  <si>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</si>
  <si>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</si>
  <si>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</si>
  <si>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</si>
  <si>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</si>
  <si>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</si>
  <si>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</si>
  <si>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</si>
  <si>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</si>
  <si>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</si>
  <si>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</si>
  <si>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</si>
  <si>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</si>
  <si>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</si>
  <si>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</si>
  <si>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</si>
  <si>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</si>
  <si>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</si>
  <si>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</si>
  <si>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</si>
  <si>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</si>
  <si>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</si>
  <si>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</si>
  <si>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</si>
  <si>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</si>
  <si>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</si>
  <si>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</si>
  <si>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</si>
  <si>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</si>
  <si>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</si>
  <si>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</si>
  <si>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</si>
  <si>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</si>
  <si>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</si>
  <si>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</si>
  <si>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</si>
  <si>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</si>
  <si>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</si>
  <si>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</si>
  <si>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</si>
  <si>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</si>
  <si>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</si>
  <si>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</si>
  <si>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</si>
  <si>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</si>
  <si>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</si>
  <si>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</si>
  <si>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</si>
  <si>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</si>
  <si>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</si>
  <si>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</si>
  <si>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</si>
  <si>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</si>
  <si>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</si>
  <si>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</si>
  <si>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</si>
  <si>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</si>
  <si>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</si>
  <si>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</si>
  <si>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</si>
  <si>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</si>
  <si>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</si>
  <si>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</si>
  <si>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</si>
  <si>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</si>
  <si>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</si>
  <si>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</si>
  <si>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</si>
  <si>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</si>
  <si>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</si>
  <si>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</si>
  <si>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</si>
  <si>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</si>
  <si>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</si>
  <si>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</si>
  <si>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</si>
  <si>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</si>
  <si>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</si>
  <si>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</si>
  <si>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</si>
  <si>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</si>
  <si>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</si>
  <si>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</si>
  <si>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</si>
  <si>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</si>
  <si>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</si>
  <si>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</si>
  <si>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</si>
  <si>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</si>
  <si>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</si>
  <si>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</si>
  <si>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</si>
  <si>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</si>
  <si>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</si>
  <si>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</si>
  <si>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</si>
  <si>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</si>
  <si>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</si>
  <si>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</si>
  <si>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</si>
  <si>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</si>
  <si>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</si>
  <si>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</si>
  <si>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</si>
  <si>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</si>
  <si>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</si>
  <si>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</si>
  <si>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</si>
  <si>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</si>
  <si>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</si>
  <si>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</si>
  <si>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</si>
  <si>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</si>
  <si>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</si>
  <si>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</si>
  <si>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</si>
  <si>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</si>
  <si>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</si>
  <si>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</si>
  <si>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</si>
  <si>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</si>
  <si>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</si>
  <si>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</si>
  <si>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</si>
  <si>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</si>
  <si>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</si>
  <si>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</si>
  <si>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</si>
  <si>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</si>
  <si>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</si>
  <si>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</si>
  <si>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</si>
  <si>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</si>
  <si>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</si>
  <si>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</si>
  <si>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</si>
  <si>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</si>
  <si>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</si>
  <si>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</si>
  <si>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</si>
  <si>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</si>
  <si>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</si>
  <si>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</si>
  <si>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</si>
  <si>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</si>
  <si>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</si>
  <si>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</si>
  <si>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</si>
  <si>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</si>
  <si>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</si>
  <si>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</si>
  <si>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</si>
  <si>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</si>
  <si>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</si>
  <si>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</si>
  <si>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</si>
  <si>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</si>
  <si>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</si>
  <si>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</si>
  <si>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</si>
  <si>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</si>
  <si>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</si>
  <si>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</si>
  <si>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</si>
  <si>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</si>
  <si>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</si>
  <si>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</si>
  <si>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</si>
  <si>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</si>
  <si>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</si>
  <si>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</si>
  <si>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</si>
  <si>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</si>
  <si>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</si>
  <si>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</si>
  <si>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</si>
  <si>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</si>
  <si>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</si>
  <si>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</si>
  <si>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</si>
  <si>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</si>
  <si>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</si>
  <si>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</si>
  <si>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</si>
  <si>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</si>
  <si>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</si>
  <si>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</si>
  <si>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</si>
  <si>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</si>
  <si>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</si>
  <si>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</si>
  <si>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</si>
  <si>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</si>
  <si>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</si>
  <si>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</si>
  <si>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</si>
  <si>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</si>
  <si>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</si>
  <si>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</si>
  <si>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</si>
  <si>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</si>
  <si>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</si>
  <si>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</si>
  <si>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</si>
  <si>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</si>
  <si>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</si>
  <si>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</si>
  <si>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</si>
  <si>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</si>
  <si>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</si>
  <si>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</si>
  <si>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</si>
  <si>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</si>
  <si>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</si>
  <si>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</si>
  <si>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</si>
  <si>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</si>
  <si>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</si>
  <si>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</si>
  <si>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</si>
  <si>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</si>
  <si>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</si>
  <si>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</si>
  <si>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</si>
  <si>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</si>
  <si>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</si>
  <si>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</si>
  <si>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</si>
  <si>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</si>
  <si>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</si>
  <si>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</si>
  <si>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</si>
  <si>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</si>
  <si>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</si>
  <si>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</si>
  <si>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</si>
  <si>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</si>
  <si>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</si>
  <si>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</si>
  <si>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</si>
  <si>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</si>
  <si>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</si>
  <si>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</si>
  <si>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</si>
  <si>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</si>
  <si>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</si>
  <si>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</si>
  <si>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</si>
  <si>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</si>
  <si>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</si>
  <si>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</si>
  <si>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</si>
  <si>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</si>
  <si>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</si>
  <si>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</si>
  <si>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</si>
  <si>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</si>
  <si>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</si>
  <si>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</si>
  <si>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</si>
  <si>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</si>
  <si>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</si>
  <si>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</si>
  <si>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</si>
  <si>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</si>
  <si>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</si>
  <si>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</si>
  <si>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</si>
  <si>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</si>
  <si>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</si>
  <si>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</si>
  <si>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</si>
  <si>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</si>
  <si>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</si>
  <si>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</si>
  <si>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</si>
  <si>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</si>
  <si>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</si>
  <si>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</si>
  <si>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</si>
  <si>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</si>
  <si>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</si>
  <si>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</si>
  <si>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</si>
  <si>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</si>
  <si>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</si>
  <si>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</si>
  <si>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</si>
  <si>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</si>
  <si>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</si>
  <si>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</si>
  <si>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</si>
  <si>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</si>
  <si>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</si>
  <si>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</si>
  <si>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</si>
  <si>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</si>
  <si>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</si>
  <si>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</si>
  <si>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</si>
  <si>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</si>
  <si>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</si>
  <si>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</si>
  <si>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</si>
  <si>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</si>
  <si>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</si>
  <si>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</si>
  <si>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</si>
  <si>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</si>
  <si>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</si>
  <si>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</si>
  <si>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>PEKERJAAN PEMASANGAN TRAFO</t>
  </si>
  <si>
    <t xml:space="preserve">KOORDINAT : </t>
  </si>
  <si>
    <t>Wirosari,  Mei 2024</t>
  </si>
  <si>
    <t>B2</t>
  </si>
  <si>
    <t>PEKERJAAN PEMASANGAN TIANG</t>
  </si>
  <si>
    <t>PEKERJAAN PEMASANGAN JTR</t>
  </si>
  <si>
    <t>Daya 41.500 VA</t>
  </si>
  <si>
    <t>SANTOSO</t>
  </si>
  <si>
    <t>DN Kembangan RT3 RW2 Waru</t>
  </si>
  <si>
    <t>-7.113576, 111.118144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</si>
</sst>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7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0"/>
    <xf numFmtId="41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16" fillId="0" borderId="0"/>
    <xf numFmtId="0" fontId="171" fillId="0" borderId="0" applyNumberFormat="0" applyFill="0" applyBorder="0" applyAlignment="0" applyProtection="0"/>
  </cellStyleXfs>
  <cellXfs count="701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165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165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165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167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167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8" fillId="0" borderId="0" xfId="1615" applyNumberFormat="1" applyFont="1" applyAlignment="1">
      <alignment horizontal="left" vertical="center"/>
    </xf>
    <xf numFmtId="167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165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10" fillId="33" borderId="0" xfId="0" applyFont="1" applyFill="1" applyAlignment="1">
      <alignment horizontal="center"/>
    </xf>
    <xf numFmtId="0" fontId="110" fillId="33" borderId="26" xfId="0" applyFont="1" applyFill="1" applyBorder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87" fillId="33" borderId="68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4" fillId="33" borderId="69" xfId="0" applyFont="1" applyFill="1" applyBorder="1" applyAlignment="1">
      <alignment horizontal="center" vertical="center"/>
    </xf>
    <xf numFmtId="49" fontId="110" fillId="33" borderId="7" xfId="0" applyNumberFormat="1" applyFont="1" applyFill="1" applyBorder="1" applyAlignment="1">
      <alignment horizontal="center" vertical="top" wrapText="1"/>
    </xf>
    <xf numFmtId="49" fontId="110" fillId="33" borderId="41" xfId="0" applyNumberFormat="1" applyFont="1" applyFill="1" applyBorder="1" applyAlignment="1">
      <alignment horizontal="center" vertical="top" wrapText="1"/>
    </xf>
    <xf numFmtId="0" fontId="114" fillId="33" borderId="70" xfId="0" applyFont="1" applyFill="1" applyBorder="1" applyAlignment="1">
      <alignment horizontal="center" vertical="center"/>
    </xf>
    <xf numFmtId="0" fontId="110" fillId="33" borderId="7" xfId="0" applyFont="1" applyFill="1" applyBorder="1" applyAlignment="1">
      <alignment horizontal="center" vertical="top" wrapText="1"/>
    </xf>
    <xf numFmtId="0" fontId="110" fillId="33" borderId="41" xfId="0" applyFont="1" applyFill="1" applyBorder="1" applyAlignment="1">
      <alignment horizontal="center" vertical="top" wrapText="1"/>
    </xf>
    <xf numFmtId="0" fontId="115" fillId="33" borderId="71" xfId="0" applyFont="1" applyFill="1" applyBorder="1" applyAlignment="1">
      <alignment horizontal="center" vertical="top" wrapText="1"/>
    </xf>
    <xf numFmtId="0" fontId="115" fillId="33" borderId="72" xfId="0" applyFont="1" applyFill="1" applyBorder="1" applyAlignment="1">
      <alignment horizontal="center" vertical="top" wrapText="1"/>
    </xf>
    <xf numFmtId="0" fontId="110" fillId="33" borderId="0" xfId="0" applyFont="1" applyFill="1" applyAlignment="1">
      <alignment vertical="top" wrapText="1"/>
    </xf>
    <xf numFmtId="0" fontId="110" fillId="33" borderId="37" xfId="0" applyFont="1" applyFill="1" applyBorder="1" applyAlignment="1">
      <alignment vertical="top" wrapText="1"/>
    </xf>
    <xf numFmtId="0" fontId="110" fillId="33" borderId="42" xfId="0" applyFont="1" applyFill="1" applyBorder="1" applyAlignment="1">
      <alignment horizontal="center"/>
    </xf>
    <xf numFmtId="0" fontId="110" fillId="33" borderId="43" xfId="0" applyFont="1" applyFill="1" applyBorder="1" applyAlignment="1">
      <alignment vertical="top" wrapText="1"/>
    </xf>
    <xf numFmtId="0" fontId="110" fillId="33" borderId="44" xfId="0" applyFont="1" applyFill="1" applyBorder="1" applyAlignment="1">
      <alignment vertical="top" wrapText="1"/>
    </xf>
    <xf numFmtId="0" fontId="110" fillId="33" borderId="45" xfId="0" applyFont="1" applyFill="1" applyBorder="1" applyAlignment="1">
      <alignment vertical="top" wrapText="1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0" fillId="33" borderId="39" xfId="0" applyFont="1" applyFill="1" applyBorder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42" xfId="0" applyFont="1" applyFill="1" applyBorder="1" applyAlignment="1">
      <alignment horizontal="center" vertical="center" wrapText="1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165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6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167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167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83" xfId="2670" applyFont="1" applyFill="1" applyBorder="1" applyAlignment="1">
      <alignment horizontal="left" vertical="center"/>
    </xf>
    <xf numFmtId="0" fontId="155" fillId="39" borderId="84" xfId="2670" applyFont="1" applyFill="1" applyBorder="1" applyAlignment="1">
      <alignment horizontal="center" vertical="center"/>
    </xf>
    <xf numFmtId="0" fontId="155" fillId="39" borderId="86" xfId="2670" applyFont="1" applyFill="1" applyBorder="1" applyAlignment="1">
      <alignment horizontal="left" vertical="center"/>
    </xf>
    <xf numFmtId="0" fontId="155" fillId="39" borderId="82" xfId="2670" applyFont="1" applyFill="1" applyBorder="1" applyAlignment="1">
      <alignment horizontal="center" vertical="center"/>
    </xf>
    <xf numFmtId="0" fontId="155" fillId="39" borderId="88" xfId="2670" applyFont="1" applyFill="1" applyBorder="1" applyAlignment="1">
      <alignment horizontal="left" vertical="center"/>
    </xf>
    <xf numFmtId="0" fontId="155" fillId="39" borderId="89" xfId="2670" applyFont="1" applyFill="1" applyBorder="1" applyAlignment="1">
      <alignment horizontal="center" vertical="center"/>
    </xf>
    <xf numFmtId="167" fontId="136" fillId="40" borderId="85" xfId="2672" applyFont="1" applyFill="1" applyBorder="1" applyAlignment="1" applyProtection="1">
      <alignment horizontal="right" vertical="center" wrapText="1"/>
      <protection locked="0"/>
    </xf>
    <xf numFmtId="167" fontId="136" fillId="40" borderId="87" xfId="2672" applyFont="1" applyFill="1" applyBorder="1" applyAlignment="1" applyProtection="1">
      <alignment horizontal="right" vertical="center"/>
      <protection locked="0"/>
    </xf>
    <xf numFmtId="169" fontId="136" fillId="40" borderId="87" xfId="2672" applyNumberFormat="1" applyFont="1" applyFill="1" applyBorder="1" applyAlignment="1" applyProtection="1">
      <alignment horizontal="right" vertical="center"/>
      <protection locked="0"/>
    </xf>
    <xf numFmtId="169" fontId="136" fillId="40" borderId="90" xfId="2672" applyNumberFormat="1" applyFont="1" applyFill="1" applyBorder="1" applyAlignment="1" applyProtection="1">
      <alignment horizontal="right" vertical="center"/>
      <protection locked="0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94" xfId="2673" applyFont="1" applyFill="1" applyBorder="1" applyAlignment="1">
      <alignment vertical="center" wrapText="1"/>
    </xf>
    <xf numFmtId="0" fontId="142" fillId="43" borderId="9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9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0" fontId="87" fillId="33" borderId="60" xfId="0" applyFont="1" applyFill="1" applyBorder="1" applyAlignment="1">
      <alignment horizontal="left" vertical="center"/>
    </xf>
    <xf numFmtId="0" fontId="87" fillId="33" borderId="61" xfId="0" applyFont="1" applyFill="1" applyBorder="1" applyAlignment="1">
      <alignment horizontal="left" vertical="center"/>
    </xf>
    <xf numFmtId="49" fontId="87" fillId="33" borderId="60" xfId="0" applyNumberFormat="1" applyFont="1" applyFill="1" applyBorder="1" applyAlignment="1">
      <alignment horizontal="left" vertical="center" wrapText="1"/>
    </xf>
    <xf numFmtId="49" fontId="87" fillId="33" borderId="61" xfId="0" applyNumberFormat="1" applyFont="1" applyFill="1" applyBorder="1" applyAlignment="1">
      <alignment horizontal="left" vertical="center"/>
    </xf>
    <xf numFmtId="41" fontId="148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0" fontId="111" fillId="33" borderId="0" xfId="0" applyFont="1" applyFill="1" applyAlignment="1">
      <alignment horizontal="left"/>
    </xf>
    <xf numFmtId="169" fontId="140" fillId="46" borderId="0" xfId="2672" applyNumberFormat="1" applyFont="1" applyFill="1" applyBorder="1" applyAlignment="1" applyProtection="1">
      <alignment horizontal="right" vertical="center"/>
    </xf>
    <xf numFmtId="0" fontId="170" fillId="0" borderId="69" xfId="1450" applyFont="1" applyBorder="1" applyAlignment="1">
      <alignment horizontal="center" vertic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15" fillId="0" borderId="99" xfId="1450" applyFont="1" applyBorder="1" applyAlignment="1">
      <alignment horizontal="center" vertical="center"/>
    </xf>
    <xf numFmtId="0" fontId="171" fillId="33" borderId="0" xfId="2678" applyFill="1"/>
    <xf numFmtId="0" fontId="110" fillId="33" borderId="0" xfId="0" applyFont="1" applyFill="1" applyAlignment="1">
      <alignment vertical="center" wrapText="1"/>
    </xf>
    <xf numFmtId="0" fontId="110" fillId="33" borderId="37" xfId="0" applyFont="1" applyFill="1" applyBorder="1" applyAlignment="1">
      <alignment vertical="center" wrapText="1"/>
    </xf>
    <xf numFmtId="0" fontId="110" fillId="33" borderId="44" xfId="0" applyFont="1" applyFill="1" applyBorder="1" applyAlignment="1">
      <alignment vertical="center" wrapText="1"/>
    </xf>
    <xf numFmtId="0" fontId="110" fillId="33" borderId="45" xfId="0" applyFont="1" applyFill="1" applyBorder="1" applyAlignment="1">
      <alignment vertical="center" wrapText="1"/>
    </xf>
    <xf numFmtId="0" fontId="110" fillId="33" borderId="18" xfId="0" applyFont="1" applyFill="1" applyBorder="1" applyAlignment="1">
      <alignment vertical="center" wrapText="1"/>
    </xf>
    <xf numFmtId="0" fontId="110" fillId="33" borderId="43" xfId="0" applyFont="1" applyFill="1" applyBorder="1" applyAlignment="1">
      <alignment vertical="center" wrapText="1"/>
    </xf>
    <xf numFmtId="0" fontId="38" fillId="0" borderId="21" xfId="1615" applyFont="1" applyBorder="1" applyAlignment="1">
      <alignment horizontal="left" vertical="center" wrapText="1"/>
    </xf>
    <xf numFmtId="0" fontId="38" fillId="0" borderId="20" xfId="1615" applyFont="1" applyBorder="1" applyAlignment="1">
      <alignment horizontal="center" vertical="center"/>
    </xf>
    <xf numFmtId="41" fontId="148" fillId="0" borderId="0" xfId="1614" applyNumberFormat="1" applyFont="1" applyAlignment="1">
      <alignment horizontal="center" vertical="center"/>
    </xf>
    <xf numFmtId="14" fontId="91" fillId="0" borderId="0" xfId="1653" applyNumberFormat="1" applyFont="1" applyAlignment="1">
      <alignment horizontal="center" vertical="center"/>
    </xf>
    <xf numFmtId="0" fontId="172" fillId="33" borderId="0" xfId="0" quotePrefix="1" applyFont="1" applyFill="1" applyAlignment="1">
      <alignment horizontal="left"/>
    </xf>
    <xf numFmtId="0" fontId="115" fillId="33" borderId="0" xfId="0" applyFont="1" applyFill="1" applyAlignment="1">
      <alignment horizontal="left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9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9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95" xfId="2673" applyNumberFormat="1" applyFont="1" applyFill="1" applyBorder="1" applyAlignment="1">
      <alignment horizontal="center" vertical="center" wrapText="1"/>
    </xf>
    <xf numFmtId="0" fontId="159" fillId="41" borderId="91" xfId="2673" applyFont="1" applyFill="1" applyBorder="1" applyAlignment="1">
      <alignment horizontal="center" vertical="center" wrapText="1"/>
    </xf>
    <xf numFmtId="0" fontId="159" fillId="41" borderId="92" xfId="2673" applyFont="1" applyFill="1" applyBorder="1" applyAlignment="1">
      <alignment horizontal="center" vertical="center" wrapText="1"/>
    </xf>
    <xf numFmtId="0" fontId="159" fillId="41" borderId="9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4" borderId="3" xfId="2673" applyNumberFormat="1" applyFont="1" applyFill="1" applyBorder="1" applyAlignment="1">
      <alignment horizontal="center" vertical="center" wrapText="1"/>
    </xf>
    <xf numFmtId="2" fontId="130" fillId="44" borderId="39" xfId="2673" applyNumberFormat="1" applyFont="1" applyFill="1" applyBorder="1" applyAlignment="1">
      <alignment horizontal="center" vertical="center" wrapText="1"/>
    </xf>
    <xf numFmtId="0" fontId="159" fillId="42" borderId="91" xfId="2673" applyFont="1" applyFill="1" applyBorder="1" applyAlignment="1">
      <alignment horizontal="center" vertical="center" wrapText="1"/>
    </xf>
    <xf numFmtId="0" fontId="159" fillId="42" borderId="92" xfId="2673" applyFont="1" applyFill="1" applyBorder="1" applyAlignment="1">
      <alignment horizontal="center" vertical="center" wrapText="1"/>
    </xf>
    <xf numFmtId="0" fontId="159" fillId="42" borderId="93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2" xfId="2673" applyNumberFormat="1" applyFont="1" applyFill="1" applyBorder="1" applyAlignment="1">
      <alignment horizontal="center" vertical="center" wrapText="1"/>
    </xf>
    <xf numFmtId="2" fontId="130" fillId="43" borderId="95" xfId="2673" applyNumberFormat="1" applyFont="1" applyFill="1" applyBorder="1" applyAlignment="1">
      <alignment horizontal="center" vertical="center" wrapText="1"/>
    </xf>
    <xf numFmtId="0" fontId="4" fillId="34" borderId="77" xfId="2670" applyFill="1" applyBorder="1" applyAlignment="1">
      <alignment horizontal="center" vertical="center"/>
    </xf>
    <xf numFmtId="0" fontId="134" fillId="0" borderId="78" xfId="2670" applyFont="1" applyBorder="1" applyAlignment="1">
      <alignment horizontal="left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167" fontId="149" fillId="0" borderId="0" xfId="1614" applyNumberFormat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208" fontId="115" fillId="0" borderId="73" xfId="1450" applyNumberFormat="1" applyFont="1" applyBorder="1" applyAlignment="1">
      <alignment horizontal="left" vertical="center"/>
    </xf>
    <xf numFmtId="208" fontId="170" fillId="0" borderId="74" xfId="1450" applyNumberFormat="1" applyFont="1" applyBorder="1" applyAlignment="1">
      <alignment horizontal="left" vertical="center"/>
    </xf>
    <xf numFmtId="49" fontId="128" fillId="33" borderId="59" xfId="0" applyNumberFormat="1" applyFont="1" applyFill="1" applyBorder="1" applyAlignment="1">
      <alignment horizontal="left" vertical="center"/>
    </xf>
    <xf numFmtId="49" fontId="128" fillId="33" borderId="40" xfId="0" applyNumberFormat="1" applyFont="1" applyFill="1" applyBorder="1" applyAlignment="1">
      <alignment horizontal="left" vertical="center"/>
    </xf>
    <xf numFmtId="49" fontId="110" fillId="33" borderId="50" xfId="0" applyNumberFormat="1" applyFont="1" applyFill="1" applyBorder="1" applyAlignment="1">
      <alignment horizontal="left" vertical="center"/>
    </xf>
    <xf numFmtId="49" fontId="110" fillId="33" borderId="41" xfId="0" applyNumberFormat="1" applyFont="1" applyFill="1" applyBorder="1" applyAlignment="1">
      <alignment horizontal="left" vertic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49" fontId="110" fillId="33" borderId="50" xfId="0" applyNumberFormat="1" applyFont="1" applyFill="1" applyBorder="1" applyAlignment="1">
      <alignment horizontal="center" vertical="center"/>
    </xf>
    <xf numFmtId="49" fontId="110" fillId="33" borderId="41" xfId="0" applyNumberFormat="1" applyFont="1" applyFill="1" applyBorder="1" applyAlignment="1">
      <alignment horizontal="center" vertical="center"/>
    </xf>
    <xf numFmtId="0" fontId="87" fillId="33" borderId="60" xfId="0" applyFont="1" applyFill="1" applyBorder="1" applyAlignment="1">
      <alignment horizontal="left" vertical="center"/>
    </xf>
    <xf numFmtId="0" fontId="87" fillId="33" borderId="79" xfId="0" applyFont="1" applyFill="1" applyBorder="1" applyAlignment="1">
      <alignment horizontal="left" vertical="center"/>
    </xf>
    <xf numFmtId="0" fontId="128" fillId="33" borderId="60" xfId="0" applyFont="1" applyFill="1" applyBorder="1" applyAlignment="1">
      <alignment horizontal="left" vertical="center"/>
    </xf>
    <xf numFmtId="0" fontId="128" fillId="33" borderId="61" xfId="0" applyFont="1" applyFill="1" applyBorder="1" applyAlignment="1">
      <alignment horizontal="left" vertical="center"/>
    </xf>
    <xf numFmtId="0" fontId="87" fillId="33" borderId="80" xfId="0" applyFont="1" applyFill="1" applyBorder="1" applyAlignment="1">
      <alignment horizontal="center" vertical="center"/>
    </xf>
    <xf numFmtId="0" fontId="87" fillId="33" borderId="81" xfId="0" applyFont="1" applyFill="1" applyBorder="1" applyAlignment="1">
      <alignment horizontal="center" vertical="center"/>
    </xf>
    <xf numFmtId="49" fontId="110" fillId="33" borderId="7" xfId="0" applyNumberFormat="1" applyFont="1" applyFill="1" applyBorder="1" applyAlignment="1">
      <alignment horizontal="center" vertical="center"/>
    </xf>
    <xf numFmtId="0" fontId="114" fillId="33" borderId="73" xfId="0" applyFont="1" applyFill="1" applyBorder="1" applyAlignment="1">
      <alignment horizontal="center" vertical="center"/>
    </xf>
    <xf numFmtId="0" fontId="114" fillId="33" borderId="74" xfId="0" applyFont="1" applyFill="1" applyBorder="1" applyAlignment="1">
      <alignment horizontal="center" vertical="center"/>
    </xf>
    <xf numFmtId="49" fontId="110" fillId="33" borderId="7" xfId="0" applyNumberFormat="1" applyFont="1" applyFill="1" applyBorder="1" applyAlignment="1">
      <alignment horizontal="center" vertical="top" wrapText="1"/>
    </xf>
    <xf numFmtId="49" fontId="110" fillId="33" borderId="41" xfId="0" applyNumberFormat="1" applyFont="1" applyFill="1" applyBorder="1" applyAlignment="1">
      <alignment horizontal="center" vertical="top" wrapText="1"/>
    </xf>
    <xf numFmtId="0" fontId="110" fillId="33" borderId="7" xfId="0" applyFont="1" applyFill="1" applyBorder="1" applyAlignment="1">
      <alignment horizontal="center" vertical="top" wrapText="1"/>
    </xf>
    <xf numFmtId="0" fontId="110" fillId="33" borderId="41" xfId="0" applyFont="1" applyFill="1" applyBorder="1" applyAlignment="1">
      <alignment horizontal="center" vertical="top" wrapText="1"/>
    </xf>
    <xf numFmtId="0" fontId="87" fillId="33" borderId="61" xfId="0" applyFont="1" applyFill="1" applyBorder="1" applyAlignment="1">
      <alignment horizontal="left" vertical="center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15" fontId="110" fillId="33" borderId="3" xfId="0" applyNumberFormat="1" applyFont="1" applyFill="1" applyBorder="1" applyAlignment="1">
      <alignment horizontal="center"/>
    </xf>
    <xf numFmtId="0" fontId="87" fillId="33" borderId="59" xfId="0" applyFont="1" applyFill="1" applyBorder="1" applyAlignment="1">
      <alignment horizontal="center" vertical="center"/>
    </xf>
    <xf numFmtId="0" fontId="87" fillId="33" borderId="40" xfId="0" applyFont="1" applyFill="1" applyBorder="1" applyAlignment="1">
      <alignment horizontal="center" vertical="center"/>
    </xf>
    <xf numFmtId="0" fontId="115" fillId="33" borderId="75" xfId="0" applyFont="1" applyFill="1" applyBorder="1" applyAlignment="1">
      <alignment horizontal="center" vertical="center" wrapText="1"/>
    </xf>
    <xf numFmtId="0" fontId="115" fillId="33" borderId="76" xfId="0" applyFont="1" applyFill="1" applyBorder="1" applyAlignment="1">
      <alignment horizontal="center" vertical="center" wrapText="1"/>
    </xf>
    <xf numFmtId="0" fontId="111" fillId="33" borderId="18" xfId="0" applyFont="1" applyFill="1" applyBorder="1" applyAlignment="1">
      <alignment horizontal="left" vertical="top" wrapText="1"/>
    </xf>
    <xf numFmtId="0" fontId="111" fillId="33" borderId="0" xfId="0" applyFont="1" applyFill="1" applyAlignment="1">
      <alignment horizontal="left" vertical="top" wrapText="1"/>
    </xf>
    <xf numFmtId="0" fontId="110" fillId="33" borderId="64" xfId="0" applyFont="1" applyFill="1" applyBorder="1" applyAlignment="1">
      <alignment horizontal="center"/>
    </xf>
    <xf numFmtId="0" fontId="110" fillId="33" borderId="62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5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0" fillId="33" borderId="18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 wrapText="1"/>
    </xf>
    <xf numFmtId="0" fontId="110" fillId="33" borderId="37" xfId="0" applyFont="1" applyFill="1" applyBorder="1" applyAlignment="1">
      <alignment horizontal="center" vertical="center" wrapText="1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0" xfId="1451" applyFont="1" applyFill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  <xf numFmtId="0" fontId="156" fillId="0" borderId="0" xfId="1451" quotePrefix="1" applyFont="1" applyAlignment="1">
      <alignment horizontal="left"/>
    </xf>
    <xf numFmtId="0" fontId="156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0.27666666666666673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126288</xdr:colOff>
      <xdr:row>11</xdr:row>
      <xdr:rowOff>151984</xdr:rowOff>
    </xdr:from>
    <xdr:to>
      <xdr:col>13</xdr:col>
      <xdr:colOff>133349</xdr:colOff>
      <xdr:row>14</xdr:row>
      <xdr:rowOff>114300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4631613" y="1895059"/>
          <a:ext cx="769061" cy="42904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SANTOSO</a:t>
          </a:r>
        </a:p>
      </xdr:txBody>
    </xdr:sp>
    <xdr:clientData/>
  </xdr:twoCellAnchor>
  <xdr:twoCellAnchor>
    <xdr:from>
      <xdr:col>26</xdr:col>
      <xdr:colOff>41412</xdr:colOff>
      <xdr:row>5</xdr:row>
      <xdr:rowOff>11205</xdr:rowOff>
    </xdr:from>
    <xdr:to>
      <xdr:col>29</xdr:col>
      <xdr:colOff>302805</xdr:colOff>
      <xdr:row>16</xdr:row>
      <xdr:rowOff>124239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10299837" y="792255"/>
          <a:ext cx="1461543" cy="1846584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302174</xdr:colOff>
      <xdr:row>21</xdr:row>
      <xdr:rowOff>44726</xdr:rowOff>
    </xdr:from>
    <xdr:to>
      <xdr:col>13</xdr:col>
      <xdr:colOff>292429</xdr:colOff>
      <xdr:row>28</xdr:row>
      <xdr:rowOff>123825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4807499" y="3321326"/>
          <a:ext cx="752255" cy="11458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800" b="1" u="sng" strike="noStrike" baseline="0">
              <a:solidFill>
                <a:sysClr val="windowText" lastClr="000000"/>
              </a:solidFill>
            </a:rPr>
            <a:t>K2-603/370 /312/88/13</a:t>
          </a:r>
        </a:p>
        <a:p>
          <a:br>
            <a:rPr lang="en-US" sz="800" strike="noStrike" baseline="0">
              <a:solidFill>
                <a:schemeClr val="tx1"/>
              </a:solidFill>
            </a:rPr>
          </a:br>
          <a:r>
            <a:rPr lang="en-US" sz="800" strike="noStrike" baseline="0">
              <a:solidFill>
                <a:schemeClr val="tx1"/>
              </a:solidFill>
            </a:rPr>
            <a:t>1 C11-200</a:t>
          </a:r>
        </a:p>
        <a:p>
          <a:r>
            <a:rPr lang="en-US" sz="800" strike="noStrike" baseline="0">
              <a:solidFill>
                <a:schemeClr val="tx1"/>
              </a:solidFill>
            </a:rPr>
            <a:t>1 CA1</a:t>
          </a:r>
          <a:br>
            <a:rPr lang="en-US" sz="800" strike="noStrike" baseline="0">
              <a:solidFill>
                <a:schemeClr val="tx1"/>
              </a:solidFill>
            </a:rPr>
          </a:br>
          <a:r>
            <a:rPr lang="en-US" sz="800" strike="noStrike" baseline="0">
              <a:solidFill>
                <a:schemeClr val="tx1"/>
              </a:solidFill>
            </a:rPr>
            <a:t>1 CG-312</a:t>
          </a:r>
          <a:br>
            <a:rPr lang="en-US" sz="800" strike="noStrike" baseline="0">
              <a:solidFill>
                <a:schemeClr val="tx1"/>
              </a:solidFill>
            </a:rPr>
          </a:br>
          <a:r>
            <a:rPr lang="en-US" sz="800" strike="noStrike" baseline="0">
              <a:solidFill>
                <a:schemeClr val="tx1"/>
              </a:solidFill>
            </a:rPr>
            <a:t>1 CM5-9</a:t>
          </a:r>
        </a:p>
        <a:p>
          <a:r>
            <a:rPr lang="en-US" sz="800" strike="noStrike" baseline="0">
              <a:solidFill>
                <a:schemeClr val="tx1"/>
              </a:solidFill>
            </a:rPr>
            <a:t>2 CM2-11M</a:t>
          </a:r>
        </a:p>
      </xdr:txBody>
    </xdr:sp>
    <xdr:clientData/>
  </xdr:twoCellAnchor>
  <xdr:twoCellAnchor>
    <xdr:from>
      <xdr:col>8</xdr:col>
      <xdr:colOff>370577</xdr:colOff>
      <xdr:row>18</xdr:row>
      <xdr:rowOff>2995</xdr:rowOff>
    </xdr:from>
    <xdr:to>
      <xdr:col>13</xdr:col>
      <xdr:colOff>335912</xdr:colOff>
      <xdr:row>18</xdr:row>
      <xdr:rowOff>5384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>
          <a:endCxn id="107" idx="7"/>
        </xdr:cNvCxnSpPr>
      </xdr:nvCxnSpPr>
      <xdr:spPr>
        <a:xfrm flipH="1" flipV="1">
          <a:off x="2971316" y="2785952"/>
          <a:ext cx="2640618" cy="2389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14132</xdr:colOff>
      <xdr:row>16</xdr:row>
      <xdr:rowOff>55494</xdr:rowOff>
    </xdr:from>
    <xdr:to>
      <xdr:col>12</xdr:col>
      <xdr:colOff>146114</xdr:colOff>
      <xdr:row>17</xdr:row>
      <xdr:rowOff>41172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A642CE32-7FC7-4D66-B4C2-5652B0BA830D}"/>
            </a:ext>
          </a:extLst>
        </xdr:cNvPr>
        <xdr:cNvSpPr/>
      </xdr:nvSpPr>
      <xdr:spPr>
        <a:xfrm>
          <a:off x="4909154" y="2540277"/>
          <a:ext cx="131982" cy="134765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381005</xdr:colOff>
      <xdr:row>19</xdr:row>
      <xdr:rowOff>132585</xdr:rowOff>
    </xdr:from>
    <xdr:to>
      <xdr:col>14</xdr:col>
      <xdr:colOff>267581</xdr:colOff>
      <xdr:row>20</xdr:row>
      <xdr:rowOff>29217</xdr:rowOff>
    </xdr:to>
    <xdr:sp macro="" textlink="">
      <xdr:nvSpPr>
        <xdr:cNvPr id="105" name="Freeform 103">
          <a:extLst>
            <a:ext uri="{FF2B5EF4-FFF2-40B4-BE49-F238E27FC236}">
              <a16:creationId xmlns:a16="http://schemas.microsoft.com/office/drawing/2014/main" id="{F8FF94BF-2A9E-4AEC-A2AA-D30491C8E2E1}"/>
            </a:ext>
          </a:extLst>
        </xdr:cNvPr>
        <xdr:cNvSpPr/>
      </xdr:nvSpPr>
      <xdr:spPr>
        <a:xfrm flipH="1" flipV="1">
          <a:off x="2981744" y="3064628"/>
          <a:ext cx="2942859" cy="45719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35180</xdr:colOff>
      <xdr:row>17</xdr:row>
      <xdr:rowOff>131060</xdr:rowOff>
    </xdr:from>
    <xdr:to>
      <xdr:col>12</xdr:col>
      <xdr:colOff>187580</xdr:colOff>
      <xdr:row>18</xdr:row>
      <xdr:rowOff>109207</xdr:rowOff>
    </xdr:to>
    <xdr:grpSp>
      <xdr:nvGrpSpPr>
        <xdr:cNvPr id="114" name="Group 2">
          <a:extLst>
            <a:ext uri="{FF2B5EF4-FFF2-40B4-BE49-F238E27FC236}">
              <a16:creationId xmlns:a16="http://schemas.microsoft.com/office/drawing/2014/main" id="{F5A0941A-54A3-4A6F-98C9-9F82A18151CE}"/>
            </a:ext>
          </a:extLst>
        </xdr:cNvPr>
        <xdr:cNvGrpSpPr>
          <a:grpSpLocks/>
        </xdr:cNvGrpSpPr>
      </xdr:nvGrpSpPr>
      <xdr:grpSpPr bwMode="auto">
        <a:xfrm>
          <a:off x="4921505" y="2798060"/>
          <a:ext cx="152400" cy="130547"/>
          <a:chOff x="3725636" y="1945820"/>
          <a:chExt cx="153760" cy="144237"/>
        </a:xfrm>
        <a:noFill/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6715F233-190A-4244-A80A-87CEB6FF3D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CAFF048D-596A-43F5-99D2-446644A344B3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D246A55A-B8D4-493A-898B-2DAE980C12E4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169652</xdr:colOff>
      <xdr:row>17</xdr:row>
      <xdr:rowOff>119854</xdr:rowOff>
    </xdr:from>
    <xdr:to>
      <xdr:col>9</xdr:col>
      <xdr:colOff>322052</xdr:colOff>
      <xdr:row>18</xdr:row>
      <xdr:rowOff>98001</xdr:rowOff>
    </xdr:to>
    <xdr:grpSp>
      <xdr:nvGrpSpPr>
        <xdr:cNvPr id="110" name="Group 2">
          <a:extLst>
            <a:ext uri="{FF2B5EF4-FFF2-40B4-BE49-F238E27FC236}">
              <a16:creationId xmlns:a16="http://schemas.microsoft.com/office/drawing/2014/main" id="{37FD659B-2C79-4388-9A19-971C73184E3B}"/>
            </a:ext>
          </a:extLst>
        </xdr:cNvPr>
        <xdr:cNvGrpSpPr>
          <a:grpSpLocks/>
        </xdr:cNvGrpSpPr>
      </xdr:nvGrpSpPr>
      <xdr:grpSpPr bwMode="auto">
        <a:xfrm>
          <a:off x="3912977" y="2786854"/>
          <a:ext cx="152400" cy="13054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CF0FE1F7-C34C-40B0-BA7E-0847AA7CCD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EB18923D-215B-42DD-BC28-4E2C5EAF94D5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FCA3F4A8-0E7E-43DB-A1ED-93B741B5ACB3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240495</xdr:colOff>
      <xdr:row>17</xdr:row>
      <xdr:rowOff>133021</xdr:rowOff>
    </xdr:from>
    <xdr:to>
      <xdr:col>8</xdr:col>
      <xdr:colOff>392895</xdr:colOff>
      <xdr:row>18</xdr:row>
      <xdr:rowOff>114090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2831295" y="2800021"/>
          <a:ext cx="152400" cy="1334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366391</xdr:colOff>
      <xdr:row>18</xdr:row>
      <xdr:rowOff>105807</xdr:rowOff>
    </xdr:from>
    <xdr:to>
      <xdr:col>13</xdr:col>
      <xdr:colOff>259298</xdr:colOff>
      <xdr:row>18</xdr:row>
      <xdr:rowOff>107673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EE05FB94-B740-4F85-921A-9F0F94581B9F}"/>
            </a:ext>
          </a:extLst>
        </xdr:cNvPr>
        <xdr:cNvCxnSpPr/>
      </xdr:nvCxnSpPr>
      <xdr:spPr>
        <a:xfrm flipH="1" flipV="1">
          <a:off x="2967130" y="2888764"/>
          <a:ext cx="2568190" cy="1866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364313</xdr:colOff>
      <xdr:row>18</xdr:row>
      <xdr:rowOff>75131</xdr:rowOff>
    </xdr:from>
    <xdr:to>
      <xdr:col>11</xdr:col>
      <xdr:colOff>103629</xdr:colOff>
      <xdr:row>19</xdr:row>
      <xdr:rowOff>26963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251E4125-D8A3-4B19-8309-01154C66599C}"/>
            </a:ext>
          </a:extLst>
        </xdr:cNvPr>
        <xdr:cNvGrpSpPr/>
      </xdr:nvGrpSpPr>
      <xdr:grpSpPr>
        <a:xfrm>
          <a:off x="4488638" y="2894531"/>
          <a:ext cx="120316" cy="104232"/>
          <a:chOff x="4552393" y="5147729"/>
          <a:chExt cx="228791" cy="193248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A97F718-A0D4-48F2-B96C-6D3EC1329F7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A19E04E-F44D-436D-9B3E-34386A6FCCF3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F3A8EF93-DB2C-477C-ACF4-43878BC12ED1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1BC3D53C-1658-4BDF-87BC-06F603CC9B77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927773</xdr:colOff>
      <xdr:row>18</xdr:row>
      <xdr:rowOff>67022</xdr:rowOff>
    </xdr:from>
    <xdr:to>
      <xdr:col>8</xdr:col>
      <xdr:colOff>1048089</xdr:colOff>
      <xdr:row>19</xdr:row>
      <xdr:rowOff>22167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85E0AB7A-AC6F-4EB5-A678-BC43E5325573}"/>
            </a:ext>
          </a:extLst>
        </xdr:cNvPr>
        <xdr:cNvGrpSpPr/>
      </xdr:nvGrpSpPr>
      <xdr:grpSpPr>
        <a:xfrm rot="20758280">
          <a:off x="3518573" y="2886422"/>
          <a:ext cx="120316" cy="107545"/>
          <a:chOff x="4552393" y="5147729"/>
          <a:chExt cx="228791" cy="193248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32171FC6-D2ED-48CA-BFDD-6B340180E93A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92B8847F-E95C-47B6-B0AC-9FE2620EECCA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04E091F6-C0FD-43D8-AAA3-E3D08730E304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DA27DEB1-494B-4C01-B781-4A3ADE7AFA55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3</xdr:col>
      <xdr:colOff>467590</xdr:colOff>
      <xdr:row>7</xdr:row>
      <xdr:rowOff>86591</xdr:rowOff>
    </xdr:from>
    <xdr:to>
      <xdr:col>20</xdr:col>
      <xdr:colOff>69272</xdr:colOff>
      <xdr:row>52</xdr:row>
      <xdr:rowOff>16185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E611B6-8469-4270-BF4C-422D5B5E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2045" y="1333500"/>
          <a:ext cx="9906000" cy="69434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[Book1.xls]ttings_Administrat_2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ttings\Administrator\Desktop\D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topLeftCell="A5" zoomScaleNormal="100" zoomScaleSheetLayoutView="100" workbookViewId="0">
      <selection activeCell="B7" sqref="B7:F17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34.710937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9" t="s">
        <v>1134</v>
      </c>
      <c r="C4" s="509"/>
      <c r="D4" s="509"/>
      <c r="E4" s="509"/>
      <c r="F4" s="509"/>
      <c r="G4" s="509"/>
      <c r="H4" s="50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499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0" t="s">
        <v>0</v>
      </c>
      <c r="C7" s="510" t="s">
        <v>1</v>
      </c>
      <c r="D7" s="511" t="s">
        <v>42</v>
      </c>
      <c r="E7" s="511" t="s">
        <v>43</v>
      </c>
      <c r="F7" s="511" t="s">
        <v>1135</v>
      </c>
      <c r="G7" s="512" t="s">
        <v>41</v>
      </c>
      <c r="H7" s="508" t="s">
        <v>1042</v>
      </c>
      <c r="I7" s="508" t="s">
        <v>1137</v>
      </c>
      <c r="J7" s="508" t="s">
        <v>1026</v>
      </c>
      <c r="K7" s="502" t="s">
        <v>1024</v>
      </c>
      <c r="L7" s="503"/>
    </row>
    <row r="8" spans="1:12" ht="15" customHeight="1">
      <c r="B8" s="510"/>
      <c r="C8" s="510"/>
      <c r="D8" s="511"/>
      <c r="E8" s="511"/>
      <c r="F8" s="511"/>
      <c r="G8" s="512"/>
      <c r="H8" s="508"/>
      <c r="I8" s="508"/>
      <c r="J8" s="508"/>
      <c r="K8" s="504"/>
      <c r="L8" s="505"/>
    </row>
    <row r="9" spans="1:12" ht="15" customHeight="1">
      <c r="B9" s="510"/>
      <c r="C9" s="510"/>
      <c r="D9" s="511"/>
      <c r="E9" s="511"/>
      <c r="F9" s="511"/>
      <c r="G9" s="512"/>
      <c r="H9" s="508"/>
      <c r="I9" s="508"/>
      <c r="J9" s="508"/>
      <c r="K9" s="506"/>
      <c r="L9" s="50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41.5 kVA MCCB 63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MPB; 3P; 4W; 230/400 V; 5(80) A; Class 1</v>
      </c>
      <c r="D13" s="101" t="str">
        <f ca="1">IF(ISERROR(OFFSET('HARGA SATUAN'!$D$6,MATCH(C13,'HARGA SATUAN'!$C$7:$C$1492,0),0)),"",OFFSET('HARGA SATUAN'!$D$6,MATCH(C13,'HARGA SATUAN'!$C$7:$C$1492,0),0))</f>
        <v>HDW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1719200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SUMIFS(RAB!$F$14:$F$30,RAB!$C$14:$C$30,C714)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SUMIFS(RAB!$F$14:$F$30,RAB!$C$14:$C$30,C715)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SUMIFS(RAB!$F$14:$F$30,RAB!$C$14:$C$30,C716)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SUMIFS(RAB!$F$14:$F$30,RAB!$C$14:$C$30,C717)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SUMIFS(RAB!$F$14:$F$30,RAB!$C$14:$C$30,C718)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SUMIFS(RAB!$F$14:$F$30,RAB!$C$14:$C$30,C719)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SUMIFS(RAB!$F$14:$F$30,RAB!$C$14:$C$30,C720)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SUMIFS(RAB!$F$14:$F$30,RAB!$C$14:$C$30,C721)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SUMIFS(RAB!$F$14:$F$30,RAB!$C$14:$C$30,C722)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SUMIFS(RAB!$F$14:$F$30,RAB!$C$14:$C$30,C723)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SUMIFS(RAB!$F$14:$F$30,RAB!$C$14:$C$30,C724)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SUMIFS(RAB!$F$14:$F$30,RAB!$C$14:$C$30,C725)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SUMIFS(RAB!$F$14:$F$30,RAB!$C$14:$C$30,C726)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SUMIFS(RAB!$F$14:$F$30,RAB!$C$14:$C$30,C727)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SUMIFS(RAB!$F$14:$F$30,RAB!$C$14:$C$30,C728)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SUMIFS(RAB!$F$14:$F$30,RAB!$C$14:$C$30,C729)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SUMIFS(RAB!$F$14:$F$30,RAB!$C$14:$C$30,C730)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SUMIFS(RAB!$F$14:$F$30,RAB!$C$14:$C$30,C731)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SUMIFS(RAB!$F$14:$F$30,RAB!$C$14:$C$30,C732)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SUMIFS(RAB!$F$14:$F$30,RAB!$C$14:$C$30,C733)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SUMIFS(RAB!$F$14:$F$30,RAB!$C$14:$C$30,C734)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SUMIFS(RAB!$F$14:$F$30,RAB!$C$14:$C$30,C735)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SUMIFS(RAB!$F$14:$F$30,RAB!$C$14:$C$30,C736)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SUMIFS(RAB!$F$14:$F$30,RAB!$C$14:$C$30,C737)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SUMIFS(RAB!$F$14:$F$30,RAB!$C$14:$C$30,C738)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SUMIFS(RAB!$F$14:$F$30,RAB!$C$14:$C$30,C739)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SUMIFS(RAB!$F$14:$F$30,RAB!$C$14:$C$30,C740)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SUMIFS(RAB!$F$14:$F$30,RAB!$C$14:$C$30,C741)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SUMIFS(RAB!$F$14:$F$30,RAB!$C$14:$C$30,C742)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SUMIFS(RAB!$F$14:$F$30,RAB!$C$14:$C$30,C743)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SUMIFS(RAB!$F$14:$F$30,RAB!$C$14:$C$30,C744)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SUMIFS(RAB!$F$14:$F$30,RAB!$C$14:$C$30,C745)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SUMIFS(RAB!$F$14:$F$30,RAB!$C$14:$C$30,C746)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SUMIFS(RAB!$F$14:$F$30,RAB!$C$14:$C$30,C747)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SUMIFS(RAB!$F$14:$F$30,RAB!$C$14:$C$30,C748)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SUMIFS(RAB!$F$14:$F$30,RAB!$C$14:$C$30,C749)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SUMIFS(RAB!$F$14:$F$30,RAB!$C$14:$C$30,C750)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SUMIFS(RAB!$F$14:$F$30,RAB!$C$14:$C$30,C751)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SUMIFS(RAB!$F$14:$F$30,RAB!$C$14:$C$30,C752)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SUMIFS(RAB!$F$14:$F$30,RAB!$C$14:$C$30,C753)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SUMIFS(RAB!$F$14:$F$30,RAB!$C$14:$C$30,C754)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SUMIFS(RAB!$F$14:$F$30,RAB!$C$14:$C$30,C755)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SUMIFS(RAB!$F$14:$F$30,RAB!$C$14:$C$30,C756)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SUMIFS(RAB!$F$14:$F$30,RAB!$C$14:$C$30,C757)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SUMIFS(RAB!$F$14:$F$30,RAB!$C$14:$C$30,C758)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SUMIFS(RAB!$F$14:$F$30,RAB!$C$14:$C$30,C759)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SUMIFS(RAB!$F$14:$F$30,RAB!$C$14:$C$30,C760)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SUMIFS(RAB!$F$14:$F$30,RAB!$C$14:$C$30,C761)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SUMIFS(RAB!$F$14:$F$30,RAB!$C$14:$C$30,C762)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SUMIFS(RAB!$F$14:$F$30,RAB!$C$14:$C$30,C763)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SUMIFS(RAB!$F$14:$F$30,RAB!$C$14:$C$30,C764)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SUMIFS(RAB!$F$14:$F$30,RAB!$C$14:$C$30,C765)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SUMIFS(RAB!$F$14:$F$30,RAB!$C$14:$C$30,C766)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SUMIFS(RAB!$F$14:$F$30,RAB!$C$14:$C$30,C767)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SUMIFS(RAB!$F$14:$F$30,RAB!$C$14:$C$30,C768)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SUMIFS(RAB!$F$14:$F$30,RAB!$C$14:$C$30,C769)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SUMIFS(RAB!$F$14:$F$30,RAB!$C$14:$C$30,C770)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SUMIFS(RAB!$F$14:$F$30,RAB!$C$14:$C$30,C771)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SUMIFS(RAB!$F$14:$F$30,RAB!$C$14:$C$30,C772)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SUMIFS(RAB!$F$14:$F$30,RAB!$C$14:$C$30,C773)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SUMIFS(RAB!$F$14:$F$30,RAB!$C$14:$C$30,C774)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SUMIFS(RAB!$F$14:$F$30,RAB!$C$14:$C$30,C775)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SUMIFS(RAB!$F$14:$F$30,RAB!$C$14:$C$30,C776)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SUMIFS(RAB!$F$14:$F$30,RAB!$C$14:$C$30,C777)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SUMIFS(RAB!$F$14:$F$30,RAB!$C$14:$C$30,C778)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SUMIFS(RAB!$F$14:$F$30,RAB!$C$14:$C$30,C779)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SUMIFS(RAB!$F$14:$F$30,RAB!$C$14:$C$30,C780)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SUMIFS(RAB!$F$14:$F$30,RAB!$C$14:$C$30,C781)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SUMIFS(RAB!$F$14:$F$30,RAB!$C$14:$C$30,C782)</f>
        <v>1</v>
      </c>
      <c r="E782" s="26">
        <f t="shared" ca="1" si="34"/>
        <v>1</v>
      </c>
      <c r="F782" s="26">
        <f ca="1">IF(D782=0,0,SUM($E$713:E782))</f>
        <v>1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SUMIFS(RAB!$F$14:$F$30,RAB!$C$14:$C$30,C783)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SUMIFS(RAB!$F$14:$F$30,RAB!$C$14:$C$30,C784)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SUMIFS(RAB!$F$14:$F$30,RAB!$C$14:$C$30,C785)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SUMIFS(RAB!$F$14:$F$30,RAB!$C$14:$C$30,C786)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SUMIFS(RAB!$F$14:$F$30,RAB!$C$14:$C$30,C787)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SUMIFS(RAB!$F$14:$F$30,RAB!$C$14:$C$30,C788)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SUMIFS(RAB!$F$14:$F$30,RAB!$C$14:$C$30,C789)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SUMIFS(RAB!$F$14:$F$30,RAB!$C$14:$C$30,C790)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SUMIFS(RAB!$F$14:$F$30,RAB!$C$14:$C$30,C791)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SUMIFS(RAB!$F$14:$F$30,RAB!$C$14:$C$30,C792)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SUMIFS(RAB!$F$14:$F$30,RAB!$C$14:$C$30,C793)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SUMIFS(RAB!$F$14:$F$30,RAB!$C$14:$C$30,C794)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SUMIFS(RAB!$F$14:$F$30,RAB!$C$14:$C$30,C795)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SUMIFS(RAB!$F$14:$F$30,RAB!$C$14:$C$30,C796)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SUMIFS(RAB!$F$14:$F$30,RAB!$C$14:$C$30,C797)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SUMIFS(RAB!$F$14:$F$30,RAB!$C$14:$C$30,C798)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SUMIFS(RAB!$F$14:$F$30,RAB!$C$14:$C$30,C799)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SUMIFS(RAB!$F$14:$F$30,RAB!$C$14:$C$30,C800)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SUMIFS(RAB!$F$14:$F$30,RAB!$C$14:$C$30,C801)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SUMIFS(RAB!$F$14:$F$30,RAB!$C$14:$C$30,C802)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SUMIFS(RAB!$F$14:$F$30,RAB!$C$14:$C$30,C803)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SUMIFS(RAB!$F$14:$F$30,RAB!$C$14:$C$30,C804)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SUMIFS(RAB!$F$14:$F$30,RAB!$C$14:$C$30,C805)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SUMIFS(RAB!$F$14:$F$30,RAB!$C$14:$C$30,C806)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SUMIFS(RAB!$F$14:$F$30,RAB!$C$14:$C$30,C807)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SUMIFS(RAB!$F$14:$F$30,RAB!$C$14:$C$30,C808)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SUMIFS(RAB!$F$14:$F$30,RAB!$C$14:$C$30,C809)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SUMIFS(RAB!$F$14:$F$30,RAB!$C$14:$C$30,C810)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SUMIFS(RAB!$F$14:$F$30,RAB!$C$14:$C$30,C811)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SUMIFS(RAB!$F$14:$F$30,RAB!$C$14:$C$30,C812)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SUMIFS(RAB!$F$14:$F$30,RAB!$C$14:$C$30,C813)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SUMIFS(RAB!$F$14:$F$30,RAB!$C$14:$C$30,C814)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SUMIFS(RAB!$F$14:$F$30,RAB!$C$14:$C$30,C815)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SUMIFS(RAB!$F$14:$F$30,RAB!$C$14:$C$30,C816)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SUMIFS(RAB!$F$14:$F$30,RAB!$C$14:$C$30,C817)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SUMIFS(RAB!$F$14:$F$30,RAB!$C$14:$C$30,C818)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SUMIFS(RAB!$F$14:$F$30,RAB!$C$14:$C$30,C819)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SUMIFS(RAB!$F$14:$F$30,RAB!$C$14:$C$30,C820)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SUMIFS(RAB!$F$14:$F$30,RAB!$C$14:$C$30,C821)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SUMIFS(RAB!$F$14:$F$30,RAB!$C$14:$C$30,C822)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SUMIFS(RAB!$F$14:$F$30,RAB!$C$14:$C$30,C823)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SUMIFS(RAB!$F$14:$F$30,RAB!$C$14:$C$30,C824)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SUMIFS(RAB!$F$14:$F$30,RAB!$C$14:$C$30,C825)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SUMIFS(RAB!$F$14:$F$30,RAB!$C$14:$C$30,C826)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SUMIFS(RAB!$F$14:$F$30,RAB!$C$14:$C$30,C827)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SUMIFS(RAB!$F$14:$F$30,RAB!$C$14:$C$30,C828)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SUMIFS(RAB!$F$14:$F$30,RAB!$C$14:$C$30,C829)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SUMIFS(RAB!$F$14:$F$30,RAB!$C$14:$C$30,C830)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SUMIFS(RAB!$F$14:$F$30,RAB!$C$14:$C$30,C831)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SUMIFS(RAB!$F$14:$F$30,RAB!$C$14:$C$30,C832)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SUMIFS(RAB!$F$14:$F$30,RAB!$C$14:$C$30,C833)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SUMIFS(RAB!$F$14:$F$30,RAB!$C$14:$C$30,C834)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SUMIFS(RAB!$F$14:$F$30,RAB!$C$14:$C$30,C835)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SUMIFS(RAB!$F$14:$F$30,RAB!$C$14:$C$30,C836)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SUMIFS(RAB!$F$14:$F$30,RAB!$C$14:$C$30,C837)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SUMIFS(RAB!$F$14:$F$30,RAB!$C$14:$C$30,C838)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SUMIFS(RAB!$F$14:$F$30,RAB!$C$14:$C$30,C839)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SUMIFS(RAB!$F$14:$F$30,RAB!$C$14:$C$30,C840)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SUMIFS(RAB!$F$14:$F$30,RAB!$C$14:$C$30,C841)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SUMIFS(RAB!$F$14:$F$30,RAB!$C$14:$C$30,C842)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SUMIFS(RAB!$F$14:$F$30,RAB!$C$14:$C$30,C843)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SUMIFS(RAB!$F$14:$F$30,RAB!$C$14:$C$30,C844)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SUMIFS(RAB!$F$14:$F$30,RAB!$C$14:$C$30,C845)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SUMIFS(RAB!$F$14:$F$30,RAB!$C$14:$C$30,C846)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SUMIFS(RAB!$F$14:$F$30,RAB!$C$14:$C$30,C847)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SUMIFS(RAB!$F$14:$F$30,RAB!$C$14:$C$30,C848)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SUMIFS(RAB!$F$14:$F$30,RAB!$C$14:$C$30,C849)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SUMIFS(RAB!$F$14:$F$30,RAB!$C$14:$C$30,C850)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SUMIFS(RAB!$F$14:$F$30,RAB!$C$14:$C$30,C851)</f>
        <v>1</v>
      </c>
      <c r="E851" s="26">
        <f t="shared" ca="1" si="35"/>
        <v>1</v>
      </c>
      <c r="F851" s="26">
        <f ca="1">IF(D851=0,0,SUM($E$713:E851))</f>
        <v>2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SUMIFS(RAB!$F$14:$F$30,RAB!$C$14:$C$30,C852)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SUMIFS(RAB!$F$14:$F$30,RAB!$C$14:$C$30,C853)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SUMIFS(RAB!$F$14:$F$30,RAB!$C$14:$C$30,C854)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SUMIFS(RAB!$F$14:$F$30,RAB!$C$14:$C$30,C855)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SUMIFS(RAB!$F$14:$F$30,RAB!$C$14:$C$30,C856)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SUMIFS(RAB!$F$14:$F$30,RAB!$C$14:$C$30,C857)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SUMIFS(RAB!$F$14:$F$30,RAB!$C$14:$C$30,C858)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SUMIFS(RAB!$F$14:$F$30,RAB!$C$14:$C$30,C859)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SUMIFS(RAB!$F$14:$F$30,RAB!$C$14:$C$30,C860)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SUMIFS(RAB!$F$14:$F$30,RAB!$C$14:$C$30,C861)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SUMIFS(RAB!$F$14:$F$30,RAB!$C$14:$C$30,C862)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SUMIFS(RAB!$F$14:$F$30,RAB!$C$14:$C$30,C863)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SUMIFS(RAB!$F$14:$F$30,RAB!$C$14:$C$30,C864)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SUMIFS(RAB!$F$14:$F$30,RAB!$C$14:$C$30,C865)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SUMIFS(RAB!$F$14:$F$30,RAB!$C$14:$C$30,C866)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SUMIFS(RAB!$F$14:$F$30,RAB!$C$14:$C$30,C867)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SUMIFS(RAB!$F$14:$F$30,RAB!$C$14:$C$30,C868)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SUMIFS(RAB!$F$14:$F$30,RAB!$C$14:$C$30,C869)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SUMIFS(RAB!$F$14:$F$30,RAB!$C$14:$C$30,C870)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SUMIFS(RAB!$F$14:$F$30,RAB!$C$14:$C$30,C871)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SUMIFS(RAB!$F$14:$F$30,RAB!$C$14:$C$30,C872)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SUMIFS(RAB!$F$14:$F$30,RAB!$C$14:$C$30,C873)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SUMIFS(RAB!$F$14:$F$30,RAB!$C$14:$C$30,C874)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SUMIFS(RAB!$F$14:$F$30,RAB!$C$14:$C$30,C875)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SUMIFS(RAB!$F$14:$F$30,RAB!$C$14:$C$30,C876)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SUMIFS(RAB!$F$14:$F$30,RAB!$C$14:$C$30,C877)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SUMIFS(RAB!$F$14:$F$30,RAB!$C$14:$C$30,C878)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SUMIFS(RAB!$F$14:$F$30,RAB!$C$14:$C$30,C879)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SUMIFS(RAB!$F$14:$F$30,RAB!$C$14:$C$30,C880)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SUMIFS(RAB!$F$14:$F$30,RAB!$C$14:$C$30,C881)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SUMIFS(RAB!$F$14:$F$30,RAB!$C$14:$C$30,C882)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SUMIFS(RAB!$F$14:$F$30,RAB!$C$14:$C$30,C883)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SUMIFS(RAB!$F$14:$F$30,RAB!$C$14:$C$30,C884)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SUMIFS(RAB!$F$14:$F$30,RAB!$C$14:$C$30,C885)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SUMIFS(RAB!$F$14:$F$30,RAB!$C$14:$C$30,C886)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SUMIFS(RAB!$F$14:$F$30,RAB!$C$14:$C$30,C887)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SUMIFS(RAB!$F$14:$F$30,RAB!$C$14:$C$30,C888)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SUMIFS(RAB!$F$14:$F$30,RAB!$C$14:$C$30,C889)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SUMIFS(RAB!$F$14:$F$30,RAB!$C$14:$C$30,C890)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SUMIFS(RAB!$F$14:$F$30,RAB!$C$14:$C$30,C891)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SUMIFS(RAB!$F$14:$F$30,RAB!$C$14:$C$30,C892)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SUMIFS(RAB!$F$14:$F$30,RAB!$C$14:$C$30,C893)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SUMIFS(RAB!$F$14:$F$30,RAB!$C$14:$C$30,C894)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SUMIFS(RAB!$F$14:$F$30,RAB!$C$14:$C$30,C895)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SUMIFS(RAB!$F$14:$F$30,RAB!$C$14:$C$30,C896)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SUMIFS(RAB!$F$14:$F$30,RAB!$C$14:$C$30,C897)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SUMIFS(RAB!$F$14:$F$30,RAB!$C$14:$C$30,C898)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SUMIFS(RAB!$F$14:$F$30,RAB!$C$14:$C$30,C899)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SUMIFS(RAB!$F$14:$F$30,RAB!$C$14:$C$30,C900)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SUMIFS(RAB!$F$14:$F$30,RAB!$C$14:$C$30,C901)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SUMIFS(RAB!$F$14:$F$30,RAB!$C$14:$C$30,C902)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SUMIFS(RAB!$F$14:$F$30,RAB!$C$14:$C$30,C903)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SUMIFS(RAB!$F$14:$F$30,RAB!$C$14:$C$30,C904)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SUMIFS(RAB!$F$14:$F$30,RAB!$C$14:$C$30,C905)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SUMIFS(RAB!$F$14:$F$30,RAB!$C$14:$C$30,C906)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SUMIFS(RAB!$F$14:$F$30,RAB!$C$14:$C$30,C907)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SUMIFS(RAB!$F$14:$F$30,RAB!$C$14:$C$30,C908)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SUMIFS(RAB!$F$14:$F$30,RAB!$C$14:$C$30,C909)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SUMIFS(RAB!$F$14:$F$30,RAB!$C$14:$C$30,C910)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SUMIFS(RAB!$F$14:$F$30,RAB!$C$14:$C$30,C911)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SUMIFS(RAB!$F$14:$F$30,RAB!$C$14:$C$30,C912)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SUMIFS(RAB!$F$14:$F$30,RAB!$C$14:$C$30,C913)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SUMIFS(RAB!$F$14:$F$30,RAB!$C$14:$C$30,C914)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SUMIFS(RAB!$F$14:$F$30,RAB!$C$14:$C$30,C915)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SUMIFS(RAB!$F$14:$F$30,RAB!$C$14:$C$30,C916)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SUMIFS(RAB!$F$14:$F$30,RAB!$C$14:$C$30,C917)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SUMIFS(RAB!$F$14:$F$30,RAB!$C$14:$C$30,C918)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SUMIFS(RAB!$F$14:$F$30,RAB!$C$14:$C$30,C919)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SUMIFS(RAB!$F$14:$F$30,RAB!$C$14:$C$30,C920)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SUMIFS(RAB!$F$14:$F$30,RAB!$C$14:$C$30,C921)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SUMIFS(RAB!$F$14:$F$30,RAB!$C$14:$C$30,C922)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SUMIFS(RAB!$F$14:$F$30,RAB!$C$14:$C$30,C923)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SUMIFS(RAB!$F$14:$F$30,RAB!$C$14:$C$30,C924)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SUMIFS(RAB!$F$14:$F$30,RAB!$C$14:$C$30,C925)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SUMIFS(RAB!$F$14:$F$30,RAB!$C$14:$C$30,C926)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SUMIFS(RAB!$F$14:$F$30,RAB!$C$14:$C$30,C927)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SUMIFS(RAB!$F$14:$F$30,RAB!$C$14:$C$30,C928)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SUMIFS(RAB!$F$14:$F$30,RAB!$C$14:$C$30,C929)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SUMIFS(RAB!$F$14:$F$30,RAB!$C$14:$C$30,C930)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SUMIFS(RAB!$F$14:$F$30,RAB!$C$14:$C$30,C931)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SUMIFS(RAB!$F$14:$F$30,RAB!$C$14:$C$30,C932)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SUMIFS(RAB!$F$14:$F$30,RAB!$C$14:$C$30,C933)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SUMIFS(RAB!$F$14:$F$30,RAB!$C$14:$C$30,C934)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SUMIFS(RAB!$F$14:$F$30,RAB!$C$14:$C$30,C935)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SUMIFS(RAB!$F$14:$F$30,RAB!$C$14:$C$30,C936)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SUMIFS(RAB!$F$14:$F$30,RAB!$C$14:$C$30,C937)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SUMIFS(RAB!$F$14:$F$30,RAB!$C$14:$C$30,C938)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SUMIFS(RAB!$F$14:$F$30,RAB!$C$14:$C$30,C939)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SUMIFS(RAB!$F$14:$F$30,RAB!$C$14:$C$30,C940)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SUMIFS(RAB!$F$14:$F$30,RAB!$C$14:$C$30,C941)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SUMIFS(RAB!$F$14:$F$30,RAB!$C$14:$C$30,C942)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SUMIFS(RAB!$F$14:$F$30,RAB!$C$14:$C$30,C943)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SUMIFS(RAB!$F$14:$F$30,RAB!$C$14:$C$30,C944)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SUMIFS(RAB!$F$14:$F$30,RAB!$C$14:$C$30,C945)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SUMIFS(RAB!$F$14:$F$30,RAB!$C$14:$C$30,C946)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SUMIFS(RAB!$F$14:$F$30,RAB!$C$14:$C$30,C947)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SUMIFS(RAB!$F$14:$F$30,RAB!$C$14:$C$30,C948)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SUMIFS(RAB!$F$14:$F$30,RAB!$C$14:$C$30,C949)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SUMIFS(RAB!$F$14:$F$30,RAB!$C$14:$C$30,C950)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SUMIFS(RAB!$F$14:$F$30,RAB!$C$14:$C$30,C951)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SUMIFS(RAB!$F$14:$F$30,RAB!$C$14:$C$30,C952)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SUMIFS(RAB!$F$14:$F$30,RAB!$C$14:$C$30,C953)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SUMIFS(RAB!$F$14:$F$30,RAB!$C$14:$C$30,C954)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SUMIFS(RAB!$F$14:$F$30,RAB!$C$14:$C$30,C955)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SUMIFS(RAB!$F$14:$F$30,RAB!$C$14:$C$30,C956)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SUMIFS(RAB!$F$14:$F$30,RAB!$C$14:$C$30,C957)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SUMIFS(RAB!$F$14:$F$30,RAB!$C$14:$C$30,C958)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SUMIFS(RAB!$F$14:$F$30,RAB!$C$14:$C$30,C959)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SUMIFS(RAB!$F$14:$F$30,RAB!$C$14:$C$30,C960)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SUMIFS(RAB!$F$14:$F$30,RAB!$C$14:$C$30,C961)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SUMIFS(RAB!$F$14:$F$30,RAB!$C$14:$C$30,C962)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SUMIFS(RAB!$F$14:$F$30,RAB!$C$14:$C$30,C963)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SUMIFS(RAB!$F$14:$F$30,RAB!$C$14:$C$30,C964)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SUMIFS(RAB!$F$14:$F$30,RAB!$C$14:$C$30,C965)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SUMIFS(RAB!$F$14:$F$30,RAB!$C$14:$C$30,C966)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SUMIFS(RAB!$F$14:$F$30,RAB!$C$14:$C$30,C967)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SUMIFS(RAB!$F$14:$F$30,RAB!$C$14:$C$30,C968)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SUMIFS(RAB!$F$14:$F$30,RAB!$C$14:$C$30,C969)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SUMIFS(RAB!$F$14:$F$30,RAB!$C$14:$C$30,C970)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SUMIFS(RAB!$F$14:$F$30,RAB!$C$14:$C$30,C971)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SUMIFS(RAB!$F$14:$F$30,RAB!$C$14:$C$30,C972)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SUMIFS(RAB!$F$14:$F$30,RAB!$C$14:$C$30,C973)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SUMIFS(RAB!$F$14:$F$30,RAB!$C$14:$C$30,C974)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SUMIFS(RAB!$F$14:$F$30,RAB!$C$14:$C$30,C975)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SUMIFS(RAB!$F$14:$F$30,RAB!$C$14:$C$30,C976)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SUMIFS(RAB!$F$14:$F$30,RAB!$C$14:$C$30,C977)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SUMIFS(RAB!$F$14:$F$30,RAB!$C$14:$C$30,C978)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SUMIFS(RAB!$F$14:$F$30,RAB!$C$14:$C$30,C979)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SUMIFS(RAB!$F$14:$F$30,RAB!$C$14:$C$30,C980)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SUMIFS(RAB!$F$14:$F$30,RAB!$C$14:$C$30,C981)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SUMIFS(RAB!$F$14:$F$30,RAB!$C$14:$C$30,C982)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SUMIFS(RAB!$F$14:$F$30,RAB!$C$14:$C$30,C983)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SUMIFS(RAB!$F$14:$F$30,RAB!$C$14:$C$30,C984)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SUMIFS(RAB!$F$14:$F$30,RAB!$C$14:$C$30,C985)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SUMIFS(RAB!$F$14:$F$30,RAB!$C$14:$C$30,C986)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SUMIFS(RAB!$F$14:$F$30,RAB!$C$14:$C$30,C987)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SUMIFS(RAB!$F$14:$F$30,RAB!$C$14:$C$30,C988)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SUMIFS(RAB!$F$14:$F$30,RAB!$C$14:$C$30,C989)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SUMIFS(RAB!$F$14:$F$30,RAB!$C$14:$C$30,C990)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SUMIFS(RAB!$F$14:$F$30,RAB!$C$14:$C$30,C991)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SUMIFS(RAB!$F$14:$F$30,RAB!$C$14:$C$30,C992)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SUMIFS(RAB!$F$14:$F$30,RAB!$C$14:$C$30,C993)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SUMIFS(RAB!$F$14:$F$30,RAB!$C$14:$C$30,C994)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SUMIFS(RAB!$F$14:$F$30,RAB!$C$14:$C$30,C995)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SUMIFS(RAB!$F$14:$F$30,RAB!$C$14:$C$30,C996)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SUMIFS(RAB!$F$14:$F$30,RAB!$C$14:$C$30,C997)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SUMIFS(RAB!$F$14:$F$30,RAB!$C$14:$C$30,C998)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SUMIFS(RAB!$F$14:$F$30,RAB!$C$14:$C$30,C999)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SUMIFS(RAB!$F$14:$F$30,RAB!$C$14:$C$30,C1000)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SUMIFS(RAB!$F$14:$F$30,RAB!$C$14:$C$30,C1001)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SUMIFS(RAB!$F$14:$F$30,RAB!$C$14:$C$30,C1002)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SUMIFS(RAB!$F$14:$F$30,RAB!$C$14:$C$30,C1003)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SUMIFS(RAB!$F$14:$F$30,RAB!$C$14:$C$30,C1004)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SUMIFS(RAB!$F$14:$F$30,RAB!$C$14:$C$30,C1005)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SUMIFS(RAB!$F$14:$F$30,RAB!$C$14:$C$30,C1006)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SUMIFS(RAB!$F$14:$F$30,RAB!$C$14:$C$30,C1007)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SUMIFS(RAB!$F$14:$F$30,RAB!$C$14:$C$30,C1008)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SUMIFS(RAB!$F$14:$F$30,RAB!$C$14:$C$30,C1009)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SUMIFS(RAB!$F$14:$F$30,RAB!$C$14:$C$30,C1010)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SUMIFS(RAB!$F$14:$F$30,RAB!$C$14:$C$30,C1011)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SUMIFS(RAB!$F$14:$F$30,RAB!$C$14:$C$30,C1012)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SUMIFS(RAB!$F$14:$F$30,RAB!$C$14:$C$30,C1013)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SUMIFS(RAB!$F$14:$F$30,RAB!$C$14:$C$30,C1014)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SUMIFS(RAB!$F$14:$F$30,RAB!$C$14:$C$30,C1015)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SUMIFS(RAB!$F$14:$F$30,RAB!$C$14:$C$30,C1016)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SUMIFS(RAB!$F$14:$F$30,RAB!$C$14:$C$30,C1017)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SUMIFS(RAB!$F$14:$F$30,RAB!$C$14:$C$30,C1018)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SUMIFS(RAB!$F$14:$F$30,RAB!$C$14:$C$30,C1019)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SUMIFS(RAB!$F$14:$F$30,RAB!$C$14:$C$30,C1020)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SUMIFS(RAB!$F$14:$F$30,RAB!$C$14:$C$30,C1021)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SUMIFS(RAB!$F$14:$F$30,RAB!$C$14:$C$30,C1022)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SUMIFS(RAB!$F$14:$F$30,RAB!$C$14:$C$30,C1023)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SUMIFS(RAB!$F$14:$F$30,RAB!$C$14:$C$30,C1024)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SUMIFS(RAB!$F$14:$F$30,RAB!$C$14:$C$30,C1025)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SUMIFS(RAB!$F$14:$F$30,RAB!$C$14:$C$30,C1026)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SUMIFS(RAB!$F$14:$F$30,RAB!$C$14:$C$30,C1027)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SUMIFS(RAB!$F$14:$F$30,RAB!$C$14:$C$30,C1028)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SUMIFS(RAB!$F$14:$F$30,RAB!$C$14:$C$30,C1029)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SUMIFS(RAB!$F$14:$F$30,RAB!$C$14:$C$30,C1030)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SUMIFS(RAB!$F$14:$F$30,RAB!$C$14:$C$30,C1031)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SUMIFS(RAB!$F$14:$F$30,RAB!$C$14:$C$30,C1032)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SUMIFS(RAB!$F$14:$F$30,RAB!$C$14:$C$30,C1033)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SUMIFS(RAB!$F$14:$F$30,RAB!$C$14:$C$30,C1034)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SUMIFS(RAB!$F$14:$F$30,RAB!$C$14:$C$30,C1035)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SUMIFS(RAB!$F$14:$F$30,RAB!$C$14:$C$30,C1036)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SUMIFS(RAB!$F$14:$F$30,RAB!$C$14:$C$30,C1037)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SUMIFS(RAB!$F$14:$F$30,RAB!$C$14:$C$30,C1038)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SUMIFS(RAB!$F$14:$F$30,RAB!$C$14:$C$30,C1039)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SUMIFS(RAB!$F$14:$F$30,RAB!$C$14:$C$30,C1040)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SUMIFS(RAB!$F$14:$F$30,RAB!$C$14:$C$30,C1041)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SUMIFS(RAB!$F$14:$F$30,RAB!$C$14:$C$30,C1042)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SUMIFS(RAB!$F$14:$F$30,RAB!$C$14:$C$30,C1043)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SUMIFS(RAB!$F$14:$F$30,RAB!$C$14:$C$30,C1044)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SUMIFS(RAB!$F$14:$F$30,RAB!$C$14:$C$30,C1045)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SUMIFS(RAB!$F$14:$F$30,RAB!$C$14:$C$30,C1046)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SUMIFS(RAB!$F$14:$F$30,RAB!$C$14:$C$30,C1047)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SUMIFS(RAB!$F$14:$F$30,RAB!$C$14:$C$30,C1048)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SUMIFS(RAB!$F$14:$F$30,RAB!$C$14:$C$30,C1049)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SUMIFS(RAB!$F$14:$F$30,RAB!$C$14:$C$30,C1050)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SUMIFS(RAB!$F$14:$F$30,RAB!$C$14:$C$30,C1051)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SUMIFS(RAB!$F$14:$F$30,RAB!$C$14:$C$30,C1052)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SUMIFS(RAB!$F$14:$F$30,RAB!$C$14:$C$30,C1053)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SUMIFS(RAB!$F$14:$F$30,RAB!$C$14:$C$30,C1054)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SUMIFS(RAB!$F$14:$F$30,RAB!$C$14:$C$30,C1055)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SUMIFS(RAB!$F$14:$F$30,RAB!$C$14:$C$30,C1056)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SUMIFS(RAB!$F$14:$F$30,RAB!$C$14:$C$30,C1057)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SUMIFS(RAB!$F$14:$F$30,RAB!$C$14:$C$30,C1058)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SUMIFS(RAB!$F$14:$F$30,RAB!$C$14:$C$30,C1059)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SUMIFS(RAB!$F$14:$F$30,RAB!$C$14:$C$30,C1060)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SUMIFS(RAB!$F$14:$F$30,RAB!$C$14:$C$30,C1061)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SUMIFS(RAB!$F$14:$F$30,RAB!$C$14:$C$30,C1062)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SUMIFS(RAB!$F$14:$F$30,RAB!$C$14:$C$30,C1063)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SUMIFS(RAB!$F$14:$F$30,RAB!$C$14:$C$30,C1064)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SUMIFS(RAB!$F$14:$F$30,RAB!$C$14:$C$30,C1065)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SUMIFS(RAB!$F$14:$F$30,RAB!$C$14:$C$30,C1066)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SUMIFS(RAB!$F$14:$F$30,RAB!$C$14:$C$30,C1067)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SUMIFS(RAB!$F$14:$F$30,RAB!$C$14:$C$30,C1068)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SUMIFS(RAB!$F$14:$F$30,RAB!$C$14:$C$30,C1069)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SUMIFS(RAB!$F$14:$F$30,RAB!$C$14:$C$30,C1070)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SUMIFS(RAB!$F$14:$F$30,RAB!$C$14:$C$30,C1071)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SUMIFS(RAB!$F$14:$F$30,RAB!$C$14:$C$30,C1072)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SUMIFS(RAB!$F$14:$F$30,RAB!$C$14:$C$30,C1073)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SUMIFS(RAB!$F$14:$F$30,RAB!$C$14:$C$30,C1074)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SUMIFS(RAB!$F$14:$F$30,RAB!$C$14:$C$30,C1075)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SUMIFS(RAB!$F$14:$F$30,RAB!$C$14:$C$30,C1076)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SUMIFS(RAB!$F$14:$F$30,RAB!$C$14:$C$30,C1077)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SUMIFS(RAB!$F$14:$F$30,RAB!$C$14:$C$30,C1078)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SUMIFS(RAB!$F$14:$F$30,RAB!$C$14:$C$30,C1079)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SUMIFS(RAB!$F$14:$F$30,RAB!$C$14:$C$30,C1080)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SUMIFS(RAB!$F$14:$F$30,RAB!$C$14:$C$30,C1081)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SUMIFS(RAB!$F$14:$F$30,RAB!$C$14:$C$30,C1082)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SUMIFS(RAB!$F$14:$F$30,RAB!$C$14:$C$30,C1083)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SUMIFS(RAB!$F$14:$F$30,RAB!$C$14:$C$30,C1084)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SUMIFS(RAB!$F$14:$F$30,RAB!$C$14:$C$30,C1085)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SUMIFS(RAB!$F$14:$F$30,RAB!$C$14:$C$30,C1086)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SUMIFS(RAB!$F$14:$F$30,RAB!$C$14:$C$30,C1087)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SUMIFS(RAB!$F$14:$F$30,RAB!$C$14:$C$30,C1088)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SUMIFS(RAB!$F$14:$F$30,RAB!$C$14:$C$30,C1089)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SUMIFS(RAB!$F$14:$F$30,RAB!$C$14:$C$30,C1090)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SUMIFS(RAB!$F$14:$F$30,RAB!$C$14:$C$30,C1091)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SUMIFS(RAB!$F$14:$F$30,RAB!$C$14:$C$30,C1092)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SUMIFS(RAB!$F$14:$F$30,RAB!$C$14:$C$30,C1093)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SUMIFS(RAB!$F$14:$F$30,RAB!$C$14:$C$30,C1094)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SUMIFS(RAB!$F$14:$F$30,RAB!$C$14:$C$30,C1095)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SUMIFS(RAB!$F$14:$F$30,RAB!$C$14:$C$30,C1096)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SUMIFS(RAB!$F$14:$F$30,RAB!$C$14:$C$30,C1097)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SUMIFS(RAB!$F$14:$F$30,RAB!$C$14:$C$30,C1098)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SUMIFS(RAB!$F$14:$F$30,RAB!$C$14:$C$30,C1099)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SUMIFS(RAB!$F$14:$F$30,RAB!$C$14:$C$30,C1100)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SUMIFS(RAB!$F$14:$F$30,RAB!$C$14:$C$30,C1101)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SUMIFS(RAB!$F$14:$F$30,RAB!$C$14:$C$30,C1102)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SUMIFS(RAB!$F$14:$F$30,RAB!$C$14:$C$30,C1103)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SUMIFS(RAB!$F$14:$F$30,RAB!$C$14:$C$30,C1104)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SUMIFS(RAB!$F$14:$F$30,RAB!$C$14:$C$30,C1105)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SUMIFS(RAB!$F$14:$F$30,RAB!$C$14:$C$30,C1106)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SUMIFS(RAB!$F$14:$F$30,RAB!$C$14:$C$30,C1107)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SUMIFS(RAB!$F$14:$F$30,RAB!$C$14:$C$30,C1108)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SUMIFS(RAB!$F$14:$F$30,RAB!$C$14:$C$30,C1109)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SUMIFS(RAB!$F$14:$F$30,RAB!$C$14:$C$30,C1110)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SUMIFS(RAB!$F$14:$F$30,RAB!$C$14:$C$30,C1111)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SUMIFS(RAB!$F$14:$F$30,RAB!$C$14:$C$30,C1112)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SUMIFS(RAB!$F$14:$F$30,RAB!$C$14:$C$30,C1113)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SUMIFS(RAB!$F$14:$F$30,RAB!$C$14:$C$30,C1114)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SUMIFS(RAB!$F$14:$F$30,RAB!$C$14:$C$30,C1115)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SUMIFS(RAB!$F$14:$F$30,RAB!$C$14:$C$30,C1116)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SUMIFS(RAB!$F$14:$F$30,RAB!$C$14:$C$30,C1117)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SUMIFS(RAB!$F$14:$F$30,RAB!$C$14:$C$30,C1118)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SUMIFS(RAB!$F$14:$F$30,RAB!$C$14:$C$30,C1119)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SUMIFS(RAB!$F$14:$F$30,RAB!$C$14:$C$30,C1120)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SUMIFS(RAB!$F$14:$F$30,RAB!$C$14:$C$30,C1121)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SUMIFS(RAB!$F$14:$F$30,RAB!$C$14:$C$30,C1122)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SUMIFS(RAB!$F$14:$F$30,RAB!$C$14:$C$30,C1123)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SUMIFS(RAB!$F$14:$F$30,RAB!$C$14:$C$30,C1124)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SUMIFS(RAB!$F$14:$F$30,RAB!$C$14:$C$30,C1125)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SUMIFS(RAB!$F$14:$F$30,RAB!$C$14:$C$30,C1126)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SUMIFS(RAB!$F$14:$F$30,RAB!$C$14:$C$30,C1127)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SUMIFS(RAB!$F$14:$F$30,RAB!$C$14:$C$30,C1128)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SUMIFS(RAB!$F$14:$F$30,RAB!$C$14:$C$30,C1129)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SUMIFS(RAB!$F$14:$F$30,RAB!$C$14:$C$30,C1130)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SUMIFS(RAB!$F$14:$F$30,RAB!$C$14:$C$30,C1131)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SUMIFS(RAB!$F$14:$F$30,RAB!$C$14:$C$30,C1132)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SUMIFS(RAB!$F$14:$F$30,RAB!$C$14:$C$30,C1133)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SUMIFS(RAB!$F$14:$F$30,RAB!$C$14:$C$30,C1134)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SUMIFS(RAB!$F$14:$F$30,RAB!$C$14:$C$30,C1135)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SUMIFS(RAB!$F$14:$F$30,RAB!$C$14:$C$30,C1136)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SUMIFS(RAB!$F$14:$F$30,RAB!$C$14:$C$30,C1137)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SUMIFS(RAB!$F$14:$F$30,RAB!$C$14:$C$30,C1138)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SUMIFS(RAB!$F$14:$F$30,RAB!$C$14:$C$30,C1139)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SUMIFS(RAB!$F$14:$F$30,RAB!$C$14:$C$30,C1140)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SUMIFS(RAB!$F$14:$F$30,RAB!$C$14:$C$30,C1141)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SUMIFS(RAB!$F$14:$F$30,RAB!$C$14:$C$30,C1142)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SUMIFS(RAB!$F$14:$F$30,RAB!$C$14:$C$30,C1143)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SUMIFS(RAB!$F$14:$F$30,RAB!$C$14:$C$30,C1144)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SUMIFS(RAB!$F$14:$F$30,RAB!$C$14:$C$30,C1145)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SUMIFS(RAB!$F$14:$F$30,RAB!$C$14:$C$30,C1146)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SUMIFS(RAB!$F$14:$F$30,RAB!$C$14:$C$30,C1147)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SUMIFS(RAB!$F$14:$F$30,RAB!$C$14:$C$30,C1148)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SUMIFS(RAB!$F$14:$F$30,RAB!$C$14:$C$30,C1149)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SUMIFS(RAB!$F$14:$F$30,RAB!$C$14:$C$30,C1150)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SUMIFS(RAB!$F$14:$F$30,RAB!$C$14:$C$30,C1151)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SUMIFS(RAB!$F$14:$F$30,RAB!$C$14:$C$30,C1152)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SUMIFS(RAB!$F$14:$F$30,RAB!$C$14:$C$30,C1153)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SUMIFS(RAB!$F$14:$F$30,RAB!$C$14:$C$30,C1154)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SUMIFS(RAB!$F$14:$F$30,RAB!$C$14:$C$30,C1155)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SUMIFS(RAB!$F$14:$F$30,RAB!$C$14:$C$30,C1156)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SUMIFS(RAB!$F$14:$F$30,RAB!$C$14:$C$30,C1157)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SUMIFS(RAB!$F$14:$F$30,RAB!$C$14:$C$30,C1158)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SUMIFS(RAB!$F$14:$F$30,RAB!$C$14:$C$30,C1159)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SUMIFS(RAB!$F$14:$F$30,RAB!$C$14:$C$30,C1160)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SUMIFS(RAB!$F$14:$F$30,RAB!$C$14:$C$30,C1161)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SUMIFS(RAB!$F$14:$F$30,RAB!$C$14:$C$30,C1162)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SUMIFS(RAB!$F$14:$F$30,RAB!$C$14:$C$30,C1163)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SUMIFS(RAB!$F$14:$F$30,RAB!$C$14:$C$30,C1164)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SUMIFS(RAB!$F$14:$F$30,RAB!$C$14:$C$30,C1165)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SUMIFS(RAB!$F$14:$F$30,RAB!$C$14:$C$30,C1166)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SUMIFS(RAB!$F$14:$F$30,RAB!$C$14:$C$30,C1167)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SUMIFS(RAB!$F$14:$F$30,RAB!$C$14:$C$30,C1168)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SUMIFS(RAB!$F$14:$F$30,RAB!$C$14:$C$30,C1169)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SUMIFS(RAB!$F$14:$F$30,RAB!$C$14:$C$30,C1170)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SUMIFS(RAB!$F$14:$F$30,RAB!$C$14:$C$30,C1171)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SUMIFS(RAB!$F$14:$F$30,RAB!$C$14:$C$30,C1172)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SUMIFS(RAB!$F$14:$F$30,RAB!$C$14:$C$30,C1173)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SUMIFS(RAB!$F$14:$F$30,RAB!$C$14:$C$30,C1174)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SUMIFS(RAB!$F$14:$F$30,RAB!$C$14:$C$30,C1175)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SUMIFS(RAB!$F$14:$F$30,RAB!$C$14:$C$30,C1176)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SUMIFS(RAB!$F$14:$F$30,RAB!$C$14:$C$30,C1177)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SUMIFS(RAB!$F$14:$F$30,RAB!$C$14:$C$30,C1178)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SUMIFS(RAB!$F$14:$F$30,RAB!$C$14:$C$30,C1179)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SUMIFS(RAB!$F$14:$F$30,RAB!$C$14:$C$30,C1180)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SUMIFS(RAB!$F$14:$F$30,RAB!$C$14:$C$30,C1181)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SUMIFS(RAB!$F$14:$F$30,RAB!$C$14:$C$30,C1182)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SUMIFS(RAB!$F$14:$F$30,RAB!$C$14:$C$30,C1183)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SUMIFS(RAB!$F$14:$F$30,RAB!$C$14:$C$30,C1184)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SUMIFS(RAB!$F$14:$F$30,RAB!$C$14:$C$30,C1185)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SUMIFS(RAB!$F$14:$F$30,RAB!$C$14:$C$30,C1186)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SUMIFS(RAB!$F$14:$F$30,RAB!$C$14:$C$30,C1187)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SUMIFS(RAB!$F$14:$F$30,RAB!$C$14:$C$30,C1188)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SUMIFS(RAB!$F$14:$F$30,RAB!$C$14:$C$30,C1189)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SUMIFS(RAB!$F$14:$F$30,RAB!$C$14:$C$30,C1190)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SUMIFS(RAB!$F$14:$F$30,RAB!$C$14:$C$30,C1191)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SUMIFS(RAB!$F$14:$F$30,RAB!$C$14:$C$30,C1192)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SUMIFS(RAB!$F$14:$F$30,RAB!$C$14:$C$30,C1193)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SUMIFS(RAB!$F$14:$F$30,RAB!$C$14:$C$30,C1194)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SUMIFS(RAB!$F$14:$F$30,RAB!$C$14:$C$30,C1195)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SUMIFS(RAB!$F$14:$F$30,RAB!$C$14:$C$30,C1196)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SUMIFS(RAB!$F$14:$F$30,RAB!$C$14:$C$30,C1197)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SUMIFS(RAB!$F$14:$F$30,RAB!$C$14:$C$30,C1198)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SUMIFS(RAB!$F$14:$F$30,RAB!$C$14:$C$30,C1199)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SUMIFS(RAB!$F$14:$F$30,RAB!$C$14:$C$30,C1200)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SUMIFS(RAB!$F$14:$F$30,RAB!$C$14:$C$30,C1201)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SUMIFS(RAB!$F$14:$F$30,RAB!$C$14:$C$30,C1202)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SUMIFS(RAB!$F$14:$F$30,RAB!$C$14:$C$30,C1203)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SUMIFS(RAB!$F$14:$F$30,RAB!$C$14:$C$30,C1204)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SUMIFS(RAB!$F$14:$F$30,RAB!$C$14:$C$30,C1205)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SUMIFS(RAB!$F$14:$F$30,RAB!$C$14:$C$30,C1206)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SUMIFS(RAB!$F$14:$F$30,RAB!$C$14:$C$30,C1207)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SUMIFS(RAB!$F$14:$F$30,RAB!$C$14:$C$30,C1208)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SUMIFS(RAB!$F$14:$F$30,RAB!$C$14:$C$30,C1209)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SUMIFS(RAB!$F$14:$F$30,RAB!$C$14:$C$30,C1210)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SUMIFS(RAB!$F$14:$F$30,RAB!$C$14:$C$30,C1211)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SUMIFS(RAB!$F$14:$F$30,RAB!$C$14:$C$30,C1212)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SUMIFS(RAB!$F$14:$F$30,RAB!$C$14:$C$30,C1213)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SUMIFS(RAB!$F$14:$F$30,RAB!$C$14:$C$30,C1214)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SUMIFS(RAB!$F$14:$F$30,RAB!$C$14:$C$30,C1215)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SUMIFS(RAB!$F$14:$F$30,RAB!$C$14:$C$30,C1216)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SUMIFS(RAB!$F$14:$F$30,RAB!$C$14:$C$30,C1217)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SUMIFS(RAB!$F$14:$F$30,RAB!$C$14:$C$30,C1218)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SUMIFS(RAB!$F$14:$F$30,RAB!$C$14:$C$30,C1219)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SUMIFS(RAB!$F$14:$F$30,RAB!$C$14:$C$30,C1220)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SUMIFS(RAB!$F$14:$F$30,RAB!$C$14:$C$30,C1221)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SUMIFS(RAB!$F$14:$F$30,RAB!$C$14:$C$30,C1222)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SUMIFS(RAB!$F$14:$F$30,RAB!$C$14:$C$30,C1223)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SUMIFS(RAB!$F$14:$F$30,RAB!$C$14:$C$30,C1224)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SUMIFS(RAB!$F$14:$F$30,RAB!$C$14:$C$30,C1225)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SUMIFS(RAB!$F$14:$F$30,RAB!$C$14:$C$30,C1226)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SUMIFS(RAB!$F$14:$F$30,RAB!$C$14:$C$30,C1227)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SUMIFS(RAB!$F$14:$F$30,RAB!$C$14:$C$30,C1228)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SUMIFS(RAB!$F$14:$F$30,RAB!$C$14:$C$30,C1229)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SUMIFS(RAB!$F$14:$F$30,RAB!$C$14:$C$30,C1230)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SUMIFS(RAB!$F$14:$F$30,RAB!$C$14:$C$30,C1231)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SUMIFS(RAB!$F$14:$F$30,RAB!$C$14:$C$30,C1232)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SUMIFS(RAB!$F$14:$F$30,RAB!$C$14:$C$30,C1233)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SUMIFS(RAB!$F$14:$F$30,RAB!$C$14:$C$30,C1234)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SUMIFS(RAB!$F$14:$F$30,RAB!$C$14:$C$30,C1235)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SUMIFS(RAB!$F$14:$F$30,RAB!$C$14:$C$30,C1236)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SUMIFS(RAB!$F$14:$F$30,RAB!$C$14:$C$30,C1237)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SUMIFS(RAB!$F$14:$F$30,RAB!$C$14:$C$30,C1238)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SUMIFS(RAB!$F$14:$F$30,RAB!$C$14:$C$30,C1239)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SUMIFS(RAB!$F$14:$F$30,RAB!$C$14:$C$30,C1240)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SUMIFS(RAB!$F$14:$F$30,RAB!$C$14:$C$30,C1241)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SUMIFS(RAB!$F$14:$F$30,RAB!$C$14:$C$30,C1242)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SUMIFS(RAB!$F$14:$F$30,RAB!$C$14:$C$30,C1243)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SUMIFS(RAB!$F$14:$F$30,RAB!$C$14:$C$30,C1244)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SUMIFS(RAB!$F$14:$F$30,RAB!$C$14:$C$30,C1245)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SUMIFS(RAB!$F$14:$F$30,RAB!$C$14:$C$30,C1246)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SUMIFS(RAB!$F$14:$F$30,RAB!$C$14:$C$30,C1247)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SUMIFS(RAB!$F$14:$F$30,RAB!$C$14:$C$30,C1248)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SUMIFS(RAB!$F$14:$F$30,RAB!$C$14:$C$30,C1249)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SUMIFS(RAB!$F$14:$F$30,RAB!$C$14:$C$30,C1250)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SUMIFS(RAB!$F$14:$F$30,RAB!$C$14:$C$30,C1251)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SUMIFS(RAB!$F$14:$F$30,RAB!$C$14:$C$30,C1252)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SUMIFS(RAB!$F$14:$F$30,RAB!$C$14:$C$30,C1253)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SUMIFS(RAB!$F$14:$F$30,RAB!$C$14:$C$30,C1254)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SUMIFS(RAB!$F$14:$F$30,RAB!$C$14:$C$30,C1255)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SUMIFS(RAB!$F$14:$F$30,RAB!$C$14:$C$30,C1256)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SUMIFS(RAB!$F$14:$F$30,RAB!$C$14:$C$30,C1257)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SUMIFS(RAB!$F$14:$F$30,RAB!$C$14:$C$30,C1258)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SUMIFS(RAB!$F$14:$F$30,RAB!$C$14:$C$30,C1259)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SUMIFS(RAB!$F$14:$F$30,RAB!$C$14:$C$30,C1260)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SUMIFS(RAB!$F$14:$F$30,RAB!$C$14:$C$30,C1261)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SUMIFS(RAB!$F$14:$F$30,RAB!$C$14:$C$30,C1262)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SUMIFS(RAB!$F$14:$F$30,RAB!$C$14:$C$30,C1263)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SUMIFS(RAB!$F$14:$F$30,RAB!$C$14:$C$30,C1264)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SUMIFS(RAB!$F$14:$F$30,RAB!$C$14:$C$30,C1265)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SUMIFS(RAB!$F$14:$F$30,RAB!$C$14:$C$30,C1266)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SUMIFS(RAB!$F$14:$F$30,RAB!$C$14:$C$30,C1267)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SUMIFS(RAB!$F$14:$F$30,RAB!$C$14:$C$30,C1268)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SUMIFS(RAB!$F$14:$F$30,RAB!$C$14:$C$30,C1269)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SUMIFS(RAB!$F$14:$F$30,RAB!$C$14:$C$30,C1270)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SUMIFS(RAB!$F$14:$F$30,RAB!$C$14:$C$30,C1271)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SUMIFS(RAB!$F$14:$F$30,RAB!$C$14:$C$30,C1272)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SUMIFS(RAB!$F$14:$F$30,RAB!$C$14:$C$30,C1273)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SUMIFS(RAB!$F$14:$F$30,RAB!$C$14:$C$30,C1274)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SUMIFS(RAB!$F$14:$F$30,RAB!$C$14:$C$30,C1275)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SUMIFS(RAB!$F$14:$F$30,RAB!$C$14:$C$30,C1276)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SUMIFS(RAB!$F$14:$F$30,RAB!$C$14:$C$30,C1277)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SUMIFS(RAB!$F$14:$F$30,RAB!$C$14:$C$30,C1278)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SUMIFS(RAB!$F$14:$F$30,RAB!$C$14:$C$30,C1279)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SUMIFS(RAB!$F$14:$F$30,RAB!$C$14:$C$30,C1280)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SUMIFS(RAB!$F$14:$F$30,RAB!$C$14:$C$30,C1281)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SUMIFS(RAB!$F$14:$F$30,RAB!$C$14:$C$30,C1282)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SUMIFS(RAB!$F$14:$F$30,RAB!$C$14:$C$30,C1283)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SUMIFS(RAB!$F$14:$F$30,RAB!$C$14:$C$30,C1284)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SUMIFS(RAB!$F$14:$F$30,RAB!$C$14:$C$30,C1285)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SUMIFS(RAB!$F$14:$F$30,RAB!$C$14:$C$30,C1286)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SUMIFS(RAB!$F$14:$F$30,RAB!$C$14:$C$30,C1287)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SUMIFS(RAB!$F$14:$F$30,RAB!$C$14:$C$30,C1288)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SUMIFS(RAB!$F$14:$F$30,RAB!$C$14:$C$30,C1289)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SUMIFS(RAB!$F$14:$F$30,RAB!$C$14:$C$30,C1290)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SUMIFS(RAB!$F$14:$F$30,RAB!$C$14:$C$30,C1291)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SUMIFS(RAB!$F$14:$F$30,RAB!$C$14:$C$30,C1292)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SUMIFS(RAB!$F$14:$F$30,RAB!$C$14:$C$30,C1293)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SUMIFS(RAB!$F$14:$F$30,RAB!$C$14:$C$30,C1294)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SUMIFS(RAB!$F$14:$F$30,RAB!$C$14:$C$30,C1295)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SUMIFS(RAB!$F$14:$F$30,RAB!$C$14:$C$30,C1296)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SUMIFS(RAB!$F$14:$F$30,RAB!$C$14:$C$30,C1297)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SUMIFS(RAB!$F$14:$F$30,RAB!$C$14:$C$30,C1298)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SUMIFS(RAB!$F$14:$F$30,RAB!$C$14:$C$30,C1299)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SUMIFS(RAB!$F$14:$F$30,RAB!$C$14:$C$30,C1300)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SUMIFS(RAB!$F$14:$F$30,RAB!$C$14:$C$30,C1301)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SUMIFS(RAB!$F$14:$F$30,RAB!$C$14:$C$30,C1302)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SUMIFS(RAB!$F$14:$F$30,RAB!$C$14:$C$30,C1303)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SUMIFS(RAB!$F$14:$F$30,RAB!$C$14:$C$30,C1304)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SUMIFS(RAB!$F$14:$F$30,RAB!$C$14:$C$30,C1305)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SUMIFS(RAB!$F$14:$F$30,RAB!$C$14:$C$30,C1306)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SUMIFS(RAB!$F$14:$F$30,RAB!$C$14:$C$30,C1307)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SUMIFS(RAB!$F$14:$F$30,RAB!$C$14:$C$30,C1308)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SUMIFS(RAB!$F$14:$F$30,RAB!$C$14:$C$30,C1309)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SUMIFS(RAB!$F$14:$F$30,RAB!$C$14:$C$30,C1310)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SUMIFS(RAB!$F$14:$F$30,RAB!$C$14:$C$30,C1311)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SUMIFS(RAB!$F$14:$F$30,RAB!$C$14:$C$30,C1312)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SUMIFS(RAB!$F$14:$F$30,RAB!$C$14:$C$30,C1313)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SUMIFS(RAB!$F$14:$F$30,RAB!$C$14:$C$30,C1314)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SUMIFS(RAB!$F$14:$F$30,RAB!$C$14:$C$30,C1315)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SUMIFS(RAB!$F$14:$F$30,RAB!$C$14:$C$30,C1316)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SUMIFS(RAB!$F$14:$F$30,RAB!$C$14:$C$30,C1317)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SUMIFS(RAB!$F$14:$F$30,RAB!$C$14:$C$30,C1318)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SUMIFS(RAB!$F$14:$F$30,RAB!$C$14:$C$30,C1319)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SUMIFS(RAB!$F$14:$F$30,RAB!$C$14:$C$30,C1320)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1127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2" t="str">
        <f>RAB!G6</f>
        <v>SANTOSO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Kembangan RT3 RW2 Waru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6" t="s">
        <v>41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46</v>
      </c>
      <c r="I12" s="527" t="s">
        <v>5</v>
      </c>
      <c r="J12" s="525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3" t="s">
        <v>1008</v>
      </c>
      <c r="D38" s="523"/>
      <c r="E38" s="523"/>
      <c r="F38" s="52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4" t="s">
        <v>462</v>
      </c>
      <c r="D39" s="524"/>
      <c r="E39" s="524"/>
      <c r="F39" s="52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3" t="s">
        <v>463</v>
      </c>
      <c r="D40" s="513"/>
      <c r="E40" s="513"/>
      <c r="F40" s="51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6" t="e">
        <f ca="1">"Terbilang : ( "&amp;L42&amp;" Rupiah )"</f>
        <v>#NAME?</v>
      </c>
      <c r="C41" s="517"/>
      <c r="D41" s="517"/>
      <c r="E41" s="517"/>
      <c r="F41" s="517"/>
      <c r="G41" s="517"/>
      <c r="H41" s="517"/>
      <c r="I41" s="517"/>
      <c r="J41" s="517"/>
      <c r="K41" s="518"/>
      <c r="L41" s="44"/>
      <c r="R41" s="58"/>
      <c r="S41" s="58"/>
      <c r="T41" s="58"/>
    </row>
    <row r="42" spans="1:20" s="36" customFormat="1">
      <c r="A42" s="30"/>
      <c r="B42" s="519"/>
      <c r="C42" s="520"/>
      <c r="D42" s="520"/>
      <c r="E42" s="520"/>
      <c r="F42" s="520"/>
      <c r="G42" s="520"/>
      <c r="H42" s="520"/>
      <c r="I42" s="520"/>
      <c r="J42" s="520"/>
      <c r="K42" s="52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4"/>
      <c r="I45" s="514"/>
      <c r="J45" s="515"/>
      <c r="K45" s="51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4"/>
      <c r="I46" s="514"/>
      <c r="J46" s="515"/>
      <c r="K46" s="51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4"/>
      <c r="I47" s="514"/>
      <c r="J47" s="515"/>
      <c r="K47" s="51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4"/>
      <c r="I52" s="514"/>
      <c r="J52" s="515"/>
      <c r="K52" s="51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SUMIFS(RAB!$F$14:$F$30,RAB!$C$14:$C$30,'REKAP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SUMIFS(RAB!$F$14:$F$30,RAB!$C$14:$C$30,'REKAP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SUMIFS(RAB!$F$14:$F$30,RAB!$C$14:$C$30,'REKAP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SUMIFS(RAB!$F$14:$F$30,RAB!$C$14:$C$30,'REKAP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SUMIFS(RAB!$F$14:$F$30,RAB!$C$14:$C$30,'REKAP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SUMIFS(RAB!$F$14:$F$30,RAB!$C$14:$C$30,'REKAP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SUMIFS(RAB!$F$14:$F$30,RAB!$C$14:$C$30,'REKAP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SUMIFS(RAB!$F$14:$F$30,RAB!$C$14:$C$30,'REKAP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SUMIFS(RAB!$F$14:$F$30,RAB!$C$14:$C$30,'REKAP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SUMIFS(RAB!$F$14:$F$30,RAB!$C$14:$C$30,'REKAP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SUMIFS(RAB!$F$14:$F$30,RAB!$C$14:$C$30,'REKAP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SUMIFS(RAB!$F$14:$F$30,RAB!$C$14:$C$30,'REKAP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SUMIFS(RAB!$F$14:$F$30,RAB!$C$14:$C$30,'REKAP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SUMIFS(RAB!$F$14:$F$30,RAB!$C$14:$C$30,'REKAP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SUMIFS(RAB!$F$14:$F$30,RAB!$C$14:$C$30,'REKAP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SUMIFS(RAB!$F$14:$F$30,RAB!$C$14:$C$30,'REKAP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SUMIFS(RAB!$F$14:$F$30,RAB!$C$14:$C$30,'REKAP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SUMIFS(RAB!$F$14:$F$30,RAB!$C$14:$C$30,'REKAP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SUMIFS(RAB!$F$14:$F$30,RAB!$C$14:$C$30,'REKAP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SUMIFS(RAB!$F$14:$F$30,RAB!$C$14:$C$30,'REKAP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1034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2" t="str">
        <f>RAB!G6</f>
        <v>SANTOSO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Kembangan RT3 RW2 Waru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6" t="s">
        <v>41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46</v>
      </c>
      <c r="I12" s="527" t="s">
        <v>5</v>
      </c>
      <c r="J12" s="525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41.5 kVA MCCB 63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3" t="s">
        <v>1008</v>
      </c>
      <c r="D168" s="523"/>
      <c r="E168" s="523"/>
      <c r="F168" s="523"/>
      <c r="G168" s="77" t="s">
        <v>9</v>
      </c>
      <c r="H168" s="55">
        <f ca="1">SUM(H14:H167)</f>
        <v>3564900</v>
      </c>
      <c r="I168" s="55">
        <f ca="1">SUM(I14:I167)</f>
        <v>0</v>
      </c>
      <c r="J168" s="55">
        <f ca="1">SUM(J14:J167)</f>
        <v>0</v>
      </c>
      <c r="K168" s="55">
        <f ca="1">SUM(K14:K167)</f>
        <v>3564900</v>
      </c>
      <c r="L168" s="44"/>
      <c r="R168" s="99"/>
      <c r="S168" s="99"/>
      <c r="T168" s="99"/>
    </row>
    <row r="169" spans="1:20" s="36" customFormat="1">
      <c r="A169" s="30"/>
      <c r="B169" s="56"/>
      <c r="C169" s="524" t="s">
        <v>462</v>
      </c>
      <c r="D169" s="524"/>
      <c r="E169" s="524"/>
      <c r="F169" s="524"/>
      <c r="G169" s="59" t="s">
        <v>9</v>
      </c>
      <c r="H169" s="60">
        <f ca="1">H168*0.1</f>
        <v>356490</v>
      </c>
      <c r="I169" s="60">
        <f ca="1">I168*0.1</f>
        <v>0</v>
      </c>
      <c r="J169" s="60">
        <f ca="1">J168*0.1</f>
        <v>0</v>
      </c>
      <c r="K169" s="60">
        <f ca="1">K168*0.1</f>
        <v>356490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3" t="s">
        <v>463</v>
      </c>
      <c r="D170" s="513"/>
      <c r="E170" s="513"/>
      <c r="F170" s="513"/>
      <c r="G170" s="61" t="s">
        <v>9</v>
      </c>
      <c r="H170" s="78">
        <f ca="1">SUM(H168:H169)</f>
        <v>3921390</v>
      </c>
      <c r="I170" s="78">
        <f ca="1">SUM(I168:I169)</f>
        <v>0</v>
      </c>
      <c r="J170" s="61">
        <f ca="1">SUM(J168:J169)</f>
        <v>0</v>
      </c>
      <c r="K170" s="61">
        <f ca="1">SUM(K168:K169)</f>
        <v>3921390</v>
      </c>
      <c r="L170" s="44"/>
      <c r="R170" s="99"/>
      <c r="S170" s="99"/>
      <c r="T170" s="99"/>
    </row>
    <row r="171" spans="1:20" s="36" customFormat="1">
      <c r="A171" s="30"/>
      <c r="B171" s="516" t="e">
        <f ca="1">"Terbilang : ( "&amp;L172&amp;" Rupiah )"</f>
        <v>#NAME?</v>
      </c>
      <c r="C171" s="517"/>
      <c r="D171" s="517"/>
      <c r="E171" s="517"/>
      <c r="F171" s="517"/>
      <c r="G171" s="517"/>
      <c r="H171" s="517"/>
      <c r="I171" s="517"/>
      <c r="J171" s="517"/>
      <c r="K171" s="518"/>
      <c r="L171" s="44"/>
      <c r="R171" s="58"/>
      <c r="S171" s="58"/>
      <c r="T171" s="58"/>
    </row>
    <row r="172" spans="1:20" s="36" customFormat="1">
      <c r="A172" s="30"/>
      <c r="B172" s="519"/>
      <c r="C172" s="520"/>
      <c r="D172" s="520"/>
      <c r="E172" s="520"/>
      <c r="F172" s="520"/>
      <c r="G172" s="520"/>
      <c r="H172" s="520"/>
      <c r="I172" s="520"/>
      <c r="J172" s="520"/>
      <c r="K172" s="52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4"/>
      <c r="I175" s="514"/>
      <c r="J175" s="515"/>
      <c r="K175" s="51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4"/>
      <c r="I176" s="514"/>
      <c r="J176" s="515"/>
      <c r="K176" s="51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4"/>
      <c r="I177" s="514"/>
      <c r="J177" s="515"/>
      <c r="K177" s="51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4"/>
      <c r="I182" s="514"/>
      <c r="J182" s="515"/>
      <c r="K182" s="51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SUMIFS(RAB!$F$14:$F$30,RAB!$C$14:$C$30,C224)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SUMIFS(RAB!$F$14:$F$30,RAB!$C$14:$C$30,C225)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SUMIFS(RAB!$F$14:$F$30,RAB!$C$14:$C$30,C226)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SUMIFS(RAB!$F$14:$F$30,RAB!$C$14:$C$30,C227)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SUMIFS(RAB!$F$14:$F$30,RAB!$C$14:$C$30,C228)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SUMIFS(RAB!$F$14:$F$30,RAB!$C$14:$C$30,C229)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SUMIFS(RAB!$F$14:$F$30,RAB!$C$14:$C$30,C230)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SUMIFS(RAB!$F$14:$F$30,RAB!$C$14:$C$30,C231)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SUMIFS(RAB!$F$14:$F$30,RAB!$C$14:$C$30,C232)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SUMIFS(RAB!$F$14:$F$30,RAB!$C$14:$C$30,C233)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SUMIFS(RAB!$F$14:$F$30,RAB!$C$14:$C$30,C234)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SUMIFS(RAB!$F$14:$F$30,RAB!$C$14:$C$30,C235)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SUMIFS(RAB!$F$14:$F$30,RAB!$C$14:$C$30,C236)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SUMIFS(RAB!$F$14:$F$30,RAB!$C$14:$C$30,C237)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SUMIFS(RAB!$F$14:$F$30,RAB!$C$14:$C$30,C238)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SUMIFS(RAB!$F$14:$F$30,RAB!$C$14:$C$30,C239)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SUMIFS(RAB!$F$14:$F$30,RAB!$C$14:$C$30,C240)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SUMIFS(RAB!$F$14:$F$30,RAB!$C$14:$C$30,C241)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SUMIFS(RAB!$F$14:$F$30,RAB!$C$14:$C$30,C242)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SUMIFS(RAB!$F$14:$F$30,RAB!$C$14:$C$30,C243)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SUMIFS(RAB!$F$14:$F$30,RAB!$C$14:$C$30,C244)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SUMIFS(RAB!$F$14:$F$30,RAB!$C$14:$C$30,C245)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SUMIFS(RAB!$F$14:$F$30,RAB!$C$14:$C$30,C246)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SUMIFS(RAB!$F$14:$F$30,RAB!$C$14:$C$30,C247)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SUMIFS(RAB!$F$14:$F$30,RAB!$C$14:$C$30,C248)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SUMIFS(RAB!$F$14:$F$30,RAB!$C$14:$C$30,C249)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SUMIFS(RAB!$F$14:$F$30,RAB!$C$14:$C$30,C250)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SUMIFS(RAB!$F$14:$F$30,RAB!$C$14:$C$30,C251)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SUMIFS(RAB!$F$14:$F$30,RAB!$C$14:$C$30,C252)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SUMIFS(RAB!$F$14:$F$30,RAB!$C$14:$C$30,C253)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SUMIFS(RAB!$F$14:$F$30,RAB!$C$14:$C$30,C254)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SUMIFS(RAB!$F$14:$F$30,RAB!$C$14:$C$30,C255)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SUMIFS(RAB!$F$14:$F$30,RAB!$C$14:$C$30,C256)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SUMIFS(RAB!$F$14:$F$30,RAB!$C$14:$C$30,C257)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SUMIFS(RAB!$F$14:$F$30,RAB!$C$14:$C$30,C258)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SUMIFS(RAB!$F$14:$F$30,RAB!$C$14:$C$30,C259)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SUMIFS(RAB!$F$14:$F$30,RAB!$C$14:$C$30,C260)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SUMIFS(RAB!$F$14:$F$30,RAB!$C$14:$C$30,C261)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SUMIFS(RAB!$F$14:$F$30,RAB!$C$14:$C$30,C262)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SUMIFS(RAB!$F$14:$F$30,RAB!$C$14:$C$30,C263)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SUMIFS(RAB!$F$14:$F$30,RAB!$C$14:$C$30,C264)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SUMIFS(RAB!$F$14:$F$30,RAB!$C$14:$C$30,C265)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SUMIFS(RAB!$F$14:$F$30,RAB!$C$14:$C$30,C266)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SUMIFS(RAB!$F$14:$F$30,RAB!$C$14:$C$30,C267)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SUMIFS(RAB!$F$14:$F$30,RAB!$C$14:$C$30,C268)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SUMIFS(RAB!$F$14:$F$30,RAB!$C$14:$C$30,C269)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SUMIFS(RAB!$F$14:$F$30,RAB!$C$14:$C$30,C270)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SUMIFS(RAB!$F$14:$F$30,RAB!$C$14:$C$30,C271)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SUMIFS(RAB!$F$14:$F$30,RAB!$C$14:$C$30,C272)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SUMIFS(RAB!$F$14:$F$30,RAB!$C$14:$C$30,C273)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SUMIFS(RAB!$F$14:$F$30,RAB!$C$14:$C$30,C274)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SUMIFS(RAB!$F$14:$F$30,RAB!$C$14:$C$30,C275)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SUMIFS(RAB!$F$14:$F$30,RAB!$C$14:$C$30,C276)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SUMIFS(RAB!$F$14:$F$30,RAB!$C$14:$C$30,C277)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SUMIFS(RAB!$F$14:$F$30,RAB!$C$14:$C$30,C278)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SUMIFS(RAB!$F$14:$F$30,RAB!$C$14:$C$30,C279)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SUMIFS(RAB!$F$14:$F$30,RAB!$C$14:$C$30,C280)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SUMIFS(RAB!$F$14:$F$30,RAB!$C$14:$C$30,C281)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SUMIFS(RAB!$F$14:$F$30,RAB!$C$14:$C$30,C282)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SUMIFS(RAB!$F$14:$F$30,RAB!$C$14:$C$30,C283)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SUMIFS(RAB!$F$14:$F$30,RAB!$C$14:$C$30,C284)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SUMIFS(RAB!$F$14:$F$30,RAB!$C$14:$C$30,C285)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SUMIFS(RAB!$F$14:$F$30,RAB!$C$14:$C$30,C286)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SUMIFS(RAB!$F$14:$F$30,RAB!$C$14:$C$30,C287)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SUMIFS(RAB!$F$14:$F$30,RAB!$C$14:$C$30,C288)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SUMIFS(RAB!$F$14:$F$30,RAB!$C$14:$C$30,C289)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SUMIFS(RAB!$F$14:$F$30,RAB!$C$14:$C$30,C290)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SUMIFS(RAB!$F$14:$F$30,RAB!$C$14:$C$30,C291)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SUMIFS(RAB!$F$14:$F$30,RAB!$C$14:$C$30,C292)</f>
        <v>1</v>
      </c>
      <c r="E292" s="24">
        <f t="shared" ca="1" si="22"/>
        <v>1</v>
      </c>
      <c r="F292" s="24">
        <f ca="1">IF(D292=0,0,SUM($E$223:E292))</f>
        <v>1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SUMIFS(RAB!$F$14:$F$30,RAB!$C$14:$C$30,C293)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SUMIFS(RAB!$F$14:$F$30,RAB!$C$14:$C$30,C294)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SUMIFS(RAB!$F$14:$F$30,RAB!$C$14:$C$30,C295)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SUMIFS(RAB!$F$14:$F$30,RAB!$C$14:$C$30,C296)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SUMIFS(RAB!$F$14:$F$30,RAB!$C$14:$C$30,C297)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SUMIFS(RAB!$F$14:$F$30,RAB!$C$14:$C$30,C298)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SUMIFS(RAB!$F$14:$F$30,RAB!$C$14:$C$30,C299)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SUMIFS(RAB!$F$14:$F$30,RAB!$C$14:$C$30,C300)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SUMIFS(RAB!$F$14:$F$30,RAB!$C$14:$C$30,C301)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SUMIFS(RAB!$F$14:$F$30,RAB!$C$14:$C$30,C302)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SUMIFS(RAB!$F$14:$F$30,RAB!$C$14:$C$30,C303)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SUMIFS(RAB!$F$14:$F$30,RAB!$C$14:$C$30,C304)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SUMIFS(RAB!$F$14:$F$30,RAB!$C$14:$C$30,C305)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SUMIFS(RAB!$F$14:$F$30,RAB!$C$14:$C$30,C306)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SUMIFS(RAB!$F$14:$F$30,RAB!$C$14:$C$30,C307)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SUMIFS(RAB!$F$14:$F$30,RAB!$C$14:$C$30,C308)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SUMIFS(RAB!$F$14:$F$30,RAB!$C$14:$C$30,C309)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SUMIFS(RAB!$F$14:$F$30,RAB!$C$14:$C$30,C310)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SUMIFS(RAB!$F$14:$F$30,RAB!$C$14:$C$30,C311)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SUMIFS(RAB!$F$14:$F$30,RAB!$C$14:$C$30,C312)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SUMIFS(RAB!$F$14:$F$30,RAB!$C$14:$C$30,C313)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SUMIFS(RAB!$F$14:$F$30,RAB!$C$14:$C$30,C314)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SUMIFS(RAB!$F$14:$F$30,RAB!$C$14:$C$30,C315)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SUMIFS(RAB!$F$14:$F$30,RAB!$C$14:$C$30,C316)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SUMIFS(RAB!$F$14:$F$30,RAB!$C$14:$C$30,C317)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SUMIFS(RAB!$F$14:$F$30,RAB!$C$14:$C$30,C318)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SUMIFS(RAB!$F$14:$F$30,RAB!$C$14:$C$30,C319)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SUMIFS(RAB!$F$14:$F$30,RAB!$C$14:$C$30,C320)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SUMIFS(RAB!$F$14:$F$30,RAB!$C$14:$C$30,C321)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SUMIFS(RAB!$F$14:$F$30,RAB!$C$14:$C$30,C322)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SUMIFS(RAB!$F$14:$F$30,RAB!$C$14:$C$30,C323)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SUMIFS(RAB!$F$14:$F$30,RAB!$C$14:$C$30,C324)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SUMIFS(RAB!$F$14:$F$30,RAB!$C$14:$C$30,C325)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SUMIFS(RAB!$F$14:$F$30,RAB!$C$14:$C$30,C326)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SUMIFS(RAB!$F$14:$F$30,RAB!$C$14:$C$30,C327)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SUMIFS(RAB!$F$14:$F$30,RAB!$C$14:$C$30,C328)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SUMIFS(RAB!$F$14:$F$30,RAB!$C$14:$C$30,C329)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SUMIFS(RAB!$F$14:$F$30,RAB!$C$14:$C$30,C330)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SUMIFS(RAB!$F$14:$F$30,RAB!$C$14:$C$30,C331)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SUMIFS(RAB!$F$14:$F$30,RAB!$C$14:$C$30,C332)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SUMIFS(RAB!$F$14:$F$30,RAB!$C$14:$C$30,C333)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SUMIFS(RAB!$F$14:$F$30,RAB!$C$14:$C$30,C334)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SUMIFS(RAB!$F$14:$F$30,RAB!$C$14:$C$30,C335)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SUMIFS(RAB!$F$14:$F$30,RAB!$C$14:$C$30,C336)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SUMIFS(RAB!$F$14:$F$30,RAB!$C$14:$C$30,C337)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SUMIFS(RAB!$F$14:$F$30,RAB!$C$14:$C$30,C338)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SUMIFS(RAB!$F$14:$F$30,RAB!$C$14:$C$30,C339)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SUMIFS(RAB!$F$14:$F$30,RAB!$C$14:$C$30,C340)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SUMIFS(RAB!$F$14:$F$30,RAB!$C$14:$C$30,C341)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SUMIFS(RAB!$F$14:$F$30,RAB!$C$14:$C$30,C342)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SUMIFS(RAB!$F$14:$F$30,RAB!$C$14:$C$30,C343)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SUMIFS(RAB!$F$14:$F$30,RAB!$C$14:$C$30,C344)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SUMIFS(RAB!$F$14:$F$30,RAB!$C$14:$C$30,C345)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SUMIFS(RAB!$F$14:$F$30,RAB!$C$14:$C$30,C346)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SUMIFS(RAB!$F$14:$F$30,RAB!$C$14:$C$30,C347)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SUMIFS(RAB!$F$14:$F$30,RAB!$C$14:$C$30,C348)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SUMIFS(RAB!$F$14:$F$30,RAB!$C$14:$C$30,C349)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SUMIFS(RAB!$F$14:$F$30,RAB!$C$14:$C$30,C350)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SUMIFS(RAB!$F$14:$F$30,RAB!$C$14:$C$30,C351)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SUMIFS(RAB!$F$14:$F$30,RAB!$C$14:$C$30,C352)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SUMIFS(RAB!$F$14:$F$30,RAB!$C$14:$C$30,C353)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SUMIFS(RAB!$F$14:$F$30,RAB!$C$14:$C$30,C354)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SUMIFS(RAB!$F$14:$F$30,RAB!$C$14:$C$30,C355)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SUMIFS(RAB!$F$14:$F$30,RAB!$C$14:$C$30,C356)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SUMIFS(RAB!$F$14:$F$30,RAB!$C$14:$C$30,C357)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SUMIFS(RAB!$F$14:$F$30,RAB!$C$14:$C$30,C358)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SUMIFS(RAB!$F$14:$F$30,RAB!$C$14:$C$30,C359)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SUMIFS(RAB!$F$14:$F$30,RAB!$C$14:$C$30,C360)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SUMIFS(RAB!$F$14:$F$30,RAB!$C$14:$C$30,C361)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SUMIFS(RAB!$F$14:$F$30,RAB!$C$14:$C$30,C362)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SUMIFS(RAB!$F$14:$F$30,RAB!$C$14:$C$30,C363)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SUMIFS(RAB!$F$14:$F$30,RAB!$C$14:$C$30,C364)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SUMIFS(RAB!$F$14:$F$30,RAB!$C$14:$C$30,C365)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SUMIFS(RAB!$F$14:$F$30,RAB!$C$14:$C$30,C366)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SUMIFS(RAB!$F$14:$F$30,RAB!$C$14:$C$30,C367)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SUMIFS(RAB!$F$14:$F$30,RAB!$C$14:$C$30,C368)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SUMIFS(RAB!$F$14:$F$30,RAB!$C$14:$C$30,C369)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SUMIFS(RAB!$F$14:$F$30,RAB!$C$14:$C$30,C370)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SUMIFS(RAB!$F$14:$F$30,RAB!$C$14:$C$30,C371)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SUMIFS(RAB!$F$14:$F$30,RAB!$C$14:$C$30,C372)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SUMIFS(RAB!$F$14:$F$30,RAB!$C$14:$C$30,C373)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84" style="81" bestFit="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1" t="s">
        <v>41</v>
      </c>
      <c r="C2" s="54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2" t="s">
        <v>23</v>
      </c>
      <c r="C4" s="543" t="s">
        <v>1012</v>
      </c>
      <c r="D4" s="543" t="s">
        <v>42</v>
      </c>
      <c r="E4" s="542" t="s">
        <v>43</v>
      </c>
      <c r="F4" s="108" t="s">
        <v>1605</v>
      </c>
      <c r="G4" s="108" t="s">
        <v>1604</v>
      </c>
      <c r="H4" s="54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2"/>
      <c r="C5" s="543"/>
      <c r="D5" s="543"/>
      <c r="E5" s="542"/>
      <c r="F5" s="93"/>
      <c r="G5" s="93"/>
      <c r="H5" s="540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70" zoomScaleNormal="70" zoomScaleSheetLayoutView="85" workbookViewId="0">
      <selection activeCell="K12" sqref="K12:L12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8" t="s">
        <v>1454</v>
      </c>
      <c r="C2" s="548"/>
      <c r="D2" s="548"/>
      <c r="E2" s="548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3" t="s">
        <v>1532</v>
      </c>
      <c r="C4" s="554"/>
      <c r="D4" s="554"/>
      <c r="E4" s="555"/>
      <c r="F4" s="434"/>
      <c r="G4" s="434"/>
      <c r="H4" s="435"/>
      <c r="I4" s="578" t="s">
        <v>1533</v>
      </c>
      <c r="J4" s="579"/>
      <c r="K4" s="579"/>
      <c r="L4" s="580"/>
    </row>
    <row r="5" spans="1:12" ht="46.5" customHeight="1">
      <c r="A5" s="204"/>
      <c r="B5" s="437" t="s">
        <v>1379</v>
      </c>
      <c r="C5" s="277" t="s">
        <v>9</v>
      </c>
      <c r="D5" s="549" t="str">
        <f>DATA!D14</f>
        <v>SANTOSO</v>
      </c>
      <c r="E5" s="550"/>
      <c r="F5" s="208"/>
      <c r="G5" s="208"/>
      <c r="I5" s="438" t="s">
        <v>1379</v>
      </c>
      <c r="J5" s="277" t="s">
        <v>9</v>
      </c>
      <c r="K5" s="581" t="str">
        <f>D5</f>
        <v>SANTOSO</v>
      </c>
      <c r="L5" s="582"/>
    </row>
    <row r="6" spans="1:12" ht="31.5" customHeight="1">
      <c r="A6" s="204"/>
      <c r="B6" s="437" t="s">
        <v>1529</v>
      </c>
      <c r="C6" s="277" t="s">
        <v>9</v>
      </c>
      <c r="D6" s="558">
        <f>DATA!D17*1000</f>
        <v>41500</v>
      </c>
      <c r="E6" s="559"/>
      <c r="F6" s="208"/>
      <c r="G6" s="208"/>
      <c r="I6" s="438" t="s">
        <v>1530</v>
      </c>
      <c r="J6" s="277" t="s">
        <v>9</v>
      </c>
      <c r="K6" s="583">
        <f>DATA!D20*1000</f>
        <v>41500</v>
      </c>
      <c r="L6" s="584"/>
    </row>
    <row r="7" spans="1:12" ht="30.75" customHeight="1">
      <c r="A7" s="204"/>
      <c r="B7" s="437" t="s">
        <v>1441</v>
      </c>
      <c r="C7" s="277" t="s">
        <v>9</v>
      </c>
      <c r="D7" s="556">
        <f>DATA!D18</f>
        <v>3</v>
      </c>
      <c r="E7" s="557"/>
      <c r="F7" s="436" t="s">
        <v>1453</v>
      </c>
      <c r="I7" s="438" t="s">
        <v>1441</v>
      </c>
      <c r="J7" s="277" t="s">
        <v>9</v>
      </c>
      <c r="K7" s="585">
        <f>DATA!D21</f>
        <v>3</v>
      </c>
      <c r="L7" s="586"/>
    </row>
    <row r="8" spans="1:12" ht="51" customHeight="1">
      <c r="A8" s="204"/>
      <c r="B8" s="437" t="s">
        <v>1442</v>
      </c>
      <c r="C8" s="277" t="s">
        <v>9</v>
      </c>
      <c r="D8" s="556">
        <f>DATA!D19</f>
        <v>380</v>
      </c>
      <c r="E8" s="557"/>
      <c r="F8" s="436" t="s">
        <v>1453</v>
      </c>
      <c r="G8" s="431">
        <v>220</v>
      </c>
      <c r="I8" s="438" t="s">
        <v>1442</v>
      </c>
      <c r="J8" s="277" t="s">
        <v>9</v>
      </c>
      <c r="K8" s="585">
        <f>DATA!D22</f>
        <v>380</v>
      </c>
      <c r="L8" s="586"/>
    </row>
    <row r="9" spans="1:12" ht="30" customHeight="1" thickBot="1">
      <c r="A9" s="204"/>
      <c r="B9" s="443" t="s">
        <v>1541</v>
      </c>
      <c r="C9" s="433" t="s">
        <v>9</v>
      </c>
      <c r="D9" s="551">
        <f>IF(D7=1,D6/(380/3^0.5),(D6/(380*3^0.5)))</f>
        <v>63.052726766761765</v>
      </c>
      <c r="E9" s="552"/>
      <c r="F9" s="207"/>
      <c r="G9" s="432">
        <v>380</v>
      </c>
      <c r="I9" s="444" t="s">
        <v>1541</v>
      </c>
      <c r="J9" s="433" t="s">
        <v>9</v>
      </c>
      <c r="K9" s="587">
        <f>IF(K7=1,K6/(380/3^0.5),(K6/(380*3^0.5)))</f>
        <v>63.052726766761765</v>
      </c>
      <c r="L9" s="588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60"/>
      <c r="E12" s="561"/>
      <c r="F12" s="208"/>
      <c r="G12" s="208"/>
      <c r="I12" s="460" t="s">
        <v>1534</v>
      </c>
      <c r="J12" s="461" t="s">
        <v>9</v>
      </c>
      <c r="K12" s="560">
        <f>D12</f>
        <v>0</v>
      </c>
      <c r="L12" s="561"/>
    </row>
    <row r="13" spans="1:12" ht="31.5" customHeight="1">
      <c r="A13" s="204"/>
      <c r="B13" s="468" t="s">
        <v>1380</v>
      </c>
      <c r="C13" s="448" t="s">
        <v>9</v>
      </c>
      <c r="D13" s="564"/>
      <c r="E13" s="565"/>
      <c r="F13" s="208"/>
      <c r="G13" s="208"/>
      <c r="I13" s="462" t="s">
        <v>1380</v>
      </c>
      <c r="J13" s="448" t="s">
        <v>9</v>
      </c>
      <c r="K13" s="564">
        <f>D13</f>
        <v>0</v>
      </c>
      <c r="L13" s="565"/>
    </row>
    <row r="14" spans="1:12" ht="30.75" customHeight="1">
      <c r="A14" s="204"/>
      <c r="B14" s="468" t="s">
        <v>1535</v>
      </c>
      <c r="C14" s="448" t="s">
        <v>9</v>
      </c>
      <c r="D14" s="572"/>
      <c r="E14" s="573"/>
      <c r="F14" s="436" t="s">
        <v>1453</v>
      </c>
      <c r="G14" s="440">
        <v>50</v>
      </c>
      <c r="I14" s="462" t="s">
        <v>1535</v>
      </c>
      <c r="J14" s="448" t="s">
        <v>9</v>
      </c>
      <c r="K14" s="572">
        <v>50</v>
      </c>
      <c r="L14" s="573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74">
        <v>160</v>
      </c>
      <c r="E16" s="575"/>
      <c r="F16" s="436"/>
      <c r="G16" s="440">
        <v>160</v>
      </c>
      <c r="I16" s="462" t="s">
        <v>1537</v>
      </c>
      <c r="J16" s="448" t="s">
        <v>9</v>
      </c>
      <c r="K16" s="576">
        <f>K9</f>
        <v>63.052726766761765</v>
      </c>
      <c r="L16" s="577"/>
    </row>
    <row r="17" spans="1:12" ht="34.5" customHeight="1">
      <c r="A17" s="204"/>
      <c r="B17" s="468" t="s">
        <v>1538</v>
      </c>
      <c r="C17" s="448" t="s">
        <v>9</v>
      </c>
      <c r="D17" s="566">
        <f>IF(D15=1,D14/(20/3^0.5),(D14/(20*3^0.5)))</f>
        <v>0</v>
      </c>
      <c r="E17" s="567"/>
      <c r="F17" s="436" t="s">
        <v>1453</v>
      </c>
      <c r="G17" s="441">
        <v>200</v>
      </c>
      <c r="I17" s="462" t="s">
        <v>1538</v>
      </c>
      <c r="J17" s="448" t="s">
        <v>9</v>
      </c>
      <c r="K17" s="570">
        <f>IF(K15=1,K14/(20/3^0.5),(K14/(20*3^0.5)))</f>
        <v>4.3301270189221928</v>
      </c>
      <c r="L17" s="571"/>
    </row>
    <row r="18" spans="1:12" ht="34.5" customHeight="1">
      <c r="A18" s="204"/>
      <c r="B18" s="468" t="s">
        <v>1539</v>
      </c>
      <c r="C18" s="448" t="s">
        <v>9</v>
      </c>
      <c r="D18" s="566">
        <f>IF(D15=1,D14/(380/3^0.5),(D14/(380*3^0.5)))*1000</f>
        <v>0</v>
      </c>
      <c r="E18" s="567"/>
      <c r="F18" s="436" t="s">
        <v>1453</v>
      </c>
      <c r="G18" s="441">
        <v>250</v>
      </c>
      <c r="I18" s="462" t="s">
        <v>1539</v>
      </c>
      <c r="J18" s="448" t="s">
        <v>9</v>
      </c>
      <c r="K18" s="570">
        <f>IF(K15=1,K14/(380/3^0.5),(K14/(380*3^0.5)))*1000</f>
        <v>227.90142204853646</v>
      </c>
      <c r="L18" s="571"/>
    </row>
    <row r="19" spans="1:12" ht="30" customHeight="1">
      <c r="A19" s="204"/>
      <c r="B19" s="469" t="s">
        <v>1531</v>
      </c>
      <c r="C19" s="447" t="s">
        <v>9</v>
      </c>
      <c r="D19" s="566">
        <f>IF(D15=1,D14/(380/3^0.5),(D14/(380*3^0.5)))</f>
        <v>0</v>
      </c>
      <c r="E19" s="567"/>
      <c r="F19" s="207"/>
      <c r="G19" s="432"/>
      <c r="I19" s="464" t="s">
        <v>1531</v>
      </c>
      <c r="J19" s="447" t="s">
        <v>9</v>
      </c>
      <c r="K19" s="570">
        <f>IF(K15=1,K14/(380/3^0.5),(K14/(380*3^0.5)))</f>
        <v>0.22790142204853647</v>
      </c>
      <c r="L19" s="571"/>
    </row>
    <row r="20" spans="1:12" ht="30" customHeight="1" thickBot="1">
      <c r="A20" s="204"/>
      <c r="B20" s="470" t="s">
        <v>1540</v>
      </c>
      <c r="C20" s="466" t="s">
        <v>9</v>
      </c>
      <c r="D20" s="562" t="e">
        <f>D16/D18</f>
        <v>#DIV/0!</v>
      </c>
      <c r="E20" s="563"/>
      <c r="F20" s="207"/>
      <c r="G20" s="432"/>
      <c r="I20" s="465" t="s">
        <v>1531</v>
      </c>
      <c r="J20" s="466" t="s">
        <v>9</v>
      </c>
      <c r="K20" s="568">
        <f>K16/K18</f>
        <v>0.27666666666666673</v>
      </c>
      <c r="L20" s="569"/>
    </row>
    <row r="21" spans="1:12" ht="9.75" customHeight="1">
      <c r="A21" s="204"/>
      <c r="B21" s="455" t="s">
        <v>1540</v>
      </c>
      <c r="C21" s="456" t="s">
        <v>9</v>
      </c>
      <c r="D21" s="547">
        <v>1</v>
      </c>
      <c r="E21" s="547"/>
      <c r="F21" s="457"/>
      <c r="G21" s="458"/>
      <c r="H21" s="459"/>
      <c r="I21" s="455" t="s">
        <v>1531</v>
      </c>
      <c r="J21" s="456" t="s">
        <v>9</v>
      </c>
      <c r="K21" s="547">
        <v>1</v>
      </c>
      <c r="L21" s="547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44"/>
      <c r="C24" s="545"/>
      <c r="D24" s="545"/>
      <c r="E24" s="546"/>
      <c r="I24" s="544"/>
      <c r="J24" s="545"/>
      <c r="K24" s="545"/>
      <c r="L24" s="546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zoomScaleNormal="100" workbookViewId="0">
      <selection activeCell="N16" sqref="N16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89"/>
      <c r="C1" s="589"/>
      <c r="D1" s="58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0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0</v>
      </c>
    </row>
    <row r="10" spans="2:11" ht="20.100000000000001" customHeight="1">
      <c r="B10" s="291" t="s">
        <v>1446</v>
      </c>
      <c r="C10" s="292" t="s">
        <v>9</v>
      </c>
      <c r="D10" s="298">
        <f ca="1">RAB!K36</f>
        <v>14038862.223750001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280777.24447500001</v>
      </c>
    </row>
    <row r="12" spans="2:11" ht="9" customHeight="1">
      <c r="B12" s="590"/>
      <c r="C12" s="590"/>
      <c r="D12" s="590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1619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1615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41.5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41.5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K1" zoomScale="85" zoomScaleNormal="85" workbookViewId="0">
      <pane ySplit="6" topLeftCell="A10" activePane="bottomLeft" state="frozen"/>
      <selection activeCell="H1093" sqref="H1093"/>
      <selection pane="bottomLeft" activeCell="X29" sqref="X2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1" t="s">
        <v>1357</v>
      </c>
      <c r="C3" s="591"/>
      <c r="D3" s="591"/>
      <c r="E3" s="591"/>
      <c r="F3" s="305" t="str">
        <f>DATA!D14</f>
        <v>SANTOSO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2" t="s">
        <v>1349</v>
      </c>
      <c r="C5" s="592" t="s">
        <v>1358</v>
      </c>
      <c r="D5" s="593" t="s">
        <v>1359</v>
      </c>
      <c r="E5" s="593" t="s">
        <v>1360</v>
      </c>
      <c r="F5" s="592" t="s">
        <v>1361</v>
      </c>
      <c r="G5" s="592"/>
      <c r="H5" s="592"/>
      <c r="I5" s="592"/>
      <c r="J5" s="592"/>
      <c r="K5" s="592" t="s">
        <v>1362</v>
      </c>
      <c r="L5" s="592"/>
      <c r="M5" s="307"/>
      <c r="N5" s="596" t="s">
        <v>1363</v>
      </c>
      <c r="O5" s="593" t="s">
        <v>1364</v>
      </c>
      <c r="P5" s="593" t="s">
        <v>1365</v>
      </c>
      <c r="Q5" s="593" t="s">
        <v>1366</v>
      </c>
      <c r="R5" s="308"/>
      <c r="S5" s="309"/>
      <c r="T5" s="594" t="s">
        <v>1367</v>
      </c>
      <c r="U5" s="310"/>
    </row>
    <row r="6" spans="1:21" ht="20.100000000000001" customHeight="1">
      <c r="B6" s="592"/>
      <c r="C6" s="592"/>
      <c r="D6" s="592"/>
      <c r="E6" s="59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97"/>
      <c r="O6" s="592"/>
      <c r="P6" s="592"/>
      <c r="Q6" s="592"/>
      <c r="R6" s="308"/>
      <c r="S6" s="309"/>
      <c r="T6" s="592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0</v>
      </c>
      <c r="D7" s="316">
        <f>C7*4/24</f>
        <v>0</v>
      </c>
      <c r="E7" s="316">
        <f>C7-D7</f>
        <v>0</v>
      </c>
      <c r="F7" s="317">
        <f ca="1">DATA!D10/1000000</f>
        <v>14.038862223750002</v>
      </c>
      <c r="G7" s="318">
        <f ca="1">DATA!$D$11/1000000</f>
        <v>0.28077724447500002</v>
      </c>
      <c r="H7" s="318">
        <f>C7*DATA!$D$5/1000000</f>
        <v>0</v>
      </c>
      <c r="I7" s="318">
        <f>(C7*DATA!$D$5*DATA!$D$7)/1000000</f>
        <v>0</v>
      </c>
      <c r="J7" s="316">
        <f ca="1">SUM(F7:I7)</f>
        <v>14.319639468225002</v>
      </c>
      <c r="K7" s="319">
        <f>DATA!D9/1000000</f>
        <v>0</v>
      </c>
      <c r="L7" s="316">
        <f>((D7*DATA!$D$23)/1000000)+((E7*DATA!$D$24)/1000000)</f>
        <v>0</v>
      </c>
      <c r="M7" s="316">
        <f>K7+L7</f>
        <v>0</v>
      </c>
      <c r="N7" s="316">
        <f ca="1">M7-J7</f>
        <v>-14.319639468225002</v>
      </c>
      <c r="O7" s="314">
        <v>1</v>
      </c>
      <c r="P7" s="316">
        <f ca="1">O7*N7</f>
        <v>-14.319639468225002</v>
      </c>
      <c r="Q7" s="316">
        <f ca="1">P7</f>
        <v>-14.319639468225002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0</v>
      </c>
      <c r="D8" s="316">
        <f>C8*4/24</f>
        <v>0</v>
      </c>
      <c r="E8" s="316">
        <f t="shared" ref="E8:E32" si="0">C8-D8</f>
        <v>0</v>
      </c>
      <c r="F8" s="314"/>
      <c r="G8" s="318">
        <f ca="1">DATA!$D$11/1000000</f>
        <v>0.28077724447500002</v>
      </c>
      <c r="H8" s="318">
        <f>C8*DATA!$D$5/1000000</f>
        <v>0</v>
      </c>
      <c r="I8" s="318">
        <f>(C8*DATA!$D$5*DATA!$D$7)/1000000</f>
        <v>0</v>
      </c>
      <c r="J8" s="316">
        <f t="shared" ref="J8:J32" ca="1" si="1">SUM(F8:I8)</f>
        <v>0.28077724447500002</v>
      </c>
      <c r="K8" s="321"/>
      <c r="L8" s="316">
        <f>((D8*DATA!$D$23)/1000000)+((E8*DATA!$D$24)/1000000)</f>
        <v>0</v>
      </c>
      <c r="M8" s="316">
        <f t="shared" ref="M8:M32" si="2">K8+L8</f>
        <v>0</v>
      </c>
      <c r="N8" s="316">
        <f ca="1">M8-J8</f>
        <v>-0.28077724447500002</v>
      </c>
      <c r="O8" s="315">
        <f>1/(1+'[92]Asumsi I'!$C$3)^(KKF!A8)</f>
        <v>0.89285714285714279</v>
      </c>
      <c r="P8" s="316">
        <f ca="1">O8*N8</f>
        <v>-0.25069396828125001</v>
      </c>
      <c r="Q8" s="316">
        <f ca="1">Q7+P8</f>
        <v>-14.570333436506253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0</v>
      </c>
      <c r="D9" s="316">
        <f t="shared" ref="D9:D32" si="5">C9*4/24</f>
        <v>0</v>
      </c>
      <c r="E9" s="316">
        <f t="shared" si="0"/>
        <v>0</v>
      </c>
      <c r="F9" s="314"/>
      <c r="G9" s="318">
        <f ca="1">DATA!$D$11/1000000</f>
        <v>0.28077724447500002</v>
      </c>
      <c r="H9" s="318">
        <f>C9*DATA!$D$5/1000000</f>
        <v>0</v>
      </c>
      <c r="I9" s="318">
        <f>(C9*DATA!$D$5*DATA!$D$7)/1000000</f>
        <v>0</v>
      </c>
      <c r="J9" s="316">
        <f t="shared" ca="1" si="1"/>
        <v>0.28077724447500002</v>
      </c>
      <c r="K9" s="316"/>
      <c r="L9" s="316">
        <f>((D9*DATA!$D$23)/1000000)+((E9*DATA!$D$24)/1000000)</f>
        <v>0</v>
      </c>
      <c r="M9" s="316">
        <f t="shared" si="2"/>
        <v>0</v>
      </c>
      <c r="N9" s="316">
        <f t="shared" ref="N9:N32" ca="1" si="6">M9-J9</f>
        <v>-0.28077724447500002</v>
      </c>
      <c r="O9" s="322">
        <f>1/(1+'[92]Asumsi I'!$C$3)^(KKF!A9)</f>
        <v>0.79719387755102034</v>
      </c>
      <c r="P9" s="316">
        <f t="shared" ref="P9:P32" ca="1" si="7">O9*N9</f>
        <v>-0.22383390025111607</v>
      </c>
      <c r="Q9" s="316">
        <f ca="1">Q8+P9</f>
        <v>-14.794167336757369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0</v>
      </c>
      <c r="D10" s="316">
        <f t="shared" si="5"/>
        <v>0</v>
      </c>
      <c r="E10" s="316">
        <f t="shared" si="0"/>
        <v>0</v>
      </c>
      <c r="F10" s="314"/>
      <c r="G10" s="318">
        <f ca="1">DATA!$D$11/1000000</f>
        <v>0.28077724447500002</v>
      </c>
      <c r="H10" s="318">
        <f>C10*DATA!$D$5/1000000</f>
        <v>0</v>
      </c>
      <c r="I10" s="318">
        <f>(C10*DATA!$D$5*DATA!$D$7)/1000000</f>
        <v>0</v>
      </c>
      <c r="J10" s="316">
        <f t="shared" ca="1" si="1"/>
        <v>0.28077724447500002</v>
      </c>
      <c r="K10" s="314"/>
      <c r="L10" s="316">
        <f>((D10*DATA!$D$23)/1000000)+((E10*DATA!$D$24)/1000000)</f>
        <v>0</v>
      </c>
      <c r="M10" s="316">
        <f t="shared" si="2"/>
        <v>0</v>
      </c>
      <c r="N10" s="316">
        <f t="shared" ca="1" si="6"/>
        <v>-0.28077724447500002</v>
      </c>
      <c r="O10" s="315">
        <f>1/(1+'[92]Asumsi I'!$C$3)^(KKF!A10)</f>
        <v>0.71178024781341087</v>
      </c>
      <c r="P10" s="316">
        <f t="shared" ca="1" si="7"/>
        <v>-0.19985169665278216</v>
      </c>
      <c r="Q10" s="316">
        <f t="shared" ref="Q10:Q30" ca="1" si="9">Q9+P10</f>
        <v>-14.994019033410151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0</v>
      </c>
      <c r="D11" s="316">
        <f t="shared" si="5"/>
        <v>0</v>
      </c>
      <c r="E11" s="316">
        <f t="shared" si="0"/>
        <v>0</v>
      </c>
      <c r="F11" s="314"/>
      <c r="G11" s="318">
        <f ca="1">DATA!$D$11/1000000</f>
        <v>0.28077724447500002</v>
      </c>
      <c r="H11" s="318">
        <f>C11*DATA!$D$5/1000000</f>
        <v>0</v>
      </c>
      <c r="I11" s="318">
        <f>(C11*DATA!$D$5*DATA!$D$7)/1000000</f>
        <v>0</v>
      </c>
      <c r="J11" s="316">
        <f t="shared" ca="1" si="1"/>
        <v>0.28077724447500002</v>
      </c>
      <c r="K11" s="314"/>
      <c r="L11" s="316">
        <f>((D11*DATA!$D$23)/1000000)+((E11*DATA!$D$24)/1000000)</f>
        <v>0</v>
      </c>
      <c r="M11" s="316">
        <f t="shared" si="2"/>
        <v>0</v>
      </c>
      <c r="N11" s="316">
        <f t="shared" ca="1" si="6"/>
        <v>-0.28077724447500002</v>
      </c>
      <c r="O11" s="315">
        <f>1/(1+'[92]Asumsi I'!$C$3)^(KKF!A11)</f>
        <v>0.63551807840483121</v>
      </c>
      <c r="P11" s="316">
        <f t="shared" ca="1" si="7"/>
        <v>-0.17843901486855551</v>
      </c>
      <c r="Q11" s="316">
        <f t="shared" ca="1" si="9"/>
        <v>-15.172458048278706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0</v>
      </c>
      <c r="D12" s="316">
        <f t="shared" si="5"/>
        <v>0</v>
      </c>
      <c r="E12" s="316">
        <f t="shared" si="0"/>
        <v>0</v>
      </c>
      <c r="F12" s="314"/>
      <c r="G12" s="318">
        <f ca="1">DATA!$D$11/1000000</f>
        <v>0.28077724447500002</v>
      </c>
      <c r="H12" s="318">
        <f>C12*DATA!$D$5/1000000</f>
        <v>0</v>
      </c>
      <c r="I12" s="318">
        <f>(C12*DATA!$D$5*DATA!$D$7)/1000000</f>
        <v>0</v>
      </c>
      <c r="J12" s="316">
        <f t="shared" ca="1" si="1"/>
        <v>0.28077724447500002</v>
      </c>
      <c r="K12" s="314"/>
      <c r="L12" s="316">
        <f>((D12*DATA!$D$23)/1000000)+((E12*DATA!$D$24)/1000000)</f>
        <v>0</v>
      </c>
      <c r="M12" s="316">
        <f t="shared" si="2"/>
        <v>0</v>
      </c>
      <c r="N12" s="316">
        <f t="shared" ca="1" si="6"/>
        <v>-0.28077724447500002</v>
      </c>
      <c r="O12" s="315">
        <f>1/(1+'[92]Asumsi I'!$C$3)^(KKF!A12)</f>
        <v>0.56742685571859919</v>
      </c>
      <c r="P12" s="316">
        <f t="shared" ca="1" si="7"/>
        <v>-0.15932054898978168</v>
      </c>
      <c r="Q12" s="316">
        <f t="shared" ca="1" si="9"/>
        <v>-15.331778597268487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0</v>
      </c>
      <c r="D13" s="316">
        <f t="shared" si="5"/>
        <v>0</v>
      </c>
      <c r="E13" s="316">
        <f t="shared" si="0"/>
        <v>0</v>
      </c>
      <c r="F13" s="314"/>
      <c r="G13" s="318">
        <f ca="1">DATA!$D$11/1000000</f>
        <v>0.28077724447500002</v>
      </c>
      <c r="H13" s="318">
        <f>C13*DATA!$D$5/1000000</f>
        <v>0</v>
      </c>
      <c r="I13" s="318">
        <f>(C13*DATA!$D$5*DATA!$D$7)/1000000</f>
        <v>0</v>
      </c>
      <c r="J13" s="316">
        <f t="shared" ca="1" si="1"/>
        <v>0.28077724447500002</v>
      </c>
      <c r="K13" s="314"/>
      <c r="L13" s="316">
        <f>((D13*DATA!$D$23)/1000000)+((E13*DATA!$D$24)/1000000)</f>
        <v>0</v>
      </c>
      <c r="M13" s="316">
        <f t="shared" si="2"/>
        <v>0</v>
      </c>
      <c r="N13" s="316">
        <f t="shared" ca="1" si="6"/>
        <v>-0.28077724447500002</v>
      </c>
      <c r="O13" s="315">
        <f>1/(1+'[92]Asumsi I'!$C$3)^(KKF!A13)</f>
        <v>0.50663112117732068</v>
      </c>
      <c r="P13" s="316">
        <f t="shared" ca="1" si="7"/>
        <v>-0.14225049016944794</v>
      </c>
      <c r="Q13" s="316">
        <f t="shared" ca="1" si="9"/>
        <v>-15.474029087437936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0</v>
      </c>
      <c r="D14" s="316">
        <f t="shared" si="5"/>
        <v>0</v>
      </c>
      <c r="E14" s="316">
        <f t="shared" si="0"/>
        <v>0</v>
      </c>
      <c r="F14" s="314"/>
      <c r="G14" s="318">
        <f ca="1">DATA!$D$11/1000000</f>
        <v>0.28077724447500002</v>
      </c>
      <c r="H14" s="318">
        <f>C14*DATA!$D$5/1000000</f>
        <v>0</v>
      </c>
      <c r="I14" s="318">
        <f>(C14*DATA!$D$5*DATA!$D$7)/1000000</f>
        <v>0</v>
      </c>
      <c r="J14" s="316">
        <f t="shared" ca="1" si="1"/>
        <v>0.28077724447500002</v>
      </c>
      <c r="K14" s="314"/>
      <c r="L14" s="316">
        <f>((D14*DATA!$D$23)/1000000)+((E14*DATA!$D$24)/1000000)</f>
        <v>0</v>
      </c>
      <c r="M14" s="316">
        <f t="shared" si="2"/>
        <v>0</v>
      </c>
      <c r="N14" s="316">
        <f t="shared" ca="1" si="6"/>
        <v>-0.28077724447500002</v>
      </c>
      <c r="O14" s="315">
        <f>1/(1+'[92]Asumsi I'!$C$3)^(KKF!A14)</f>
        <v>0.45234921533689343</v>
      </c>
      <c r="P14" s="316">
        <f t="shared" ca="1" si="7"/>
        <v>-0.12700936622272135</v>
      </c>
      <c r="Q14" s="316">
        <f t="shared" ca="1" si="9"/>
        <v>-15.601038453660657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0</v>
      </c>
      <c r="D15" s="316">
        <f t="shared" si="5"/>
        <v>0</v>
      </c>
      <c r="E15" s="316">
        <f t="shared" si="0"/>
        <v>0</v>
      </c>
      <c r="F15" s="314"/>
      <c r="G15" s="318">
        <f ca="1">DATA!$D$11/1000000</f>
        <v>0.28077724447500002</v>
      </c>
      <c r="H15" s="318">
        <f>C15*DATA!$D$5/1000000</f>
        <v>0</v>
      </c>
      <c r="I15" s="318">
        <f>(C15*DATA!$D$5*DATA!$D$7)/1000000</f>
        <v>0</v>
      </c>
      <c r="J15" s="316">
        <f t="shared" ca="1" si="1"/>
        <v>0.28077724447500002</v>
      </c>
      <c r="K15" s="314"/>
      <c r="L15" s="316">
        <f>((D15*DATA!$D$23)/1000000)+((E15*DATA!$D$24)/1000000)</f>
        <v>0</v>
      </c>
      <c r="M15" s="316">
        <f t="shared" si="2"/>
        <v>0</v>
      </c>
      <c r="N15" s="316">
        <f t="shared" ca="1" si="6"/>
        <v>-0.28077724447500002</v>
      </c>
      <c r="O15" s="315">
        <f>1/(1+'[92]Asumsi I'!$C$3)^(KKF!A15)</f>
        <v>0.4038832279793691</v>
      </c>
      <c r="P15" s="316">
        <f t="shared" ca="1" si="7"/>
        <v>-0.11340121984171549</v>
      </c>
      <c r="Q15" s="316">
        <f t="shared" ca="1" si="9"/>
        <v>-15.714439673502373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0</v>
      </c>
      <c r="D16" s="316">
        <f t="shared" si="5"/>
        <v>0</v>
      </c>
      <c r="E16" s="316">
        <f t="shared" si="0"/>
        <v>0</v>
      </c>
      <c r="F16" s="314"/>
      <c r="G16" s="318">
        <f ca="1">DATA!$D$11/1000000</f>
        <v>0.28077724447500002</v>
      </c>
      <c r="H16" s="318">
        <f>C16*DATA!$D$5/1000000</f>
        <v>0</v>
      </c>
      <c r="I16" s="318">
        <f>(C16*DATA!$D$5*DATA!$D$7)/1000000</f>
        <v>0</v>
      </c>
      <c r="J16" s="316">
        <f t="shared" ca="1" si="1"/>
        <v>0.28077724447500002</v>
      </c>
      <c r="K16" s="314"/>
      <c r="L16" s="316">
        <f>((D16*DATA!$D$23)/1000000)+((E16*DATA!$D$24)/1000000)</f>
        <v>0</v>
      </c>
      <c r="M16" s="316">
        <f t="shared" si="2"/>
        <v>0</v>
      </c>
      <c r="N16" s="316">
        <f t="shared" ca="1" si="6"/>
        <v>-0.28077724447500002</v>
      </c>
      <c r="O16" s="315">
        <f>1/(1+'[92]Asumsi I'!$C$3)^(KKF!A16)</f>
        <v>0.36061002498157957</v>
      </c>
      <c r="P16" s="316">
        <f t="shared" ca="1" si="7"/>
        <v>-0.10125108914438884</v>
      </c>
      <c r="Q16" s="316">
        <f t="shared" ca="1" si="9"/>
        <v>-15.815690762646762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0</v>
      </c>
      <c r="D17" s="316">
        <f t="shared" si="5"/>
        <v>0</v>
      </c>
      <c r="E17" s="316">
        <f t="shared" si="0"/>
        <v>0</v>
      </c>
      <c r="F17" s="314"/>
      <c r="G17" s="318">
        <f ca="1">DATA!$D$11/1000000</f>
        <v>0.28077724447500002</v>
      </c>
      <c r="H17" s="318">
        <f>C17*DATA!$D$5/1000000</f>
        <v>0</v>
      </c>
      <c r="I17" s="318">
        <f>(C17*DATA!$D$5*DATA!$D$7)/1000000</f>
        <v>0</v>
      </c>
      <c r="J17" s="316">
        <f t="shared" ca="1" si="1"/>
        <v>0.28077724447500002</v>
      </c>
      <c r="K17" s="314"/>
      <c r="L17" s="316">
        <f>((D17*DATA!$D$23)/1000000)+((E17*DATA!$D$24)/1000000)</f>
        <v>0</v>
      </c>
      <c r="M17" s="316">
        <f t="shared" si="2"/>
        <v>0</v>
      </c>
      <c r="N17" s="316">
        <f t="shared" ca="1" si="6"/>
        <v>-0.28077724447500002</v>
      </c>
      <c r="O17" s="315">
        <f>1/(1+'[92]Asumsi I'!$C$3)^(KKF!A17)</f>
        <v>0.32197323659069599</v>
      </c>
      <c r="P17" s="316">
        <f t="shared" ca="1" si="7"/>
        <v>-9.0402758164632877E-2</v>
      </c>
      <c r="Q17" s="316">
        <f t="shared" ca="1" si="9"/>
        <v>-15.906093520811394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0</v>
      </c>
      <c r="D18" s="316">
        <f t="shared" si="5"/>
        <v>0</v>
      </c>
      <c r="E18" s="316">
        <f t="shared" si="0"/>
        <v>0</v>
      </c>
      <c r="F18" s="314"/>
      <c r="G18" s="318">
        <f ca="1">DATA!$D$11/1000000</f>
        <v>0.28077724447500002</v>
      </c>
      <c r="H18" s="318">
        <f>C18*DATA!$D$5/1000000</f>
        <v>0</v>
      </c>
      <c r="I18" s="318">
        <f>(C18*DATA!$D$5*DATA!$D$7)/1000000</f>
        <v>0</v>
      </c>
      <c r="J18" s="316">
        <f t="shared" ca="1" si="1"/>
        <v>0.28077724447500002</v>
      </c>
      <c r="K18" s="314"/>
      <c r="L18" s="316">
        <f>((D18*DATA!$D$23)/1000000)+((E18*DATA!$D$24)/1000000)</f>
        <v>0</v>
      </c>
      <c r="M18" s="316">
        <f t="shared" si="2"/>
        <v>0</v>
      </c>
      <c r="N18" s="316">
        <f t="shared" ca="1" si="6"/>
        <v>-0.28077724447500002</v>
      </c>
      <c r="O18" s="315">
        <f>1/(1+'[92]Asumsi I'!$C$3)^(KKF!A18)</f>
        <v>0.28747610409883567</v>
      </c>
      <c r="P18" s="316">
        <f t="shared" ca="1" si="7"/>
        <v>-8.0716748361279345E-2</v>
      </c>
      <c r="Q18" s="316">
        <f t="shared" ca="1" si="9"/>
        <v>-15.986810269172674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0</v>
      </c>
      <c r="D19" s="316">
        <f t="shared" si="5"/>
        <v>0</v>
      </c>
      <c r="E19" s="316">
        <f t="shared" si="0"/>
        <v>0</v>
      </c>
      <c r="F19" s="314"/>
      <c r="G19" s="318">
        <f ca="1">DATA!$D$11/1000000</f>
        <v>0.28077724447500002</v>
      </c>
      <c r="H19" s="318">
        <f>C19*DATA!$D$5/1000000</f>
        <v>0</v>
      </c>
      <c r="I19" s="318">
        <f>(C19*DATA!$D$5*DATA!$D$7)/1000000</f>
        <v>0</v>
      </c>
      <c r="J19" s="316">
        <f t="shared" ca="1" si="1"/>
        <v>0.28077724447500002</v>
      </c>
      <c r="K19" s="314"/>
      <c r="L19" s="316">
        <f>((D19*DATA!$D$23)/1000000)+((E19*DATA!$D$24)/1000000)</f>
        <v>0</v>
      </c>
      <c r="M19" s="316">
        <f t="shared" si="2"/>
        <v>0</v>
      </c>
      <c r="N19" s="316">
        <f t="shared" ca="1" si="6"/>
        <v>-0.28077724447500002</v>
      </c>
      <c r="O19" s="315">
        <f>1/(1+'[92]Asumsi I'!$C$3)^(KKF!A19)</f>
        <v>0.25667509294538904</v>
      </c>
      <c r="P19" s="316">
        <f t="shared" ca="1" si="7"/>
        <v>-7.2068525322570853E-2</v>
      </c>
      <c r="Q19" s="316">
        <f t="shared" ca="1" si="9"/>
        <v>-16.058878794495243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0</v>
      </c>
      <c r="D20" s="316">
        <f t="shared" si="5"/>
        <v>0</v>
      </c>
      <c r="E20" s="316">
        <f t="shared" si="0"/>
        <v>0</v>
      </c>
      <c r="F20" s="314"/>
      <c r="G20" s="318">
        <f ca="1">DATA!$D$11/1000000</f>
        <v>0.28077724447500002</v>
      </c>
      <c r="H20" s="318">
        <f>C20*DATA!$D$5/1000000</f>
        <v>0</v>
      </c>
      <c r="I20" s="318">
        <f>(C20*DATA!$D$5*DATA!$D$7)/1000000</f>
        <v>0</v>
      </c>
      <c r="J20" s="316">
        <f t="shared" ca="1" si="1"/>
        <v>0.28077724447500002</v>
      </c>
      <c r="K20" s="314"/>
      <c r="L20" s="316">
        <f>((D20*DATA!$D$23)/1000000)+((E20*DATA!$D$24)/1000000)</f>
        <v>0</v>
      </c>
      <c r="M20" s="316">
        <f t="shared" si="2"/>
        <v>0</v>
      </c>
      <c r="N20" s="316">
        <f t="shared" ca="1" si="6"/>
        <v>-0.28077724447500002</v>
      </c>
      <c r="O20" s="315">
        <f>1/(1+'[92]Asumsi I'!$C$3)^(KKF!A20)</f>
        <v>0.22917419012981158</v>
      </c>
      <c r="P20" s="316">
        <f t="shared" ca="1" si="7"/>
        <v>-6.4346897609438236E-2</v>
      </c>
      <c r="Q20" s="316">
        <f t="shared" ca="1" si="9"/>
        <v>-16.123225692104683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0</v>
      </c>
      <c r="D21" s="316">
        <f t="shared" si="5"/>
        <v>0</v>
      </c>
      <c r="E21" s="316">
        <f t="shared" si="0"/>
        <v>0</v>
      </c>
      <c r="F21" s="314"/>
      <c r="G21" s="318">
        <f ca="1">DATA!$D$11/1000000</f>
        <v>0.28077724447500002</v>
      </c>
      <c r="H21" s="318">
        <f>C21*DATA!$D$5/1000000</f>
        <v>0</v>
      </c>
      <c r="I21" s="318">
        <f>(C21*DATA!$D$5*DATA!$D$7)/1000000</f>
        <v>0</v>
      </c>
      <c r="J21" s="316">
        <f t="shared" ca="1" si="1"/>
        <v>0.28077724447500002</v>
      </c>
      <c r="K21" s="314"/>
      <c r="L21" s="316">
        <f>((D21*DATA!$D$23)/1000000)+((E21*DATA!$D$24)/1000000)</f>
        <v>0</v>
      </c>
      <c r="M21" s="316">
        <f t="shared" si="2"/>
        <v>0</v>
      </c>
      <c r="N21" s="316">
        <f t="shared" ca="1" si="6"/>
        <v>-0.28077724447500002</v>
      </c>
      <c r="O21" s="315">
        <f>1/(1+'[92]Asumsi I'!$C$3)^(KKF!A21)</f>
        <v>0.20461981261590317</v>
      </c>
      <c r="P21" s="316">
        <f t="shared" ca="1" si="7"/>
        <v>-5.7452587151284137E-2</v>
      </c>
      <c r="Q21" s="316">
        <f t="shared" ca="1" si="9"/>
        <v>-16.180678279255968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0</v>
      </c>
      <c r="D22" s="316">
        <f t="shared" si="5"/>
        <v>0</v>
      </c>
      <c r="E22" s="316">
        <f t="shared" si="0"/>
        <v>0</v>
      </c>
      <c r="F22" s="314"/>
      <c r="G22" s="318">
        <f ca="1">DATA!$D$11/1000000</f>
        <v>0.28077724447500002</v>
      </c>
      <c r="H22" s="318">
        <f>C22*DATA!$D$5/1000000</f>
        <v>0</v>
      </c>
      <c r="I22" s="318">
        <f>(C22*DATA!$D$5*DATA!$D$7)/1000000</f>
        <v>0</v>
      </c>
      <c r="J22" s="316">
        <f t="shared" ca="1" si="1"/>
        <v>0.28077724447500002</v>
      </c>
      <c r="K22" s="314"/>
      <c r="L22" s="316">
        <f>((D22*DATA!$D$23)/1000000)+((E22*DATA!$D$24)/1000000)</f>
        <v>0</v>
      </c>
      <c r="M22" s="316">
        <f t="shared" si="2"/>
        <v>0</v>
      </c>
      <c r="N22" s="316">
        <f t="shared" ca="1" si="6"/>
        <v>-0.28077724447500002</v>
      </c>
      <c r="O22" s="315">
        <f>1/(1+'[92]Asumsi I'!$C$3)^(KKF!A22)</f>
        <v>0.18269626126419927</v>
      </c>
      <c r="P22" s="316">
        <f t="shared" ca="1" si="7"/>
        <v>-5.1296952813646553E-2</v>
      </c>
      <c r="Q22" s="316">
        <f t="shared" ca="1" si="9"/>
        <v>-16.231975232069615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0</v>
      </c>
      <c r="D23" s="316">
        <f t="shared" si="5"/>
        <v>0</v>
      </c>
      <c r="E23" s="316">
        <f t="shared" si="0"/>
        <v>0</v>
      </c>
      <c r="F23" s="314"/>
      <c r="G23" s="318">
        <f ca="1">DATA!$D$11/1000000</f>
        <v>0.28077724447500002</v>
      </c>
      <c r="H23" s="318">
        <f>C23*DATA!$D$5/1000000</f>
        <v>0</v>
      </c>
      <c r="I23" s="318">
        <f>(C23*DATA!$D$5*DATA!$D$7)/1000000</f>
        <v>0</v>
      </c>
      <c r="J23" s="316">
        <f t="shared" ca="1" si="1"/>
        <v>0.28077724447500002</v>
      </c>
      <c r="K23" s="314"/>
      <c r="L23" s="316">
        <f>((D23*DATA!$D$23)/1000000)+((E23*DATA!$D$24)/1000000)</f>
        <v>0</v>
      </c>
      <c r="M23" s="316">
        <f t="shared" si="2"/>
        <v>0</v>
      </c>
      <c r="N23" s="316">
        <f t="shared" ca="1" si="6"/>
        <v>-0.28077724447500002</v>
      </c>
      <c r="O23" s="315">
        <f>1/(1+'[92]Asumsi I'!$C$3)^(KKF!A23)</f>
        <v>0.16312166184303503</v>
      </c>
      <c r="P23" s="316">
        <f t="shared" ca="1" si="7"/>
        <v>-4.5800850726470131E-2</v>
      </c>
      <c r="Q23" s="316">
        <f t="shared" ca="1" si="9"/>
        <v>-16.277776082796084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0</v>
      </c>
      <c r="D24" s="316">
        <f t="shared" si="5"/>
        <v>0</v>
      </c>
      <c r="E24" s="316">
        <f t="shared" si="0"/>
        <v>0</v>
      </c>
      <c r="F24" s="314"/>
      <c r="G24" s="318">
        <f ca="1">DATA!$D$11/1000000</f>
        <v>0.28077724447500002</v>
      </c>
      <c r="H24" s="318">
        <f>C24*DATA!$D$5/1000000</f>
        <v>0</v>
      </c>
      <c r="I24" s="318">
        <f>(C24*DATA!$D$5*DATA!$D$7)/1000000</f>
        <v>0</v>
      </c>
      <c r="J24" s="316">
        <f t="shared" ca="1" si="1"/>
        <v>0.28077724447500002</v>
      </c>
      <c r="K24" s="314"/>
      <c r="L24" s="316">
        <f>((D24*DATA!$D$23)/1000000)+((E24*DATA!$D$24)/1000000)</f>
        <v>0</v>
      </c>
      <c r="M24" s="316">
        <f t="shared" si="2"/>
        <v>0</v>
      </c>
      <c r="N24" s="316">
        <f t="shared" ca="1" si="6"/>
        <v>-0.28077724447500002</v>
      </c>
      <c r="O24" s="315">
        <f>1/(1+'[92]Asumsi I'!$C$3)^(KKF!A24)</f>
        <v>0.14564434093128129</v>
      </c>
      <c r="P24" s="316">
        <f t="shared" ca="1" si="7"/>
        <v>-4.0893616720062614E-2</v>
      </c>
      <c r="Q24" s="316">
        <f t="shared" ca="1" si="9"/>
        <v>-16.318669699516146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0</v>
      </c>
      <c r="D25" s="316">
        <f t="shared" si="5"/>
        <v>0</v>
      </c>
      <c r="E25" s="316">
        <f t="shared" si="0"/>
        <v>0</v>
      </c>
      <c r="F25" s="314"/>
      <c r="G25" s="318">
        <f ca="1">DATA!$D$11/1000000</f>
        <v>0.28077724447500002</v>
      </c>
      <c r="H25" s="318">
        <f>C25*DATA!$D$5/1000000</f>
        <v>0</v>
      </c>
      <c r="I25" s="318">
        <f>(C25*DATA!$D$5*DATA!$D$7)/1000000</f>
        <v>0</v>
      </c>
      <c r="J25" s="316">
        <f t="shared" ca="1" si="1"/>
        <v>0.28077724447500002</v>
      </c>
      <c r="K25" s="314"/>
      <c r="L25" s="316">
        <f>((D25*DATA!$D$23)/1000000)+((E25*DATA!$D$24)/1000000)</f>
        <v>0</v>
      </c>
      <c r="M25" s="316">
        <f t="shared" si="2"/>
        <v>0</v>
      </c>
      <c r="N25" s="316">
        <f t="shared" ca="1" si="6"/>
        <v>-0.28077724447500002</v>
      </c>
      <c r="O25" s="315">
        <f>1/(1+'[92]Asumsi I'!$C$3)^(KKF!A25)</f>
        <v>0.13003959011721541</v>
      </c>
      <c r="P25" s="316">
        <f t="shared" ca="1" si="7"/>
        <v>-3.6512157785770188E-2</v>
      </c>
      <c r="Q25" s="316">
        <f t="shared" ca="1" si="9"/>
        <v>-16.355181857301915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0</v>
      </c>
      <c r="D26" s="316">
        <f t="shared" si="5"/>
        <v>0</v>
      </c>
      <c r="E26" s="316">
        <f t="shared" si="0"/>
        <v>0</v>
      </c>
      <c r="F26" s="314"/>
      <c r="G26" s="318">
        <f ca="1">DATA!$D$11/1000000</f>
        <v>0.28077724447500002</v>
      </c>
      <c r="H26" s="318">
        <f>C26*DATA!$D$5/1000000</f>
        <v>0</v>
      </c>
      <c r="I26" s="318">
        <f>(C26*DATA!$D$5*DATA!$D$7)/1000000</f>
        <v>0</v>
      </c>
      <c r="J26" s="316">
        <f t="shared" ca="1" si="1"/>
        <v>0.28077724447500002</v>
      </c>
      <c r="K26" s="314"/>
      <c r="L26" s="316">
        <f>((D26*DATA!$D$23)/1000000)+((E26*DATA!$D$24)/1000000)</f>
        <v>0</v>
      </c>
      <c r="M26" s="316">
        <f t="shared" si="2"/>
        <v>0</v>
      </c>
      <c r="N26" s="316">
        <f t="shared" ca="1" si="6"/>
        <v>-0.28077724447500002</v>
      </c>
      <c r="O26" s="315">
        <f>1/(1+'[92]Asumsi I'!$C$3)^(KKF!A26)</f>
        <v>0.1161067768903709</v>
      </c>
      <c r="P26" s="316">
        <f t="shared" ca="1" si="7"/>
        <v>-3.2600140880151951E-2</v>
      </c>
      <c r="Q26" s="316">
        <f t="shared" ca="1" si="9"/>
        <v>-16.387781998182067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0</v>
      </c>
      <c r="D27" s="316">
        <f t="shared" si="5"/>
        <v>0</v>
      </c>
      <c r="E27" s="316">
        <f t="shared" si="0"/>
        <v>0</v>
      </c>
      <c r="F27" s="314"/>
      <c r="G27" s="318">
        <f ca="1">DATA!$D$11/1000000</f>
        <v>0.28077724447500002</v>
      </c>
      <c r="H27" s="318">
        <f>C27*DATA!$D$5/1000000</f>
        <v>0</v>
      </c>
      <c r="I27" s="318">
        <f>(C27*DATA!$D$5*DATA!$D$7)/1000000</f>
        <v>0</v>
      </c>
      <c r="J27" s="316">
        <f t="shared" ca="1" si="1"/>
        <v>0.28077724447500002</v>
      </c>
      <c r="K27" s="314"/>
      <c r="L27" s="316">
        <f>((D27*DATA!$D$23)/1000000)+((E27*DATA!$D$24)/1000000)</f>
        <v>0</v>
      </c>
      <c r="M27" s="316">
        <f t="shared" si="2"/>
        <v>0</v>
      </c>
      <c r="N27" s="316">
        <f t="shared" ca="1" si="6"/>
        <v>-0.28077724447500002</v>
      </c>
      <c r="O27" s="315">
        <f>1/(1+'[92]Asumsi I'!$C$3)^(KKF!A27)</f>
        <v>0.1036667650806883</v>
      </c>
      <c r="P27" s="316">
        <f t="shared" ca="1" si="7"/>
        <v>-2.9107268642992814E-2</v>
      </c>
      <c r="Q27" s="316">
        <f t="shared" ca="1" si="9"/>
        <v>-16.416889266825059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0</v>
      </c>
      <c r="D28" s="316">
        <f t="shared" si="5"/>
        <v>0</v>
      </c>
      <c r="E28" s="316">
        <f t="shared" si="0"/>
        <v>0</v>
      </c>
      <c r="F28" s="314"/>
      <c r="G28" s="318">
        <f ca="1">DATA!$D$11/1000000</f>
        <v>0.28077724447500002</v>
      </c>
      <c r="H28" s="318">
        <f>C28*DATA!$D$5/1000000</f>
        <v>0</v>
      </c>
      <c r="I28" s="318">
        <f>(C28*DATA!$D$5*DATA!$D$7)/1000000</f>
        <v>0</v>
      </c>
      <c r="J28" s="316">
        <f t="shared" ca="1" si="1"/>
        <v>0.28077724447500002</v>
      </c>
      <c r="K28" s="314"/>
      <c r="L28" s="316">
        <f>((D28*DATA!$D$23)/1000000)+((E28*DATA!$D$24)/1000000)</f>
        <v>0</v>
      </c>
      <c r="M28" s="316">
        <f t="shared" si="2"/>
        <v>0</v>
      </c>
      <c r="N28" s="316">
        <f t="shared" ca="1" si="6"/>
        <v>-0.28077724447500002</v>
      </c>
      <c r="O28" s="315">
        <f>1/(1+'[92]Asumsi I'!$C$3)^(KKF!A28)</f>
        <v>9.2559611679185971E-2</v>
      </c>
      <c r="P28" s="316">
        <f t="shared" ca="1" si="7"/>
        <v>-2.5988632716957866E-2</v>
      </c>
      <c r="Q28" s="316">
        <f t="shared" ca="1" si="9"/>
        <v>-16.442877899542019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0</v>
      </c>
      <c r="D29" s="316">
        <f t="shared" si="5"/>
        <v>0</v>
      </c>
      <c r="E29" s="316">
        <f t="shared" si="0"/>
        <v>0</v>
      </c>
      <c r="F29" s="314"/>
      <c r="G29" s="318">
        <f ca="1">DATA!$D$11/1000000</f>
        <v>0.28077724447500002</v>
      </c>
      <c r="H29" s="318">
        <f>C29*DATA!$D$5/1000000</f>
        <v>0</v>
      </c>
      <c r="I29" s="318">
        <f>(C29*DATA!$D$5*DATA!$D$7)/1000000</f>
        <v>0</v>
      </c>
      <c r="J29" s="316">
        <f t="shared" ca="1" si="1"/>
        <v>0.28077724447500002</v>
      </c>
      <c r="K29" s="314"/>
      <c r="L29" s="316">
        <f>((D29*DATA!$D$23)/1000000)+((E29*DATA!$D$24)/1000000)</f>
        <v>0</v>
      </c>
      <c r="M29" s="316">
        <f t="shared" si="2"/>
        <v>0</v>
      </c>
      <c r="N29" s="316">
        <f t="shared" ca="1" si="6"/>
        <v>-0.28077724447500002</v>
      </c>
      <c r="O29" s="315">
        <f>1/(1+'[92]Asumsi I'!$C$3)^(KKF!A29)</f>
        <v>8.2642510427844609E-2</v>
      </c>
      <c r="P29" s="316">
        <f t="shared" ca="1" si="7"/>
        <v>-2.3204136354426665E-2</v>
      </c>
      <c r="Q29" s="316">
        <f t="shared" ca="1" si="9"/>
        <v>-16.466082035896445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0</v>
      </c>
      <c r="D30" s="316">
        <f t="shared" si="5"/>
        <v>0</v>
      </c>
      <c r="E30" s="316">
        <f t="shared" si="0"/>
        <v>0</v>
      </c>
      <c r="F30" s="314"/>
      <c r="G30" s="318">
        <f ca="1">DATA!$D$11/1000000</f>
        <v>0.28077724447500002</v>
      </c>
      <c r="H30" s="318">
        <f>C30*DATA!$D$5/1000000</f>
        <v>0</v>
      </c>
      <c r="I30" s="318">
        <f>(C30*DATA!$D$5*DATA!$D$7)/1000000</f>
        <v>0</v>
      </c>
      <c r="J30" s="316">
        <f t="shared" ca="1" si="1"/>
        <v>0.28077724447500002</v>
      </c>
      <c r="K30" s="314"/>
      <c r="L30" s="316">
        <f>((D30*DATA!$D$23)/1000000)+((E30*DATA!$D$24)/1000000)</f>
        <v>0</v>
      </c>
      <c r="M30" s="316">
        <f t="shared" si="2"/>
        <v>0</v>
      </c>
      <c r="N30" s="316">
        <f t="shared" ca="1" si="6"/>
        <v>-0.28077724447500002</v>
      </c>
      <c r="O30" s="315">
        <f>1/(1+'[92]Asumsi I'!$C$3)^(KKF!A30)</f>
        <v>7.3787955739146982E-2</v>
      </c>
      <c r="P30" s="316">
        <f t="shared" ca="1" si="7"/>
        <v>-2.0717978887880954E-2</v>
      </c>
      <c r="Q30" s="316">
        <f t="shared" ca="1" si="9"/>
        <v>-16.486800014784325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0</v>
      </c>
      <c r="D31" s="316">
        <f t="shared" si="5"/>
        <v>0</v>
      </c>
      <c r="E31" s="316">
        <f t="shared" si="0"/>
        <v>0</v>
      </c>
      <c r="F31" s="314"/>
      <c r="G31" s="318">
        <f ca="1">DATA!$D$11/1000000</f>
        <v>0.28077724447500002</v>
      </c>
      <c r="H31" s="318">
        <f>C31*DATA!$D$5/1000000</f>
        <v>0</v>
      </c>
      <c r="I31" s="318">
        <f>(C31*DATA!$D$5*DATA!$D$7)/1000000</f>
        <v>0</v>
      </c>
      <c r="J31" s="316">
        <f t="shared" ca="1" si="1"/>
        <v>0.28077724447500002</v>
      </c>
      <c r="K31" s="314"/>
      <c r="L31" s="316">
        <f>((D31*DATA!$D$23)/1000000)+((E31*DATA!$D$24)/1000000)</f>
        <v>0</v>
      </c>
      <c r="M31" s="316">
        <f t="shared" si="2"/>
        <v>0</v>
      </c>
      <c r="N31" s="316">
        <f t="shared" ca="1" si="6"/>
        <v>-0.28077724447500002</v>
      </c>
      <c r="O31" s="315">
        <f>1/(1+'[92]Asumsi I'!$C$3)^(KKF!A31)</f>
        <v>6.5882103338524081E-2</v>
      </c>
      <c r="P31" s="316">
        <f t="shared" ca="1" si="7"/>
        <v>-1.8498195435607993E-2</v>
      </c>
      <c r="Q31" s="316">
        <f ca="1">Q30+P31</f>
        <v>-16.505298210219934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0</v>
      </c>
      <c r="D32" s="316">
        <f t="shared" si="5"/>
        <v>0</v>
      </c>
      <c r="E32" s="316">
        <f t="shared" si="0"/>
        <v>0</v>
      </c>
      <c r="F32" s="314"/>
      <c r="G32" s="318">
        <f ca="1">DATA!$D$11/1000000</f>
        <v>0.28077724447500002</v>
      </c>
      <c r="H32" s="318">
        <f>C32*DATA!$D$5/1000000</f>
        <v>0</v>
      </c>
      <c r="I32" s="318">
        <f>(C32*DATA!$D$5*DATA!$D$7)/1000000</f>
        <v>0</v>
      </c>
      <c r="J32" s="316">
        <f t="shared" ca="1" si="1"/>
        <v>0.28077724447500002</v>
      </c>
      <c r="K32" s="314"/>
      <c r="L32" s="316">
        <f>((D32*DATA!$D$23)/1000000)+((E32*DATA!$D$24)/1000000)</f>
        <v>0</v>
      </c>
      <c r="M32" s="316">
        <f t="shared" si="2"/>
        <v>0</v>
      </c>
      <c r="N32" s="316">
        <f t="shared" ca="1" si="6"/>
        <v>-0.28077724447500002</v>
      </c>
      <c r="O32" s="315">
        <f>1/(1+'[92]Asumsi I'!$C$3)^(KKF!A32)</f>
        <v>5.8823306552253637E-2</v>
      </c>
      <c r="P32" s="316">
        <f t="shared" ca="1" si="7"/>
        <v>-1.6516245924649991E-2</v>
      </c>
      <c r="Q32" s="316">
        <f ca="1">Q31+P32</f>
        <v>-16.521814456144583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5" t="s">
        <v>1374</v>
      </c>
      <c r="G33" s="595"/>
      <c r="H33" s="595"/>
      <c r="I33" s="324"/>
      <c r="J33" s="325">
        <f ca="1">SUM(J7:J32)</f>
        <v>21.339070580100021</v>
      </c>
      <c r="K33" s="595" t="s">
        <v>1375</v>
      </c>
      <c r="L33" s="595"/>
      <c r="M33" s="325">
        <f>SUM(M7:M32)</f>
        <v>0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-51.000000000000007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-14.751620050129089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51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H30" sqref="H30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598" t="s">
        <v>1036</v>
      </c>
      <c r="P3" s="598"/>
      <c r="Q3" s="346"/>
      <c r="T3" s="344"/>
      <c r="U3" s="345" t="s">
        <v>1041</v>
      </c>
      <c r="V3" s="344"/>
    </row>
    <row r="4" spans="1:22" ht="18.75">
      <c r="B4" s="599" t="s">
        <v>1023</v>
      </c>
      <c r="C4" s="599"/>
      <c r="D4" s="599"/>
      <c r="E4" s="599"/>
      <c r="F4" s="599"/>
      <c r="G4" s="599"/>
      <c r="H4" s="599"/>
      <c r="I4" s="599"/>
      <c r="J4" s="599"/>
      <c r="K4" s="599"/>
      <c r="O4" s="598"/>
      <c r="P4" s="59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5" t="str">
        <f>DATA!D14</f>
        <v>SANTOSO</v>
      </c>
      <c r="H6" s="616"/>
      <c r="I6" s="616"/>
      <c r="J6" s="616"/>
      <c r="K6" s="61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01" t="s">
        <v>0</v>
      </c>
      <c r="C11" s="603" t="s">
        <v>1</v>
      </c>
      <c r="D11" s="606" t="s">
        <v>42</v>
      </c>
      <c r="E11" s="606" t="s">
        <v>43</v>
      </c>
      <c r="F11" s="606" t="s">
        <v>2</v>
      </c>
      <c r="G11" s="608" t="s">
        <v>41</v>
      </c>
      <c r="H11" s="606" t="s">
        <v>3</v>
      </c>
      <c r="I11" s="606"/>
      <c r="J11" s="606"/>
      <c r="K11" s="626"/>
      <c r="O11" s="351"/>
      <c r="P11" s="352"/>
      <c r="Q11" s="351"/>
      <c r="S11" s="353"/>
      <c r="T11" s="354"/>
      <c r="U11" s="354"/>
      <c r="V11" s="354"/>
    </row>
    <row r="12" spans="1:22">
      <c r="B12" s="602"/>
      <c r="C12" s="604"/>
      <c r="D12" s="607"/>
      <c r="E12" s="607"/>
      <c r="F12" s="607"/>
      <c r="G12" s="609"/>
      <c r="H12" s="611" t="s">
        <v>46</v>
      </c>
      <c r="I12" s="611" t="s">
        <v>5</v>
      </c>
      <c r="J12" s="607" t="s">
        <v>47</v>
      </c>
      <c r="K12" s="627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02"/>
      <c r="C13" s="605"/>
      <c r="D13" s="607"/>
      <c r="E13" s="607"/>
      <c r="F13" s="607"/>
      <c r="G13" s="610"/>
      <c r="H13" s="612"/>
      <c r="I13" s="612"/>
      <c r="J13" s="607"/>
      <c r="K13" s="627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 t="s">
        <v>480</v>
      </c>
      <c r="C15" s="496" t="s">
        <v>1616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86"/>
      <c r="C16" s="48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7" ca="1" si="8">IF(OR(D16="MDU",D16="MDU-KD"),(IF($O$3="RAB NON MDU","PLN KD",G16*F16)),0)</f>
        <v>0</v>
      </c>
      <c r="I16" s="361">
        <f t="shared" ref="I16:I17" ca="1" si="9">IF(D16="HDW",G16*F16,0)</f>
        <v>0</v>
      </c>
      <c r="J16" s="361">
        <f t="shared" ref="J16:J17" ca="1" si="10">IF(D16="JASA",G16*F16,0)</f>
        <v>0</v>
      </c>
      <c r="K16" s="362">
        <f t="shared" ref="K16:K17" ca="1" si="11">SUM(H16:J16)</f>
        <v>0</v>
      </c>
    </row>
    <row r="17" spans="2:11">
      <c r="B17" s="486" t="s">
        <v>505</v>
      </c>
      <c r="C17" s="496" t="s">
        <v>1617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472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486"/>
      <c r="C18" s="487"/>
      <c r="D18" s="358"/>
      <c r="E18" s="359"/>
      <c r="F18" s="472"/>
      <c r="G18" s="360"/>
      <c r="H18" s="361"/>
      <c r="I18" s="361"/>
      <c r="J18" s="361"/>
      <c r="K18" s="362"/>
    </row>
    <row r="19" spans="2:11">
      <c r="B19" s="497" t="s">
        <v>524</v>
      </c>
      <c r="C19" s="496" t="s">
        <v>1612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472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0</v>
      </c>
      <c r="J19" s="361">
        <f t="shared" ref="J19" ca="1" si="14">IF(D19="JASA",G19*F19,0)</f>
        <v>0</v>
      </c>
      <c r="K19" s="362">
        <f t="shared" ref="K19" ca="1" si="15">SUM(H19:J19)</f>
        <v>0</v>
      </c>
    </row>
    <row r="20" spans="2:11">
      <c r="B20" s="367"/>
      <c r="C20" s="10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472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1" ca="1" si="16">IF(OR(D20="MDU",D20="MDU-KD"),(IF($O$3="RAB NON MDU","PLN KD",G20*F20)),0)</f>
        <v>0</v>
      </c>
      <c r="I20" s="361">
        <f t="shared" ref="I20:I21" ca="1" si="17">IF(D20="HDW",G20*F20,0)</f>
        <v>0</v>
      </c>
      <c r="J20" s="361">
        <f t="shared" ref="J20:J21" ca="1" si="18">IF(D20="JASA",G20*F20,0)</f>
        <v>0</v>
      </c>
      <c r="K20" s="362">
        <f t="shared" ref="K20:K21" ca="1" si="19">SUM(H20:J20)</f>
        <v>0</v>
      </c>
    </row>
    <row r="21" spans="2:11">
      <c r="B21" s="497" t="s">
        <v>526</v>
      </c>
      <c r="C21" s="496" t="s">
        <v>1611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472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</row>
    <row r="22" spans="2:11">
      <c r="B22" s="486" t="s">
        <v>1035</v>
      </c>
      <c r="C22" s="487" t="s">
        <v>1618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700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0" ca="1" si="20">IF(OR(D22="MDU",D22="MDU-KD"),(IF($O$3="RAB NON MDU","PLN KD",G22*F22)),0)</f>
        <v>0</v>
      </c>
      <c r="I22" s="361">
        <f t="shared" ref="I22:I30" ca="1" si="21">IF(D22="HDW",G22*F22,0)</f>
        <v>0</v>
      </c>
      <c r="J22" s="361">
        <f t="shared" ref="J22:J30" ca="1" si="22">IF(D22="JASA",G22*F22,0)</f>
        <v>0</v>
      </c>
      <c r="K22" s="362">
        <f t="shared" ref="K22:K30" ca="1" si="23">SUM(H22:J22)</f>
        <v>0</v>
      </c>
    </row>
    <row r="23" spans="2:11">
      <c r="B23" s="698">
        <v>1</v>
      </c>
      <c r="C23" s="109" t="s">
        <v>483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700">
        <f>F22*1</f>
        <v>1</v>
      </c>
      <c r="G23" s="360">
        <f ca="1">IF(ISERROR(OFFSET('HARGA SATUAN'!$I$6,MATCH(RAB!C23,'HARGA SATUAN'!$C$7:$C$1492,0),0)),0,OFFSET('HARGA SATUAN'!$I$6,MATCH(RAB!C23,'HARGA SATUAN'!$C$7:$C$1492,0),0))</f>
        <v>1719200</v>
      </c>
      <c r="H23" s="361">
        <f t="shared" ca="1" si="20"/>
        <v>0</v>
      </c>
      <c r="I23" s="361">
        <f t="shared" ca="1" si="21"/>
        <v>1719200</v>
      </c>
      <c r="J23" s="361">
        <f t="shared" ca="1" si="22"/>
        <v>0</v>
      </c>
      <c r="K23" s="362">
        <f t="shared" ca="1" si="23"/>
        <v>1719200</v>
      </c>
    </row>
    <row r="24" spans="2:11">
      <c r="B24" s="698">
        <v>2</v>
      </c>
      <c r="C24" s="699" t="s">
        <v>514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700">
        <f>F22*1</f>
        <v>1</v>
      </c>
      <c r="G24" s="360">
        <f ca="1">IF(ISERROR(OFFSET('HARGA SATUAN'!$I$6,MATCH(RAB!C24,'HARGA SATUAN'!$C$7:$C$1492,0),0)),0,OFFSET('HARGA SATUAN'!$I$6,MATCH(RAB!C24,'HARGA SATUAN'!$C$7:$C$1492,0),0))</f>
        <v>3564900</v>
      </c>
      <c r="H24" s="361">
        <f t="shared" ca="1" si="20"/>
        <v>3564900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3564900</v>
      </c>
    </row>
    <row r="25" spans="2:11">
      <c r="B25" s="698">
        <v>3</v>
      </c>
      <c r="C25" s="699" t="s">
        <v>1142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700">
        <f>F22*1</f>
        <v>1</v>
      </c>
      <c r="G25" s="360">
        <f ca="1">IF(ISERROR(OFFSET('HARGA SATUAN'!$I$6,MATCH(RAB!C25,'HARGA SATUAN'!$C$7:$C$1492,0),0)),0,OFFSET('HARGA SATUAN'!$I$6,MATCH(RAB!C25,'HARGA SATUAN'!$C$7:$C$1492,0),0))</f>
        <v>1113900</v>
      </c>
      <c r="H25" s="361">
        <f t="shared" ca="1" si="20"/>
        <v>0</v>
      </c>
      <c r="I25" s="361">
        <f t="shared" ca="1" si="21"/>
        <v>1113900</v>
      </c>
      <c r="J25" s="361">
        <f t="shared" ca="1" si="22"/>
        <v>0</v>
      </c>
      <c r="K25" s="362">
        <f t="shared" ca="1" si="23"/>
        <v>1113900</v>
      </c>
    </row>
    <row r="26" spans="2:11">
      <c r="B26" s="698">
        <v>4</v>
      </c>
      <c r="C26" s="699" t="s">
        <v>573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700">
        <f>F22*35</f>
        <v>35</v>
      </c>
      <c r="G26" s="360">
        <f ca="1">IF(ISERROR(OFFSET('HARGA SATUAN'!$I$6,MATCH(RAB!C26,'HARGA SATUAN'!$C$7:$C$1492,0),0)),0,OFFSET('HARGA SATUAN'!$I$6,MATCH(RAB!C26,'HARGA SATUAN'!$C$7:$C$1492,0),0))</f>
        <v>164883</v>
      </c>
      <c r="H26" s="361">
        <f t="shared" ca="1" si="20"/>
        <v>0</v>
      </c>
      <c r="I26" s="361">
        <f t="shared" ca="1" si="21"/>
        <v>5770905</v>
      </c>
      <c r="J26" s="361">
        <f t="shared" ca="1" si="22"/>
        <v>0</v>
      </c>
      <c r="K26" s="362">
        <f t="shared" ca="1" si="23"/>
        <v>5770905</v>
      </c>
    </row>
    <row r="27" spans="2:11">
      <c r="B27" s="698">
        <v>5</v>
      </c>
      <c r="C27" s="699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700">
        <f>F22*1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106400</v>
      </c>
      <c r="K27" s="362">
        <f t="shared" ca="1" si="23"/>
        <v>106400</v>
      </c>
    </row>
    <row r="28" spans="2:11">
      <c r="B28" s="698">
        <v>6</v>
      </c>
      <c r="C28" s="699" t="s">
        <v>982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700">
        <v>1</v>
      </c>
      <c r="G28" s="360">
        <f ca="1">IF(ISERROR(OFFSET('HARGA SATUAN'!$I$6,MATCH(RAB!C28,'HARGA SATUAN'!$C$7:$C$1492,0),0)),0,OFFSET('HARGA SATUAN'!$I$6,MATCH(RAB!C28,'HARGA SATUAN'!$C$7:$C$1492,0),0))</f>
        <v>63840</v>
      </c>
      <c r="H28" s="361">
        <f t="shared" ref="H28:H30" ca="1" si="24">IF(OR(D28="MDU",D28="MDU-KD"),(IF($O$3="RAB NON MDU","PLN KD",G28*F28)),0)</f>
        <v>0</v>
      </c>
      <c r="I28" s="361">
        <f t="shared" ref="I28:I30" ca="1" si="25">IF(D28="HDW",G28*F28,0)</f>
        <v>0</v>
      </c>
      <c r="J28" s="361">
        <f t="shared" ref="J28:J30" ca="1" si="26">IF(D28="JASA",G28*F28,0)</f>
        <v>63840</v>
      </c>
      <c r="K28" s="362">
        <f t="shared" ref="K28:K30" ca="1" si="27">SUM(H28:J28)</f>
        <v>63840</v>
      </c>
    </row>
    <row r="29" spans="2:11">
      <c r="B29" s="698"/>
      <c r="C29" s="699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700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4"/>
        <v>0</v>
      </c>
      <c r="I29" s="361">
        <f t="shared" ca="1" si="25"/>
        <v>0</v>
      </c>
      <c r="J29" s="361">
        <f t="shared" ca="1" si="26"/>
        <v>0</v>
      </c>
      <c r="K29" s="362">
        <f t="shared" ca="1" si="27"/>
        <v>0</v>
      </c>
    </row>
    <row r="30" spans="2:11">
      <c r="B30" s="368"/>
      <c r="C30" s="369" t="s">
        <v>475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472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4"/>
        <v>0</v>
      </c>
      <c r="I30" s="361">
        <f t="shared" ca="1" si="25"/>
        <v>0</v>
      </c>
      <c r="J30" s="361">
        <f t="shared" ca="1" si="26"/>
        <v>0</v>
      </c>
      <c r="K30" s="362">
        <f t="shared" ca="1" si="27"/>
        <v>0</v>
      </c>
    </row>
    <row r="31" spans="2:11">
      <c r="B31" s="371">
        <v>1</v>
      </c>
      <c r="C31" s="372" t="s">
        <v>1091</v>
      </c>
      <c r="D31" s="373" t="str">
        <f ca="1">IF(ISERROR(OFFSET('HARGA SATUAN'!$D$6,MATCH(RAB!C31,'HARGA SATUAN'!$C$7:$C$1492,0),0)),"",OFFSET('HARGA SATUAN'!$D$6,MATCH(RAB!C31,'HARGA SATUAN'!$C$7:$C$1492,0),0))</f>
        <v>JASA</v>
      </c>
      <c r="E31" s="374" t="str">
        <f ca="1">IF(ISERROR(OFFSET('HARGA SATUAN'!$E$6,MATCH(RAB!C31,'HARGA SATUAN'!$C$7:$C$1492,0),0)),"",OFFSET('HARGA SATUAN'!$E$6,MATCH(RAB!C31,'HARGA SATUAN'!$C$7:$C$1492,0),0))</f>
        <v>Lot</v>
      </c>
      <c r="F31" s="375">
        <v>1</v>
      </c>
      <c r="G31" s="376">
        <f ca="1">IF(ISERROR(OFFSET('HARGA SATUAN'!$I$6,MATCH(RAB!C31,'HARGA SATUAN'!$C$7:$C$1492,0),0)),0,OFFSET('HARGA SATUAN'!$I$6,MATCH(RAB!C31,'HARGA SATUAN'!$C$7:$C$1492,0),0))</f>
        <v>2.5000000000000001E-2</v>
      </c>
      <c r="H31" s="377"/>
      <c r="I31" s="377"/>
      <c r="J31" s="377">
        <f ca="1">2.5%*(SUM(K14:K30))</f>
        <v>308478.625</v>
      </c>
      <c r="K31" s="378">
        <f ca="1">SUM(H31:J31)</f>
        <v>308478.625</v>
      </c>
    </row>
    <row r="32" spans="2:11">
      <c r="B32" s="379"/>
      <c r="C32" s="380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IF(ISERROR(OFFSET('HARGA SATUAN'!$E$6,MATCH(RAB!C32,'HARGA SATUAN'!$C$7:$C$1492,0),0)),"",OFFSET('HARGA SATUAN'!$E$6,MATCH(RAB!C32,'HARGA SATUAN'!$C$7:$C$1492,0),0))</f>
        <v/>
      </c>
      <c r="F32" s="370"/>
      <c r="G32" s="360" t="str">
        <f ca="1">IF(ISERROR(OFFSET('HARGA SATUAN'!$I$6,MATCH(RAB!C32,'HARGA SATUAN'!$C$7:$C$1492,0),0)),"",OFFSET('HARGA SATUAN'!$I$6,MATCH(RAB!C32,'HARGA SATUAN'!$C$7:$C$1492,0),0))</f>
        <v/>
      </c>
      <c r="H32" s="361">
        <f ca="1">IF(OR(D32="MDU",D32="MDU-KD"),IF(G32="PLN",0,G32*F32),0)</f>
        <v>0</v>
      </c>
      <c r="I32" s="361">
        <f ca="1">IF(D32="HDW",IF(G32="PLN",0,G32*F32),0)</f>
        <v>0</v>
      </c>
      <c r="J32" s="361">
        <f ca="1">IF(D32="JASA",IF(G32="PLN",0,G32*F32),0)</f>
        <v>0</v>
      </c>
      <c r="K32" s="362">
        <f ca="1">SUM(H32:J32)</f>
        <v>0</v>
      </c>
    </row>
    <row r="33" spans="2:13" ht="15.75" thickBot="1">
      <c r="B33" s="381"/>
      <c r="C33" s="382"/>
      <c r="D33" s="383"/>
      <c r="E33" s="384"/>
      <c r="F33" s="384"/>
      <c r="G33" s="384"/>
      <c r="H33" s="385"/>
      <c r="I33" s="385"/>
      <c r="J33" s="385"/>
      <c r="K33" s="386"/>
    </row>
    <row r="34" spans="2:13">
      <c r="B34" s="387"/>
      <c r="C34" s="600" t="s">
        <v>1008</v>
      </c>
      <c r="D34" s="600"/>
      <c r="E34" s="600"/>
      <c r="F34" s="600"/>
      <c r="G34" s="388" t="s">
        <v>9</v>
      </c>
      <c r="H34" s="389">
        <f ca="1">SUM(H14:H32)</f>
        <v>3564900</v>
      </c>
      <c r="I34" s="389">
        <f ca="1">SUM(I14:I32)</f>
        <v>8604005</v>
      </c>
      <c r="J34" s="389">
        <f ca="1">SUM(J14:J32)</f>
        <v>478718.625</v>
      </c>
      <c r="K34" s="389">
        <f ca="1">SUM(K14:K32)</f>
        <v>12647623.625</v>
      </c>
    </row>
    <row r="35" spans="2:13">
      <c r="B35" s="390"/>
      <c r="C35" s="617" t="s">
        <v>1457</v>
      </c>
      <c r="D35" s="617"/>
      <c r="E35" s="617"/>
      <c r="F35" s="617"/>
      <c r="G35" s="391" t="s">
        <v>9</v>
      </c>
      <c r="H35" s="392">
        <f ca="1">H34*0.11</f>
        <v>392139</v>
      </c>
      <c r="I35" s="392">
        <f ca="1">I34*0.11</f>
        <v>946440.55</v>
      </c>
      <c r="J35" s="392">
        <f ca="1">J34*0.11</f>
        <v>52659.048750000002</v>
      </c>
      <c r="K35" s="392">
        <f ca="1">K34*0.11</f>
        <v>1391238.5987500001</v>
      </c>
    </row>
    <row r="36" spans="2:13" ht="15.75" thickBot="1">
      <c r="B36" s="390"/>
      <c r="C36" s="614" t="s">
        <v>463</v>
      </c>
      <c r="D36" s="614"/>
      <c r="E36" s="614"/>
      <c r="F36" s="614"/>
      <c r="G36" s="393" t="s">
        <v>9</v>
      </c>
      <c r="H36" s="394">
        <f ca="1">SUM(H34:H35)</f>
        <v>3957039</v>
      </c>
      <c r="I36" s="394">
        <f ca="1">SUM(I34:I35)</f>
        <v>9550445.5500000007</v>
      </c>
      <c r="J36" s="393">
        <f ca="1">SUM(J34:J35)</f>
        <v>531377.67374999996</v>
      </c>
      <c r="K36" s="393">
        <f ca="1">SUM(K34:K35)</f>
        <v>14038862.223750001</v>
      </c>
      <c r="M36" s="477"/>
    </row>
    <row r="37" spans="2:13">
      <c r="B37" s="618" t="str">
        <f ca="1">"Terbilang : "&amp;PROPER(IF(K36=0,"nol",IF(K36&lt;0,"minus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IF(--MID(TEXT(ABS(K36),"000000000000000"),1,3)=0,"",MID(TEXT(ABS(K36),"000000000000000"),1,1)&amp;" ratus "&amp;MID(TEXT(ABS(K36),"000000000000000"),2,1)&amp;" puluh "&amp;MID(TEXT(ABS(K36),"000000000000000"),3,1)&amp;" trilyun ")&amp; IF(--MID(TEXT(ABS(K36),"000000000000000"),4,3)=0,"",MID(TEXT(ABS(K36),"000000000000000"),4,1)&amp;" ratus "&amp;MID(TEXT(ABS(K36),"000000000000000"),5,1)&amp;" puluh "&amp;MID(TEXT(ABS(K36),"000000000000000"),6,1)&amp;" milyar ")&amp; IF(--MID(TEXT(ABS(K36),"000000000000000"),7,3)=0,"",MID(TEXT(ABS(K36),"000000000000000"),7,1)&amp;" ratus "&amp;MID(TEXT(ABS(K36),"000000000000000"),8,1)&amp;" puluh "&amp;MID(TEXT(ABS(K36),"000000000000000"),9,1)&amp;" juta ")&amp; IF(--MID(TEXT(ABS(K36),"000000000000000"),10,3)=0,"",IF(--MID(TEXT(ABS(K36),"000000000000000"),10,3)=1,"*",MID(TEXT(ABS(K36),"000000000000000"),10,1)&amp;" ratus "&amp;MID(TEXT(ABS(K36),"000000000000000"),11,1)&amp;" puluh ")&amp;MID(TEXT(ABS(K36),"000000000000000"),12,1)&amp;" ribu ")&amp; IF(--MID(TEXT(ABS(K36),"000000000000000"),13,3)=0,"",MID(TEXT(ABS(K36),"000000000000000"),13,1)&amp;" ratus "&amp;MID(TEXT(ABS(K36),"000000000000000"),14,1)&amp;" puluh "&amp;MID(TEXT(ABS(K36),"000000000000000"),15,1)),1,"satu"),2,"dua"),3,"tiga"),4,"empat"),5,"lima"),6,"enam"),7,"tujuh"),8,"delapan"),9,"sembilan"),"0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Belas Juta Tiga Puluh Delapan Ribu Delapan Ratus Enam Puluh Dua Rupiah</v>
      </c>
      <c r="C37" s="619"/>
      <c r="D37" s="619"/>
      <c r="E37" s="619"/>
      <c r="F37" s="619"/>
      <c r="G37" s="619"/>
      <c r="H37" s="619"/>
      <c r="I37" s="619"/>
      <c r="J37" s="619"/>
      <c r="K37" s="620"/>
      <c r="M37" s="498"/>
    </row>
    <row r="38" spans="2:13">
      <c r="B38" s="621"/>
      <c r="C38" s="622"/>
      <c r="D38" s="622"/>
      <c r="E38" s="622"/>
      <c r="F38" s="622"/>
      <c r="G38" s="622"/>
      <c r="H38" s="622"/>
      <c r="I38" s="622"/>
      <c r="J38" s="622"/>
      <c r="K38" s="623"/>
    </row>
    <row r="39" spans="2:13" ht="15.75" thickBot="1">
      <c r="B39" s="395" t="str">
        <f>"Harga yang dipakai adalah "&amp;'HARGA SATUAN'!I5&amp;""</f>
        <v>Harga yang dipakai adalah RAB HSS 2023</v>
      </c>
      <c r="C39" s="396"/>
      <c r="D39" s="397"/>
      <c r="E39" s="397"/>
      <c r="F39" s="397"/>
      <c r="G39" s="398"/>
      <c r="H39" s="398"/>
      <c r="I39" s="398"/>
      <c r="J39" s="398"/>
      <c r="K39" s="399"/>
    </row>
    <row r="40" spans="2:13">
      <c r="C40" s="400"/>
      <c r="E40" s="402"/>
      <c r="F40" s="402"/>
      <c r="G40" s="402"/>
    </row>
    <row r="41" spans="2:13">
      <c r="C41" s="337"/>
      <c r="E41" s="402"/>
      <c r="F41" s="402"/>
      <c r="G41" s="402"/>
      <c r="H41" s="624"/>
      <c r="I41" s="624"/>
      <c r="J41" s="625"/>
      <c r="K41" s="625"/>
    </row>
    <row r="42" spans="2:13">
      <c r="C42" s="337"/>
      <c r="E42" s="402"/>
      <c r="F42" s="402"/>
      <c r="G42" s="402"/>
      <c r="H42" s="403"/>
      <c r="I42" s="613" t="s">
        <v>1614</v>
      </c>
      <c r="J42" s="613"/>
      <c r="K42" s="613"/>
    </row>
    <row r="43" spans="2:13">
      <c r="C43" s="337"/>
      <c r="E43" s="402"/>
      <c r="F43" s="402"/>
      <c r="G43" s="402"/>
      <c r="H43" s="403"/>
      <c r="I43" s="613" t="s">
        <v>1609</v>
      </c>
      <c r="J43" s="613"/>
      <c r="K43" s="613"/>
    </row>
    <row r="44" spans="2:13">
      <c r="C44" s="337"/>
      <c r="E44" s="402"/>
      <c r="F44" s="402"/>
      <c r="G44" s="402"/>
      <c r="H44" s="404"/>
      <c r="I44" s="405"/>
      <c r="J44" s="405"/>
      <c r="K44" s="405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4"/>
      <c r="I46" s="404"/>
      <c r="J46" s="404"/>
      <c r="K46" s="404"/>
    </row>
    <row r="47" spans="2:13">
      <c r="C47" s="337"/>
      <c r="E47" s="402"/>
      <c r="F47" s="402"/>
      <c r="G47" s="402"/>
      <c r="H47" s="404"/>
      <c r="I47" s="404"/>
      <c r="J47" s="404"/>
      <c r="K47" s="404"/>
    </row>
    <row r="48" spans="2:13">
      <c r="C48" s="337"/>
      <c r="E48" s="402"/>
      <c r="F48" s="402"/>
      <c r="G48" s="402"/>
      <c r="H48" s="406"/>
      <c r="I48" s="613" t="s">
        <v>1610</v>
      </c>
      <c r="J48" s="613"/>
      <c r="K48" s="613"/>
    </row>
    <row r="49" spans="3:11">
      <c r="C49" s="400"/>
      <c r="E49" s="402"/>
      <c r="F49" s="402"/>
      <c r="G49" s="402"/>
      <c r="H49" s="404"/>
      <c r="I49" s="404"/>
      <c r="J49" s="404"/>
      <c r="K49" s="404"/>
    </row>
    <row r="50" spans="3:11">
      <c r="C50" s="400"/>
      <c r="E50" s="402"/>
      <c r="F50" s="402"/>
      <c r="G50" s="402"/>
      <c r="H50" s="404"/>
      <c r="I50" s="404"/>
      <c r="J50" s="404"/>
      <c r="K50" s="404"/>
    </row>
    <row r="51" spans="3:11">
      <c r="C51" s="400"/>
      <c r="E51" s="402"/>
      <c r="F51" s="402"/>
      <c r="G51" s="402"/>
      <c r="H51" s="404"/>
      <c r="I51" s="404"/>
      <c r="J51" s="404"/>
      <c r="K51" s="404"/>
    </row>
  </sheetData>
  <sheetProtection sort="0" autoFilter="0"/>
  <protectedRanges>
    <protectedRange sqref="B27:B29 B20" name="Range1_1"/>
    <protectedRange sqref="F14" name="Range1_1_2_2"/>
    <protectedRange sqref="C20 C27:C29" name="Range1_1_3_12"/>
    <protectedRange sqref="B22:B26" name="Range1_1_4"/>
    <protectedRange sqref="B15:C15 B21:C21 C17 B19:C19" name="Range1_6_2"/>
    <protectedRange sqref="C22 C24:C25" name="Range1_3"/>
    <protectedRange sqref="F15:F30" name="Range1_1_3_1_1"/>
    <protectedRange sqref="C26" name="Range1_1_3_6"/>
    <protectedRange sqref="C23" name="Range1_1_3"/>
  </protectedRanges>
  <mergeCells count="22">
    <mergeCell ref="I43:K43"/>
    <mergeCell ref="I48:K48"/>
    <mergeCell ref="C36:F36"/>
    <mergeCell ref="G6:K6"/>
    <mergeCell ref="I42:K42"/>
    <mergeCell ref="C35:F35"/>
    <mergeCell ref="B37:K38"/>
    <mergeCell ref="H41:K41"/>
    <mergeCell ref="H11:K11"/>
    <mergeCell ref="H12:H13"/>
    <mergeCell ref="J12:J13"/>
    <mergeCell ref="K12:K13"/>
    <mergeCell ref="O3:P4"/>
    <mergeCell ref="B4:K4"/>
    <mergeCell ref="C34:F34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20">
    <cfRule type="cellIs" dxfId="7" priority="24" operator="equal">
      <formula>0</formula>
    </cfRule>
  </conditionalFormatting>
  <conditionalFormatting sqref="E1:E3 G1:G13 E5:E13 H12:I12 O13 S14:V14 E31:G31 H31:K33 E32:H32 E33:F33 F30 F20:F21 E14:K19 E20:E30 G20:K30">
    <cfRule type="cellIs" dxfId="6" priority="1135" stopIfTrue="1" operator="equal">
      <formula>0</formula>
    </cfRule>
  </conditionalFormatting>
  <conditionalFormatting sqref="G32:G65498 E37:E65498">
    <cfRule type="cellIs" dxfId="5" priority="269" stopIfTrue="1" operator="equal">
      <formula>0</formula>
    </cfRule>
  </conditionalFormatting>
  <conditionalFormatting sqref="F22:F29">
    <cfRule type="cellIs" dxfId="1" priority="2" stopIfTrue="1" operator="equal">
      <formula>0</formula>
    </cfRule>
  </conditionalFormatting>
  <conditionalFormatting sqref="C2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5:F21 F30 H14:K33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zoomScaleNormal="115" zoomScaleSheetLayoutView="100" workbookViewId="0">
      <selection activeCell="R12" sqref="R12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8" width="5.7109375" style="235" customWidth="1"/>
    <col min="9" max="9" width="17.28515625" style="235" bestFit="1" customWidth="1"/>
    <col min="10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28" t="s">
        <v>1439</v>
      </c>
      <c r="X2" s="629"/>
      <c r="Y2" s="629"/>
      <c r="Z2" s="629"/>
      <c r="AA2" s="629"/>
      <c r="AB2" s="629"/>
      <c r="AC2" s="629"/>
      <c r="AD2" s="630"/>
    </row>
    <row r="3" spans="3:30">
      <c r="C3" s="238"/>
      <c r="W3" s="631"/>
      <c r="X3" s="632"/>
      <c r="Y3" s="632"/>
      <c r="Z3" s="632"/>
      <c r="AA3" s="632"/>
      <c r="AB3" s="632"/>
      <c r="AC3" s="632"/>
      <c r="AD3" s="633"/>
    </row>
    <row r="4" spans="3:30">
      <c r="C4" s="238"/>
      <c r="Q4" s="483" t="s">
        <v>1613</v>
      </c>
      <c r="W4" s="239" t="s">
        <v>987</v>
      </c>
      <c r="AD4" s="240"/>
    </row>
    <row r="5" spans="3:30">
      <c r="C5" s="238"/>
      <c r="W5" s="241" t="s">
        <v>991</v>
      </c>
      <c r="X5" s="634" t="s">
        <v>990</v>
      </c>
      <c r="Y5" s="634"/>
      <c r="Z5" s="634"/>
      <c r="AA5" s="634" t="s">
        <v>988</v>
      </c>
      <c r="AB5" s="634"/>
      <c r="AC5" s="634" t="s">
        <v>989</v>
      </c>
      <c r="AD5" s="635"/>
    </row>
    <row r="6" spans="3:30" ht="15.75">
      <c r="C6" s="238"/>
      <c r="Q6" s="500" t="str">
        <f>PETA!C6</f>
        <v>-7.113576, 111.118144</v>
      </c>
      <c r="W6" s="241">
        <v>1</v>
      </c>
      <c r="X6" s="634" t="s">
        <v>993</v>
      </c>
      <c r="Y6" s="634"/>
      <c r="Z6" s="634"/>
      <c r="AA6" s="634"/>
      <c r="AB6" s="634"/>
      <c r="AC6" s="634"/>
      <c r="AD6" s="635"/>
    </row>
    <row r="7" spans="3:30">
      <c r="C7" s="238"/>
      <c r="W7" s="241">
        <v>2</v>
      </c>
      <c r="X7" s="634" t="s">
        <v>994</v>
      </c>
      <c r="Y7" s="634"/>
      <c r="Z7" s="634"/>
      <c r="AA7" s="634"/>
      <c r="AB7" s="634"/>
      <c r="AC7" s="634"/>
      <c r="AD7" s="635"/>
    </row>
    <row r="8" spans="3:30">
      <c r="C8" s="238"/>
      <c r="W8" s="241">
        <v>3</v>
      </c>
      <c r="X8" s="634" t="s">
        <v>995</v>
      </c>
      <c r="Y8" s="634"/>
      <c r="Z8" s="634"/>
      <c r="AA8" s="634"/>
      <c r="AB8" s="634"/>
      <c r="AC8" s="634"/>
      <c r="AD8" s="635"/>
    </row>
    <row r="9" spans="3:30">
      <c r="C9" s="238"/>
      <c r="W9" s="241">
        <v>4</v>
      </c>
      <c r="X9" s="634" t="s">
        <v>996</v>
      </c>
      <c r="Y9" s="634"/>
      <c r="Z9" s="634"/>
      <c r="AA9" s="634"/>
      <c r="AB9" s="634"/>
      <c r="AC9" s="634"/>
      <c r="AD9" s="635"/>
    </row>
    <row r="10" spans="3:30">
      <c r="C10" s="238"/>
      <c r="W10" s="241">
        <v>5</v>
      </c>
      <c r="X10" s="634" t="s">
        <v>997</v>
      </c>
      <c r="Y10" s="634"/>
      <c r="Z10" s="634"/>
      <c r="AA10" s="634"/>
      <c r="AB10" s="634"/>
      <c r="AC10" s="634"/>
      <c r="AD10" s="635"/>
    </row>
    <row r="11" spans="3:30">
      <c r="C11" s="238"/>
      <c r="W11" s="241">
        <v>6</v>
      </c>
      <c r="X11" s="634" t="s">
        <v>998</v>
      </c>
      <c r="Y11" s="634"/>
      <c r="Z11" s="634"/>
      <c r="AA11" s="634"/>
      <c r="AB11" s="634"/>
      <c r="AC11" s="634"/>
      <c r="AD11" s="635"/>
    </row>
    <row r="12" spans="3:30">
      <c r="C12" s="238"/>
      <c r="W12" s="241">
        <v>7</v>
      </c>
      <c r="X12" s="634" t="s">
        <v>999</v>
      </c>
      <c r="Y12" s="634"/>
      <c r="Z12" s="634"/>
      <c r="AA12" s="634"/>
      <c r="AB12" s="634"/>
      <c r="AC12" s="634"/>
      <c r="AD12" s="635"/>
    </row>
    <row r="13" spans="3:30" ht="12.75" customHeight="1">
      <c r="C13" s="238"/>
      <c r="W13" s="241">
        <v>8</v>
      </c>
      <c r="X13" s="634" t="s">
        <v>1000</v>
      </c>
      <c r="Y13" s="634"/>
      <c r="Z13" s="634"/>
      <c r="AA13" s="634"/>
      <c r="AB13" s="634"/>
      <c r="AC13" s="634"/>
      <c r="AD13" s="635"/>
    </row>
    <row r="14" spans="3:30">
      <c r="C14" s="238"/>
      <c r="W14" s="241">
        <v>9</v>
      </c>
      <c r="X14" s="634" t="s">
        <v>1001</v>
      </c>
      <c r="Y14" s="634"/>
      <c r="Z14" s="634"/>
      <c r="AA14" s="634"/>
      <c r="AB14" s="634"/>
      <c r="AC14" s="634"/>
      <c r="AD14" s="635"/>
    </row>
    <row r="15" spans="3:30">
      <c r="C15" s="238"/>
      <c r="W15" s="241">
        <v>10</v>
      </c>
      <c r="X15" s="634" t="s">
        <v>1010</v>
      </c>
      <c r="Y15" s="634"/>
      <c r="Z15" s="634"/>
      <c r="AA15" s="634"/>
      <c r="AB15" s="634"/>
      <c r="AC15" s="634"/>
      <c r="AD15" s="635"/>
    </row>
    <row r="16" spans="3:30">
      <c r="C16" s="238"/>
      <c r="W16" s="241">
        <v>11</v>
      </c>
      <c r="X16" s="634" t="s">
        <v>1455</v>
      </c>
      <c r="Y16" s="634"/>
      <c r="Z16" s="634"/>
      <c r="AA16" s="634"/>
      <c r="AB16" s="634"/>
      <c r="AC16" s="634"/>
      <c r="AD16" s="635"/>
    </row>
    <row r="17" spans="3:30">
      <c r="C17" s="238"/>
      <c r="S17" s="242"/>
      <c r="W17" s="241">
        <v>12</v>
      </c>
      <c r="X17" s="634" t="s">
        <v>1011</v>
      </c>
      <c r="Y17" s="634"/>
      <c r="Z17" s="634"/>
      <c r="AA17" s="634"/>
      <c r="AB17" s="634"/>
      <c r="AC17" s="634"/>
      <c r="AD17" s="635"/>
    </row>
    <row r="18" spans="3:30">
      <c r="C18" s="243"/>
      <c r="D18" s="244"/>
      <c r="E18" s="244"/>
      <c r="W18" s="241">
        <v>13</v>
      </c>
      <c r="X18" s="634"/>
      <c r="Y18" s="634"/>
      <c r="Z18" s="634"/>
      <c r="AA18" s="634"/>
      <c r="AB18" s="634"/>
      <c r="AC18" s="634"/>
      <c r="AD18" s="635"/>
    </row>
    <row r="19" spans="3:30">
      <c r="C19" s="238"/>
      <c r="W19" s="245"/>
      <c r="X19" s="651"/>
      <c r="Y19" s="651"/>
      <c r="Z19" s="651"/>
      <c r="AA19" s="651"/>
      <c r="AB19" s="651"/>
      <c r="AC19" s="651"/>
      <c r="AD19" s="652"/>
    </row>
    <row r="20" spans="3:30">
      <c r="C20" s="238"/>
      <c r="W20" s="636" t="s">
        <v>992</v>
      </c>
      <c r="X20" s="637"/>
      <c r="Y20" s="637"/>
      <c r="Z20" s="637"/>
      <c r="AA20" s="637"/>
      <c r="AB20" s="637"/>
      <c r="AC20" s="637"/>
      <c r="AD20" s="638"/>
    </row>
    <row r="21" spans="3:30">
      <c r="C21" s="238"/>
      <c r="W21" s="639" t="s">
        <v>985</v>
      </c>
      <c r="X21" s="640"/>
      <c r="Y21" s="640"/>
      <c r="Z21" s="641"/>
      <c r="AA21" s="642" t="s">
        <v>986</v>
      </c>
      <c r="AB21" s="643"/>
      <c r="AC21" s="643"/>
      <c r="AD21" s="644"/>
    </row>
    <row r="22" spans="3:30">
      <c r="C22" s="238"/>
      <c r="W22" s="645"/>
      <c r="X22" s="646"/>
      <c r="Y22" s="485"/>
      <c r="Z22" s="488"/>
      <c r="AA22" s="647"/>
      <c r="AB22" s="648"/>
      <c r="AC22" s="248"/>
      <c r="AD22" s="249"/>
    </row>
    <row r="23" spans="3:30">
      <c r="C23" s="238"/>
      <c r="W23" s="645"/>
      <c r="X23" s="646"/>
      <c r="Y23" s="485"/>
      <c r="Z23" s="488"/>
      <c r="AA23" s="649"/>
      <c r="AB23" s="650"/>
      <c r="AC23" s="248"/>
      <c r="AD23" s="249"/>
    </row>
    <row r="24" spans="3:30">
      <c r="C24" s="238"/>
      <c r="W24" s="655"/>
      <c r="X24" s="656"/>
      <c r="Y24" s="246"/>
      <c r="Z24" s="247"/>
      <c r="AA24" s="657"/>
      <c r="AB24" s="658"/>
      <c r="AC24" s="248"/>
      <c r="AD24" s="249"/>
    </row>
    <row r="25" spans="3:30">
      <c r="C25" s="238"/>
      <c r="W25" s="655"/>
      <c r="X25" s="656"/>
      <c r="Y25" s="246"/>
      <c r="Z25" s="247"/>
      <c r="AA25" s="649"/>
      <c r="AB25" s="650"/>
      <c r="AC25" s="248"/>
      <c r="AD25" s="249"/>
    </row>
    <row r="26" spans="3:30">
      <c r="C26" s="238"/>
      <c r="W26" s="473"/>
      <c r="X26" s="474"/>
      <c r="Y26" s="246"/>
      <c r="Z26" s="247"/>
      <c r="AA26" s="649"/>
      <c r="AB26" s="650"/>
      <c r="AC26" s="248"/>
      <c r="AD26" s="249"/>
    </row>
    <row r="27" spans="3:30">
      <c r="C27" s="238"/>
      <c r="W27" s="473"/>
      <c r="X27" s="474"/>
      <c r="Y27" s="246"/>
      <c r="Z27" s="247"/>
      <c r="AA27" s="653"/>
      <c r="AB27" s="654"/>
      <c r="AC27" s="248"/>
      <c r="AD27" s="249"/>
    </row>
    <row r="28" spans="3:30">
      <c r="C28" s="238"/>
      <c r="W28" s="473"/>
      <c r="X28" s="474"/>
      <c r="Y28" s="246"/>
      <c r="Z28" s="247"/>
      <c r="AA28" s="653"/>
      <c r="AB28" s="654"/>
      <c r="AC28" s="248"/>
      <c r="AD28" s="249"/>
    </row>
    <row r="29" spans="3:30">
      <c r="C29" s="238"/>
      <c r="W29" s="473"/>
      <c r="X29" s="474"/>
      <c r="Y29" s="246"/>
      <c r="Z29" s="247"/>
      <c r="AA29" s="653"/>
      <c r="AB29" s="654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53"/>
      <c r="AB30" s="654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53"/>
      <c r="AB31" s="654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53"/>
      <c r="AB32" s="654"/>
      <c r="AC32" s="248"/>
      <c r="AD32" s="249"/>
    </row>
    <row r="33" spans="3:30">
      <c r="C33" s="238"/>
      <c r="W33" s="473"/>
      <c r="X33" s="474"/>
      <c r="Y33" s="246"/>
      <c r="Z33" s="247"/>
      <c r="AA33" s="653"/>
      <c r="AB33" s="654"/>
      <c r="AC33" s="248"/>
      <c r="AD33" s="249"/>
    </row>
    <row r="34" spans="3:30">
      <c r="C34" s="238"/>
      <c r="W34" s="473"/>
      <c r="X34" s="474"/>
      <c r="Y34" s="246"/>
      <c r="Z34" s="247"/>
      <c r="AA34" s="653"/>
      <c r="AB34" s="654"/>
      <c r="AC34" s="248"/>
      <c r="AD34" s="249"/>
    </row>
    <row r="35" spans="3:30">
      <c r="C35" s="238"/>
      <c r="W35" s="655"/>
      <c r="X35" s="668"/>
      <c r="Y35" s="246"/>
      <c r="Z35" s="247"/>
      <c r="AA35" s="653"/>
      <c r="AB35" s="654"/>
      <c r="AC35" s="248"/>
      <c r="AD35" s="249"/>
    </row>
    <row r="36" spans="3:30">
      <c r="C36" s="238"/>
      <c r="W36" s="659"/>
      <c r="X36" s="660"/>
      <c r="Y36" s="246"/>
      <c r="Z36" s="251"/>
      <c r="AA36" s="661"/>
      <c r="AB36" s="654"/>
      <c r="AC36" s="248"/>
      <c r="AD36" s="249"/>
    </row>
    <row r="37" spans="3:30" ht="12.75" customHeight="1">
      <c r="C37" s="238"/>
      <c r="W37" s="662"/>
      <c r="X37" s="663"/>
      <c r="Y37" s="246"/>
      <c r="Z37" s="251"/>
      <c r="AA37" s="664"/>
      <c r="AB37" s="665"/>
      <c r="AC37" s="252"/>
      <c r="AD37" s="253"/>
    </row>
    <row r="38" spans="3:30" ht="12.75" customHeight="1">
      <c r="C38" s="238"/>
      <c r="W38" s="662"/>
      <c r="X38" s="663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2"/>
      <c r="X39" s="663"/>
      <c r="Y39" s="254"/>
      <c r="Z39" s="257"/>
      <c r="AA39" s="666"/>
      <c r="AB39" s="667"/>
      <c r="AC39" s="252"/>
      <c r="AD39" s="253"/>
    </row>
    <row r="40" spans="3:30" ht="12" customHeight="1">
      <c r="C40" s="238"/>
      <c r="W40" s="672"/>
      <c r="X40" s="67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4"/>
      <c r="X41" s="675"/>
      <c r="Y41" s="260"/>
      <c r="Z41" s="261"/>
      <c r="AA41" s="666"/>
      <c r="AB41" s="667"/>
      <c r="AC41" s="252"/>
      <c r="AD41" s="253"/>
    </row>
    <row r="42" spans="3:30" ht="12" customHeight="1">
      <c r="C42" s="238"/>
      <c r="W42" s="676" t="s">
        <v>1456</v>
      </c>
      <c r="X42" s="677"/>
      <c r="Y42" s="677"/>
      <c r="Z42" s="67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69" t="s">
        <v>11</v>
      </c>
      <c r="X44" s="670"/>
      <c r="Y44" s="634"/>
      <c r="Z44" s="634"/>
      <c r="AA44" s="634"/>
      <c r="AB44" s="634"/>
      <c r="AC44" s="634"/>
      <c r="AD44" s="63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69" t="s">
        <v>984</v>
      </c>
      <c r="X45" s="670"/>
      <c r="Y45" s="634">
        <v>1</v>
      </c>
      <c r="Z45" s="634"/>
      <c r="AA45" s="634"/>
      <c r="AB45" s="634" t="s">
        <v>12</v>
      </c>
      <c r="AC45" s="63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69" t="s">
        <v>15</v>
      </c>
      <c r="X46" s="670"/>
      <c r="Y46" s="671"/>
      <c r="Z46" s="671"/>
      <c r="AA46" s="671"/>
      <c r="AB46" s="634" t="s">
        <v>16</v>
      </c>
      <c r="AC46" s="63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2" t="s">
        <v>17</v>
      </c>
      <c r="X47" s="682"/>
      <c r="Y47" s="682"/>
      <c r="Z47" s="682"/>
      <c r="AA47" s="682"/>
      <c r="AB47" s="682"/>
      <c r="AC47" s="682"/>
      <c r="AD47" s="68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4" t="str">
        <f>RAB!G6</f>
        <v>SANTOSO</v>
      </c>
      <c r="X48" s="685"/>
      <c r="Y48" s="685"/>
      <c r="Z48" s="685"/>
      <c r="AA48" s="685"/>
      <c r="AB48" s="685"/>
      <c r="AC48" s="685"/>
      <c r="AD48" s="686"/>
    </row>
    <row r="49" spans="3:30">
      <c r="C49" s="268"/>
      <c r="D49" s="269"/>
      <c r="E49" s="269"/>
      <c r="F49" s="269"/>
      <c r="G49" s="269"/>
      <c r="H49" s="269"/>
      <c r="I49" s="269"/>
      <c r="J49" s="501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4" t="str">
        <f>RAB!G7</f>
        <v>DN Kembangan RT3 RW2 Waru</v>
      </c>
      <c r="X49" s="685"/>
      <c r="Y49" s="685"/>
      <c r="Z49" s="685"/>
      <c r="AA49" s="685"/>
      <c r="AB49" s="685"/>
      <c r="AC49" s="685"/>
      <c r="AD49" s="686"/>
    </row>
    <row r="50" spans="3:30">
      <c r="C50" s="268"/>
      <c r="D50" s="269"/>
      <c r="E50" s="269"/>
      <c r="F50" s="269"/>
      <c r="G50" s="269"/>
      <c r="H50" s="269"/>
      <c r="I50" s="501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>
      <c r="C51" s="268"/>
      <c r="D51" s="269"/>
      <c r="E51" s="269"/>
      <c r="F51" s="269"/>
      <c r="G51" s="269"/>
      <c r="H51" s="269"/>
      <c r="I51" s="501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501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69" t="s">
        <v>18</v>
      </c>
      <c r="X52" s="670"/>
      <c r="Y52" s="634" t="s">
        <v>1607</v>
      </c>
      <c r="Z52" s="634"/>
      <c r="AA52" s="634"/>
      <c r="AB52" s="634"/>
      <c r="AC52" s="634"/>
      <c r="AD52" s="635"/>
    </row>
    <row r="53" spans="3:30">
      <c r="C53" s="268"/>
      <c r="D53" s="269"/>
      <c r="E53" s="269"/>
      <c r="F53" s="269"/>
      <c r="G53" s="269"/>
      <c r="H53" s="269"/>
      <c r="I53" s="501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69" t="s">
        <v>19</v>
      </c>
      <c r="X53" s="670"/>
      <c r="Y53" s="634" t="s">
        <v>1608</v>
      </c>
      <c r="Z53" s="634"/>
      <c r="AA53" s="634"/>
      <c r="AB53" s="634"/>
      <c r="AC53" s="634"/>
      <c r="AD53" s="63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69" t="s">
        <v>20</v>
      </c>
      <c r="X54" s="670"/>
      <c r="Y54" s="678" t="s">
        <v>1547</v>
      </c>
      <c r="Z54" s="678"/>
      <c r="AA54" s="678"/>
      <c r="AB54" s="634"/>
      <c r="AC54" s="634"/>
      <c r="AD54" s="63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79" t="s">
        <v>21</v>
      </c>
      <c r="X55" s="680"/>
      <c r="Y55" s="678"/>
      <c r="Z55" s="678"/>
      <c r="AA55" s="678"/>
      <c r="AB55" s="678"/>
      <c r="AC55" s="678"/>
      <c r="AD55" s="681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X50" sqref="X50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7" t="s">
        <v>1528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8"/>
      <c r="X4" s="688"/>
      <c r="Y4" s="688"/>
      <c r="Z4" s="688"/>
      <c r="AA4" s="688"/>
      <c r="AB4" s="688"/>
      <c r="AC4" s="689"/>
      <c r="AD4" s="217"/>
      <c r="AE4" s="216"/>
      <c r="AF4" s="216"/>
    </row>
    <row r="5" spans="2:32" ht="13.5" customHeight="1">
      <c r="B5" s="215"/>
      <c r="C5" s="215"/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2"/>
      <c r="AD5" s="217"/>
      <c r="AE5" s="216"/>
      <c r="AF5" s="216"/>
    </row>
    <row r="6" spans="2:32" ht="12.75" customHeight="1">
      <c r="B6" s="215"/>
      <c r="C6" s="215"/>
      <c r="D6" s="690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1"/>
      <c r="X6" s="691"/>
      <c r="Y6" s="691"/>
      <c r="Z6" s="691"/>
      <c r="AA6" s="691"/>
      <c r="AB6" s="691"/>
      <c r="AC6" s="692"/>
      <c r="AE6" s="216"/>
      <c r="AF6" s="216"/>
    </row>
    <row r="7" spans="2:32" ht="12.75" customHeight="1" thickBot="1">
      <c r="B7" s="215"/>
      <c r="C7" s="215"/>
      <c r="D7" s="693"/>
      <c r="E7" s="694"/>
      <c r="F7" s="694"/>
      <c r="G7" s="694"/>
      <c r="H7" s="694"/>
      <c r="I7" s="694"/>
      <c r="J7" s="694"/>
      <c r="K7" s="694"/>
      <c r="L7" s="694"/>
      <c r="M7" s="694"/>
      <c r="N7" s="694"/>
      <c r="O7" s="694"/>
      <c r="P7" s="694"/>
      <c r="Q7" s="694"/>
      <c r="R7" s="694"/>
      <c r="S7" s="694"/>
      <c r="T7" s="694"/>
      <c r="U7" s="694"/>
      <c r="V7" s="694"/>
      <c r="W7" s="694"/>
      <c r="X7" s="694"/>
      <c r="Y7" s="694"/>
      <c r="Z7" s="694"/>
      <c r="AA7" s="694"/>
      <c r="AB7" s="694"/>
      <c r="AC7" s="69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topLeftCell="A2" zoomScale="55" zoomScaleNormal="40" zoomScaleSheetLayoutView="55" workbookViewId="0">
      <selection activeCell="H14" sqref="H14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1" t="s">
        <v>1527</v>
      </c>
      <c r="D3" s="691"/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691"/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696" t="s">
        <v>1621</v>
      </c>
      <c r="D6" s="697"/>
      <c r="E6" s="697"/>
      <c r="F6" s="697"/>
      <c r="G6" s="697"/>
      <c r="H6" s="697"/>
      <c r="I6" s="697"/>
      <c r="J6" s="697"/>
      <c r="K6" s="697"/>
      <c r="L6" s="697"/>
      <c r="M6" s="697"/>
      <c r="W6" s="182"/>
      <c r="Y6" s="420"/>
      <c r="Z6" s="420"/>
      <c r="AA6" s="420"/>
      <c r="AB6" s="421"/>
      <c r="AC6" s="421"/>
    </row>
    <row r="7" spans="1:29" ht="18" customHeight="1">
      <c r="A7" s="181"/>
      <c r="C7" s="697"/>
      <c r="D7" s="697"/>
      <c r="E7" s="697"/>
      <c r="F7" s="697"/>
      <c r="G7" s="697"/>
      <c r="H7" s="697"/>
      <c r="I7" s="697"/>
      <c r="J7" s="697"/>
      <c r="K7" s="697"/>
      <c r="L7" s="697"/>
      <c r="M7" s="697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2024-04-05T04:17:38Z</cp:lastPrinted>
  <dcterms:created xsi:type="dcterms:W3CDTF">2011-02-06T11:57:38Z</dcterms:created>
  <dcterms:modified xsi:type="dcterms:W3CDTF">2024-06-26T03:58:53Z</dcterms:modified>
</cp:coreProperties>
</file>