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uhammad.abdullah2\Downloads\"/>
    </mc:Choice>
  </mc:AlternateContent>
  <xr:revisionPtr revIDLastSave="0" documentId="13_ncr:1_{0C42687A-9817-4564-B8C5-D3A2196C3D32}" xr6:coauthVersionLast="47" xr6:coauthVersionMax="47" xr10:uidLastSave="{00000000-0000-0000-0000-000000000000}"/>
  <bookViews>
    <workbookView xWindow="-120" yWindow="-120" windowWidth="20730" windowHeight="1116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RAB!$A$1:$K$90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</workbook>
</file>

<file path=xl/calcChain.xml><?xml version="1.0" encoding="utf-8"?>
<calcChain xmlns="http://schemas.openxmlformats.org/spreadsheetml/2006/main">
  <c r="C7" i="54" l="1"/>
  <c r="F49" i="11"/>
  <c r="D16" i="60" l="1"/>
  <c r="F65" i="11"/>
  <c r="F64" i="11"/>
  <c r="F63" i="11"/>
  <c r="F62" i="11"/>
  <c r="F61" i="11"/>
  <c r="F60" i="11"/>
  <c r="F59" i="11"/>
  <c r="G17" i="11" l="1"/>
  <c r="F38" i="11" l="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2" i="11"/>
  <c r="D20" i="11"/>
  <c r="H20" i="11" s="1"/>
  <c r="E20" i="11"/>
  <c r="G20" i="11"/>
  <c r="D21" i="11"/>
  <c r="J21" i="11" s="1"/>
  <c r="E21" i="11"/>
  <c r="G21" i="11"/>
  <c r="D22" i="11"/>
  <c r="I22" i="11" s="1"/>
  <c r="E22" i="11"/>
  <c r="G22" i="11"/>
  <c r="D23" i="11"/>
  <c r="J23" i="11" s="1"/>
  <c r="E23" i="11"/>
  <c r="G23" i="11"/>
  <c r="J24" i="11"/>
  <c r="E24" i="11"/>
  <c r="G24" i="11"/>
  <c r="J25" i="11"/>
  <c r="E25" i="11"/>
  <c r="G25" i="11"/>
  <c r="I26" i="11"/>
  <c r="E26" i="11"/>
  <c r="G26" i="11"/>
  <c r="J27" i="11"/>
  <c r="E27" i="11"/>
  <c r="G27" i="11"/>
  <c r="J28" i="11"/>
  <c r="E28" i="11"/>
  <c r="G28" i="11"/>
  <c r="J29" i="11"/>
  <c r="E29" i="11"/>
  <c r="G29" i="11"/>
  <c r="J30" i="11"/>
  <c r="E30" i="11"/>
  <c r="G30" i="11"/>
  <c r="H31" i="11"/>
  <c r="E31" i="11"/>
  <c r="G31" i="11"/>
  <c r="J32" i="11"/>
  <c r="E32" i="11"/>
  <c r="G32" i="11"/>
  <c r="J33" i="11"/>
  <c r="E33" i="11"/>
  <c r="G33" i="11"/>
  <c r="H34" i="11"/>
  <c r="E34" i="11"/>
  <c r="G34" i="11"/>
  <c r="H35" i="11"/>
  <c r="E35" i="11"/>
  <c r="G35" i="11"/>
  <c r="J36" i="11"/>
  <c r="E36" i="11"/>
  <c r="G36" i="11"/>
  <c r="J37" i="11"/>
  <c r="E37" i="11"/>
  <c r="G37" i="11"/>
  <c r="H38" i="11"/>
  <c r="E38" i="11"/>
  <c r="G38" i="11"/>
  <c r="H39" i="11"/>
  <c r="J40" i="11"/>
  <c r="D18" i="11"/>
  <c r="H18" i="11" s="1"/>
  <c r="E18" i="11"/>
  <c r="G18" i="11"/>
  <c r="D19" i="11"/>
  <c r="H19" i="11" s="1"/>
  <c r="E19" i="11"/>
  <c r="G19" i="11"/>
  <c r="D15" i="11"/>
  <c r="J15" i="11" s="1"/>
  <c r="E15" i="11"/>
  <c r="G15" i="11"/>
  <c r="D16" i="11"/>
  <c r="J16" i="11" s="1"/>
  <c r="E16" i="11"/>
  <c r="G16" i="11"/>
  <c r="D58" i="11"/>
  <c r="J58" i="11" s="1"/>
  <c r="E58" i="11"/>
  <c r="G58" i="11"/>
  <c r="D59" i="11"/>
  <c r="J59" i="11" s="1"/>
  <c r="E59" i="11"/>
  <c r="G59" i="11"/>
  <c r="D60" i="11"/>
  <c r="H60" i="11" s="1"/>
  <c r="E60" i="11"/>
  <c r="G60" i="11"/>
  <c r="D61" i="11"/>
  <c r="H61" i="11" s="1"/>
  <c r="E61" i="11"/>
  <c r="G61" i="11"/>
  <c r="D62" i="11"/>
  <c r="J62" i="11" s="1"/>
  <c r="E62" i="11"/>
  <c r="G62" i="11"/>
  <c r="D63" i="11"/>
  <c r="J63" i="11" s="1"/>
  <c r="E63" i="11"/>
  <c r="G63" i="11"/>
  <c r="D64" i="11"/>
  <c r="H64" i="11" s="1"/>
  <c r="E64" i="11"/>
  <c r="G64" i="11"/>
  <c r="D65" i="11"/>
  <c r="H65" i="11" s="1"/>
  <c r="E65" i="11"/>
  <c r="G65" i="11"/>
  <c r="D66" i="11"/>
  <c r="H66" i="11" s="1"/>
  <c r="E66" i="11"/>
  <c r="G66" i="11"/>
  <c r="D67" i="11"/>
  <c r="J67" i="11" s="1"/>
  <c r="E67" i="11"/>
  <c r="G67" i="11"/>
  <c r="F56" i="11"/>
  <c r="F55" i="11"/>
  <c r="F54" i="11"/>
  <c r="F53" i="11"/>
  <c r="F52" i="11"/>
  <c r="F48" i="11"/>
  <c r="F47" i="11"/>
  <c r="F46" i="11"/>
  <c r="F45" i="11"/>
  <c r="F44" i="11"/>
  <c r="G6" i="11"/>
  <c r="D17" i="11"/>
  <c r="H17" i="11" s="1"/>
  <c r="E17" i="11"/>
  <c r="D42" i="11"/>
  <c r="J42" i="11" s="1"/>
  <c r="E42" i="11"/>
  <c r="G42" i="11"/>
  <c r="D43" i="11"/>
  <c r="H43" i="11" s="1"/>
  <c r="E43" i="11"/>
  <c r="G43" i="11"/>
  <c r="D44" i="11"/>
  <c r="E44" i="11"/>
  <c r="G44" i="11"/>
  <c r="D45" i="11"/>
  <c r="J45" i="11" s="1"/>
  <c r="E45" i="11"/>
  <c r="G45" i="11"/>
  <c r="D46" i="11"/>
  <c r="J46" i="11" s="1"/>
  <c r="E46" i="11"/>
  <c r="G46" i="11"/>
  <c r="D47" i="11"/>
  <c r="E47" i="11"/>
  <c r="G47" i="11"/>
  <c r="D48" i="11"/>
  <c r="H48" i="11" s="1"/>
  <c r="E48" i="11"/>
  <c r="G48" i="11"/>
  <c r="D49" i="11"/>
  <c r="E49" i="11"/>
  <c r="G49" i="11"/>
  <c r="D51" i="11"/>
  <c r="J51" i="11" s="1"/>
  <c r="E51" i="11"/>
  <c r="G51" i="11"/>
  <c r="D52" i="11"/>
  <c r="H52" i="11" s="1"/>
  <c r="E52" i="11"/>
  <c r="G52" i="11"/>
  <c r="D53" i="11"/>
  <c r="H53" i="11" s="1"/>
  <c r="E53" i="11"/>
  <c r="G53" i="11"/>
  <c r="D54" i="11"/>
  <c r="H54" i="11" s="1"/>
  <c r="E54" i="11"/>
  <c r="G54" i="11"/>
  <c r="D55" i="11"/>
  <c r="J55" i="11" s="1"/>
  <c r="E55" i="11"/>
  <c r="G55" i="11"/>
  <c r="D56" i="11"/>
  <c r="H56" i="11" s="1"/>
  <c r="E56" i="11"/>
  <c r="G56" i="11"/>
  <c r="D57" i="11"/>
  <c r="J57" i="11" s="1"/>
  <c r="E57" i="11"/>
  <c r="G57" i="11"/>
  <c r="D68" i="11"/>
  <c r="J68" i="11" s="1"/>
  <c r="E68" i="11"/>
  <c r="G68" i="11"/>
  <c r="D69" i="11"/>
  <c r="J69" i="11" s="1"/>
  <c r="E69" i="11"/>
  <c r="G69" i="11"/>
  <c r="J49" i="11" l="1"/>
  <c r="J22" i="11"/>
  <c r="I35" i="11"/>
  <c r="J34" i="11"/>
  <c r="J35" i="11"/>
  <c r="I34" i="11"/>
  <c r="I30" i="11"/>
  <c r="J26" i="11"/>
  <c r="J20" i="11"/>
  <c r="I38" i="11"/>
  <c r="H26" i="11"/>
  <c r="J39" i="11"/>
  <c r="J38" i="11"/>
  <c r="H30" i="11"/>
  <c r="I20" i="11"/>
  <c r="J31" i="11"/>
  <c r="H27" i="11"/>
  <c r="I24" i="11"/>
  <c r="I23" i="11"/>
  <c r="I39" i="11"/>
  <c r="I31" i="11"/>
  <c r="I27" i="11"/>
  <c r="H22" i="11"/>
  <c r="H40" i="11"/>
  <c r="H36" i="11"/>
  <c r="H32" i="11"/>
  <c r="H28" i="11"/>
  <c r="H23" i="11"/>
  <c r="I28" i="11"/>
  <c r="H24" i="11"/>
  <c r="K24" i="11" s="1"/>
  <c r="I40" i="11"/>
  <c r="I36" i="11"/>
  <c r="I32" i="11"/>
  <c r="I29" i="11"/>
  <c r="I21" i="11"/>
  <c r="H37" i="11"/>
  <c r="H33" i="11"/>
  <c r="H29" i="11"/>
  <c r="H25" i="11"/>
  <c r="H21" i="11"/>
  <c r="I37" i="11"/>
  <c r="I33" i="11"/>
  <c r="I25" i="11"/>
  <c r="J19" i="11"/>
  <c r="I19" i="11"/>
  <c r="J18" i="11"/>
  <c r="I18" i="11"/>
  <c r="I15" i="11"/>
  <c r="H15" i="11"/>
  <c r="I16" i="11"/>
  <c r="H16" i="11"/>
  <c r="I64" i="11"/>
  <c r="I60" i="11"/>
  <c r="I62" i="11"/>
  <c r="I58" i="11"/>
  <c r="I67" i="11"/>
  <c r="H67" i="11"/>
  <c r="I66" i="11"/>
  <c r="I65" i="11"/>
  <c r="J64" i="11"/>
  <c r="H62" i="11"/>
  <c r="I61" i="11"/>
  <c r="J60" i="11"/>
  <c r="H58" i="11"/>
  <c r="I63" i="11"/>
  <c r="I59" i="11"/>
  <c r="J66" i="11"/>
  <c r="J65" i="11"/>
  <c r="H63" i="11"/>
  <c r="J61" i="11"/>
  <c r="H59" i="11"/>
  <c r="H44" i="11"/>
  <c r="H47" i="11"/>
  <c r="J54" i="11"/>
  <c r="I49" i="11"/>
  <c r="I68" i="11"/>
  <c r="I54" i="11"/>
  <c r="I52" i="11"/>
  <c r="H49" i="11"/>
  <c r="J48" i="11"/>
  <c r="J47" i="11"/>
  <c r="J52" i="11"/>
  <c r="J17" i="11"/>
  <c r="H68" i="11"/>
  <c r="I45" i="11"/>
  <c r="H45" i="11"/>
  <c r="J44" i="11"/>
  <c r="J43" i="11"/>
  <c r="I43" i="11"/>
  <c r="J53" i="11"/>
  <c r="I17" i="11"/>
  <c r="J56" i="11"/>
  <c r="I47" i="11"/>
  <c r="I55" i="11"/>
  <c r="H69" i="11"/>
  <c r="H57" i="11"/>
  <c r="I56" i="11"/>
  <c r="H55" i="11"/>
  <c r="H51" i="11"/>
  <c r="H46" i="11"/>
  <c r="H42" i="11"/>
  <c r="I69" i="11"/>
  <c r="I57" i="11"/>
  <c r="I51" i="11"/>
  <c r="I46" i="11"/>
  <c r="I42" i="11"/>
  <c r="I53" i="11"/>
  <c r="I48" i="11"/>
  <c r="I44" i="11"/>
  <c r="D14" i="11"/>
  <c r="J14" i="11" s="1"/>
  <c r="E14" i="11"/>
  <c r="G14" i="11"/>
  <c r="K19" i="60"/>
  <c r="D19" i="60"/>
  <c r="K54" i="11" l="1"/>
  <c r="K64" i="11"/>
  <c r="K29" i="11"/>
  <c r="K39" i="11"/>
  <c r="K26" i="11"/>
  <c r="K31" i="11"/>
  <c r="K30" i="11"/>
  <c r="K34" i="11"/>
  <c r="K27" i="11"/>
  <c r="K23" i="11"/>
  <c r="K22" i="11"/>
  <c r="K38" i="11"/>
  <c r="K35" i="11"/>
  <c r="K20" i="11"/>
  <c r="K36" i="11"/>
  <c r="K28" i="11"/>
  <c r="K32" i="11"/>
  <c r="K40" i="11"/>
  <c r="K33" i="11"/>
  <c r="K21" i="11"/>
  <c r="K37" i="11"/>
  <c r="K25" i="11"/>
  <c r="K19" i="11"/>
  <c r="K18" i="11"/>
  <c r="K16" i="11"/>
  <c r="K15" i="11"/>
  <c r="K67" i="11"/>
  <c r="K63" i="11"/>
  <c r="K60" i="11"/>
  <c r="K66" i="11"/>
  <c r="K62" i="11"/>
  <c r="K61" i="11"/>
  <c r="K65" i="11"/>
  <c r="K59" i="11"/>
  <c r="K58" i="11"/>
  <c r="K55" i="11"/>
  <c r="K68" i="11"/>
  <c r="K17" i="11"/>
  <c r="K49" i="11"/>
  <c r="K43" i="11"/>
  <c r="K45" i="11"/>
  <c r="K52" i="11"/>
  <c r="K56" i="11"/>
  <c r="K47" i="11"/>
  <c r="K53" i="11"/>
  <c r="K48" i="11"/>
  <c r="K44" i="11"/>
  <c r="K51" i="11"/>
  <c r="K57" i="11"/>
  <c r="K69" i="11"/>
  <c r="K42" i="11"/>
  <c r="K46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7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70" i="11"/>
  <c r="D71" i="11"/>
  <c r="H71" i="11" s="1"/>
  <c r="E7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7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78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7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71" i="11"/>
  <c r="I71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F224" i="29"/>
  <c r="E8" i="54"/>
  <c r="L8" i="54" s="1"/>
  <c r="M8" i="54" s="1"/>
  <c r="I9" i="54"/>
  <c r="H9" i="54"/>
  <c r="C10" i="54"/>
  <c r="D9" i="54"/>
  <c r="K36" i="39"/>
  <c r="K71" i="11"/>
  <c r="F57" i="39" l="1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73" i="11"/>
  <c r="H74" i="11" s="1"/>
  <c r="I73" i="11"/>
  <c r="I74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2" i="29" l="1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75" i="11"/>
  <c r="I75" i="11"/>
  <c r="F364" i="29"/>
  <c r="F69" i="39"/>
  <c r="F72" i="39"/>
  <c r="F367" i="29"/>
  <c r="J70" i="11"/>
  <c r="K70" i="11" s="1"/>
  <c r="K73" i="11" s="1"/>
  <c r="K74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73" i="11"/>
  <c r="J74" i="11" s="1"/>
  <c r="K75" i="11"/>
  <c r="B7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7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07" i="41" l="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<sst xmlns="http://schemas.openxmlformats.org/spreadsheetml/2006/main" count="4757" uniqueCount="1635">
  <si>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</si>
  <si>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</si>
  <si>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</si>
  <si>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</si>
  <si>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</si>
  <si>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</si>
  <si>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</si>
  <si>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</si>
  <si>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</si>
  <si>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</si>
  <si>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</si>
  <si>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</si>
  <si>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</si>
  <si>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</si>
  <si>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</si>
  <si>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</si>
  <si>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</si>
  <si>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</si>
  <si>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</si>
  <si>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</si>
  <si>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</si>
  <si>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</si>
  <si>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</si>
  <si>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</si>
  <si>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</si>
  <si>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</si>
  <si>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</si>
  <si>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</si>
  <si>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</si>
  <si>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</si>
  <si>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</si>
  <si>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</si>
  <si>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</si>
  <si>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</si>
  <si>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</si>
  <si>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</si>
  <si>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</si>
  <si>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</si>
  <si>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</si>
  <si>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</si>
  <si>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</si>
  <si>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</si>
  <si>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</si>
  <si>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</si>
  <si>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</si>
  <si>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</si>
  <si>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</si>
  <si>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</si>
  <si>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</si>
  <si>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</si>
  <si>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</si>
  <si>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</si>
  <si>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</si>
  <si>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</si>
  <si>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</si>
  <si>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</si>
  <si>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</si>
  <si>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</si>
  <si>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</si>
  <si>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</si>
  <si>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</si>
  <si>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</si>
  <si>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</si>
  <si>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</si>
  <si>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</si>
  <si>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</si>
  <si>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</si>
  <si>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</si>
  <si>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</si>
  <si>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</si>
  <si>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</si>
  <si>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</si>
  <si>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</si>
  <si>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</si>
  <si>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</si>
  <si>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</si>
  <si>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</si>
  <si>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</si>
  <si>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</si>
  <si>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</si>
  <si>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</si>
  <si>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</si>
  <si>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</si>
  <si>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</si>
  <si>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</si>
  <si>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</si>
  <si>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</si>
  <si>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</si>
  <si>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</si>
  <si>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</si>
  <si>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</si>
  <si>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</si>
  <si>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</si>
  <si>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</si>
  <si>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</si>
  <si>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</si>
  <si>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</si>
  <si>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</si>
  <si>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</si>
  <si>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</si>
  <si>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</si>
  <si>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</si>
  <si>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</si>
  <si>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</si>
  <si>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</si>
  <si>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</si>
  <si>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</si>
  <si>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</si>
  <si>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</si>
  <si>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</si>
  <si>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</si>
  <si>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</si>
  <si>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</si>
  <si>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</si>
  <si>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</si>
  <si>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</si>
  <si>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</si>
  <si>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</si>
  <si>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</si>
  <si>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</si>
  <si>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</si>
  <si>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</si>
  <si>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</si>
  <si>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</si>
  <si>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</si>
  <si>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</si>
  <si>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</si>
  <si>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</si>
  <si>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</si>
  <si>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</si>
  <si>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</si>
  <si>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</si>
  <si>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</si>
  <si>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</si>
  <si>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</si>
  <si>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</si>
  <si>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</si>
  <si>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</si>
  <si>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</si>
  <si>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</si>
  <si>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</si>
  <si>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</si>
  <si>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</si>
  <si>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</si>
  <si>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</si>
  <si>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</si>
  <si>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</si>
  <si>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</si>
  <si>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</si>
  <si>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</si>
  <si>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</si>
  <si>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</si>
  <si>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</si>
  <si>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</si>
  <si>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</si>
  <si>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</si>
  <si>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</si>
  <si>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</si>
  <si>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</si>
  <si>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</si>
  <si>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</si>
  <si>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</si>
  <si>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</si>
  <si>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</si>
  <si>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</si>
  <si>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</si>
  <si>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</si>
  <si>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</si>
  <si>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</si>
  <si>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</si>
  <si>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</si>
  <si>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</si>
  <si>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</si>
  <si>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</si>
  <si>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</si>
  <si>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</si>
  <si>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</si>
  <si>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</si>
  <si>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</si>
  <si>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</si>
  <si>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</si>
  <si>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</si>
  <si>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</si>
  <si>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</si>
  <si>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</si>
  <si>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</si>
  <si>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</si>
  <si>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</si>
  <si>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</si>
  <si>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</si>
  <si>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</si>
  <si>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</si>
  <si>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</si>
  <si>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</si>
  <si>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</si>
  <si>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</si>
  <si>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</si>
  <si>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</si>
  <si>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</si>
  <si>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</si>
  <si>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</si>
  <si>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</si>
  <si>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</si>
  <si>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</si>
  <si>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</si>
  <si>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</si>
  <si>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</si>
  <si>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</si>
  <si>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</si>
  <si>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</si>
  <si>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</si>
  <si>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</si>
  <si>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</si>
  <si>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</si>
  <si>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</si>
  <si>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</si>
  <si>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</si>
  <si>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</si>
  <si>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</si>
  <si>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</si>
  <si>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</si>
  <si>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</si>
  <si>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</si>
  <si>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</si>
  <si>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</si>
  <si>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</si>
  <si>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</si>
  <si>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</si>
  <si>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</si>
  <si>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</si>
  <si>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</si>
  <si>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</si>
  <si>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</si>
  <si>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</si>
  <si>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</si>
  <si>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</si>
  <si>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</si>
  <si>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</si>
  <si>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</si>
  <si>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</si>
  <si>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</si>
  <si>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</si>
  <si>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</si>
  <si>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</si>
  <si>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</si>
  <si>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</si>
  <si>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</si>
  <si>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</si>
  <si>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</si>
  <si>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</si>
  <si>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</si>
  <si>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</si>
  <si>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</si>
  <si>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</si>
  <si>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</si>
  <si>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</si>
  <si>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</si>
  <si>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</si>
  <si>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</si>
  <si>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</si>
  <si>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</si>
  <si>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</si>
  <si>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</si>
  <si>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</si>
  <si>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</si>
  <si>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</si>
  <si>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</si>
  <si>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</si>
  <si>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</si>
  <si>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</si>
  <si>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</si>
  <si>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</si>
  <si>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</si>
  <si>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</si>
  <si>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</si>
  <si>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</si>
  <si>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</si>
  <si>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</si>
  <si>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</si>
  <si>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</si>
  <si>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</si>
  <si>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</si>
  <si>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</si>
  <si>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</si>
  <si>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</si>
  <si>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</si>
  <si>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</si>
  <si>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</si>
  <si>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</si>
  <si>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</si>
  <si>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</si>
  <si>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</si>
  <si>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</si>
  <si>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</si>
  <si>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</si>
  <si>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</si>
  <si>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</si>
  <si>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</si>
  <si>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</si>
  <si>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</si>
  <si>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</si>
  <si>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</si>
  <si>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</si>
  <si>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</si>
  <si>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</si>
  <si>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</si>
  <si>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</si>
  <si>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</si>
  <si>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</si>
  <si>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</si>
  <si>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</si>
  <si>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</si>
  <si>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</si>
  <si>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</si>
  <si>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</si>
  <si>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</si>
  <si>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</si>
  <si>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</si>
  <si>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</si>
  <si>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</si>
  <si>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</si>
  <si>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</si>
  <si>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</si>
  <si>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</si>
  <si>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</si>
  <si>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</si>
  <si>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</si>
  <si>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</si>
  <si>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</si>
  <si>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</si>
  <si>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</si>
  <si>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</si>
  <si>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</si>
  <si>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</si>
  <si>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</si>
  <si>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</si>
  <si>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</si>
  <si>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</si>
  <si>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</si>
  <si>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</si>
  <si>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</si>
  <si>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</si>
  <si>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</si>
  <si>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</si>
  <si>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</si>
  <si>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</si>
  <si>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</si>
  <si>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</si>
  <si>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</si>
  <si>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</si>
  <si>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</si>
  <si>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</si>
  <si>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</si>
  <si>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</si>
  <si>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</si>
  <si>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</si>
  <si>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</si>
  <si>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</si>
  <si>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</si>
  <si>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</si>
  <si>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</si>
  <si>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</si>
  <si>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</si>
  <si>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</si>
  <si>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</si>
  <si>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</si>
  <si>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</si>
  <si>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</si>
  <si>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</si>
  <si>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</si>
  <si>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</si>
  <si>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</si>
  <si>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</si>
  <si>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</si>
  <si>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</si>
  <si>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</si>
  <si>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</si>
  <si>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</si>
  <si>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</si>
  <si>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</si>
  <si>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</si>
  <si>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</si>
  <si>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</si>
  <si>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</si>
  <si>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</si>
  <si>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</si>
  <si>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</si>
  <si>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</si>
  <si>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</si>
  <si>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</si>
  <si>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</si>
  <si>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</si>
  <si>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</si>
  <si>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</si>
  <si>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</si>
  <si>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</si>
  <si>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</si>
  <si>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</si>
  <si>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</si>
  <si>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</si>
  <si>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</si>
  <si>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</si>
  <si>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</si>
  <si>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</si>
  <si>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</si>
  <si>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</si>
  <si>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</si>
  <si>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</si>
  <si>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</si>
  <si>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</si>
  <si>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</si>
  <si>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</si>
  <si>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</si>
  <si>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</si>
  <si>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</si>
  <si>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</si>
  <si>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</si>
  <si>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</si>
  <si>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</si>
  <si>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</si>
  <si>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</si>
  <si>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</si>
  <si>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</si>
  <si>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</si>
  <si>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</si>
  <si>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</si>
  <si>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</si>
  <si>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</si>
  <si>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</si>
  <si>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</si>
  <si>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</si>
  <si>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</si>
  <si>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</si>
  <si>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</si>
  <si>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</si>
  <si>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</si>
  <si>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</si>
  <si>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</si>
  <si>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</si>
  <si>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</si>
  <si>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</si>
  <si>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</si>
  <si>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</si>
  <si>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</si>
  <si>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</si>
  <si>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</si>
  <si>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</si>
  <si>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</si>
  <si>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</si>
  <si>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</si>
  <si>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</si>
  <si>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</si>
  <si>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</si>
  <si>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</si>
  <si>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</si>
  <si>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</si>
  <si>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</si>
  <si>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</si>
  <si>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</si>
  <si>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</si>
  <si>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</si>
  <si>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</si>
  <si>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</si>
  <si>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</si>
  <si>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</si>
  <si>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</si>
  <si>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</si>
  <si>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</si>
  <si>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</si>
  <si>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</si>
  <si>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</si>
  <si>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</si>
  <si>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</si>
  <si>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</si>
  <si>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</si>
  <si>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</si>
  <si>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</si>
  <si>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</si>
  <si>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</si>
  <si>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</si>
  <si>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</si>
  <si>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</si>
  <si>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</si>
  <si>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</si>
  <si>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</si>
  <si>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</si>
  <si>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</si>
  <si>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</si>
  <si>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</si>
  <si>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</si>
  <si>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</si>
  <si>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</si>
  <si>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</si>
  <si>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</si>
  <si>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</si>
  <si>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</si>
  <si>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</si>
  <si>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</si>
  <si>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</si>
  <si>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</si>
  <si>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</si>
  <si>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</si>
  <si>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</si>
  <si>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</si>
  <si>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</si>
  <si>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</si>
  <si>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</si>
  <si>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</si>
  <si>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</si>
  <si>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</si>
  <si>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</si>
  <si>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</si>
  <si>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</si>
  <si>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</si>
  <si>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</si>
  <si>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</si>
  <si>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</si>
  <si>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</si>
  <si>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</si>
  <si>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</si>
  <si>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</si>
  <si>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</si>
  <si>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</si>
  <si>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</si>
  <si>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</si>
  <si>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</si>
  <si>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</si>
  <si>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</si>
  <si>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</si>
  <si>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</si>
  <si>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</si>
  <si>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</si>
  <si>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</si>
  <si>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</si>
  <si>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</si>
  <si>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</si>
  <si>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</si>
  <si>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</si>
  <si>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</si>
  <si>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</si>
  <si>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</si>
  <si>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</si>
  <si>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</si>
  <si>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</si>
  <si>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</si>
  <si>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</si>
  <si>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</si>
  <si>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</si>
  <si>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</si>
  <si>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</si>
  <si>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</si>
  <si>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</si>
  <si>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</si>
  <si>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</si>
  <si>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</si>
  <si>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</si>
  <si>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</si>
  <si>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</si>
  <si>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</si>
  <si>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</si>
  <si>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</si>
  <si>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</si>
  <si>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</si>
  <si>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</si>
  <si>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</si>
  <si>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</si>
  <si>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</si>
  <si>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</si>
  <si>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</si>
  <si>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</si>
  <si>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</si>
  <si>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</si>
  <si>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</si>
  <si>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</si>
  <si>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</si>
  <si>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</si>
  <si>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</si>
  <si>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</si>
  <si>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</si>
  <si>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</si>
  <si>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</si>
  <si>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</si>
  <si>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</si>
  <si>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</si>
  <si>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</si>
  <si>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</si>
  <si>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</si>
  <si>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</si>
  <si>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</si>
  <si>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</si>
  <si>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</si>
  <si>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</si>
  <si>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</si>
  <si>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</si>
  <si>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</si>
  <si>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</si>
  <si>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</si>
  <si>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</si>
  <si>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</si>
  <si>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</si>
  <si>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</si>
  <si>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</si>
  <si>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</si>
  <si>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</si>
  <si>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</si>
  <si>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</si>
  <si>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</si>
  <si>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</si>
  <si>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</si>
  <si>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</si>
  <si>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</si>
  <si>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</si>
  <si>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</si>
  <si>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</si>
  <si>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</si>
  <si>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</si>
  <si>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</si>
  <si>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</si>
  <si>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</si>
  <si>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</si>
  <si>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</si>
  <si>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</si>
  <si>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</si>
  <si>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</si>
  <si>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</si>
  <si>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</si>
  <si>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</si>
  <si>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</si>
  <si>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</si>
  <si>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</si>
  <si>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</si>
  <si>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</si>
  <si>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</si>
  <si>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</si>
  <si>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</si>
  <si>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</si>
  <si>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</si>
  <si>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</si>
  <si>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</si>
  <si>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</si>
  <si>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</si>
  <si>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</si>
  <si>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</si>
  <si>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</si>
  <si>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</si>
  <si>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</si>
  <si>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</si>
  <si>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</si>
  <si>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</si>
  <si>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</si>
  <si>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</si>
  <si>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</si>
  <si>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</si>
  <si>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</si>
  <si>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</si>
  <si>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</si>
  <si>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</si>
  <si>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</si>
  <si>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</si>
  <si>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</si>
  <si>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</si>
  <si>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</si>
  <si>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</si>
  <si>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</si>
  <si>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</si>
  <si>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</si>
  <si>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</si>
  <si>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</si>
  <si>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</si>
  <si>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</si>
  <si>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</si>
  <si>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</si>
  <si>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</si>
  <si>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</si>
  <si>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</si>
  <si>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</si>
  <si>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</si>
  <si>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</si>
  <si>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</si>
  <si>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</si>
  <si>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</si>
  <si>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</si>
  <si>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</si>
  <si>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</si>
  <si>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</si>
  <si>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</si>
  <si>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</si>
  <si>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</si>
  <si>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</si>
  <si>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</si>
  <si>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</si>
  <si>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</si>
  <si>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</si>
  <si>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</si>
  <si>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</si>
  <si>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</si>
  <si>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</si>
  <si>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</si>
  <si>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</si>
  <si>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</si>
  <si>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</si>
  <si>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</si>
  <si>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</si>
  <si>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</si>
  <si>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</si>
  <si>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</si>
  <si>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</si>
  <si>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</si>
  <si>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</si>
  <si>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</si>
  <si>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</si>
  <si>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</si>
  <si>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</si>
  <si>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</si>
  <si>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</si>
  <si>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</si>
  <si>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</si>
  <si>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</si>
  <si>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</si>
  <si>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</si>
  <si>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</si>
  <si>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</si>
  <si>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</si>
  <si>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</si>
  <si>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</si>
  <si>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</si>
  <si>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</si>
  <si>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</si>
  <si>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</si>
  <si>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</si>
  <si>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</si>
  <si>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</si>
  <si>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</si>
  <si>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</si>
  <si>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</si>
  <si>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</si>
  <si>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</si>
  <si>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</si>
  <si>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</si>
  <si>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</si>
  <si>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</si>
  <si>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</si>
  <si>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</si>
  <si>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</si>
  <si>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</si>
  <si>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</si>
  <si>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</si>
  <si>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</si>
  <si>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</si>
  <si>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</si>
  <si>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</si>
  <si>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</si>
  <si>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</si>
  <si>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</si>
  <si>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</si>
  <si>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</si>
  <si>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</si>
  <si>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</si>
  <si>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</si>
  <si>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</si>
  <si>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</si>
  <si>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</si>
  <si>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</si>
  <si>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</si>
  <si>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</si>
  <si>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</si>
  <si>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</si>
  <si>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</si>
  <si>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</si>
  <si>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</si>
  <si>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</si>
  <si>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</si>
  <si>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</si>
  <si>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</si>
  <si>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</si>
  <si>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</si>
  <si>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</si>
  <si>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</si>
  <si>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</si>
  <si>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</si>
  <si>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</si>
  <si>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</si>
  <si>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</si>
  <si>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</si>
  <si>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</si>
  <si>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</si>
  <si>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</si>
  <si>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</si>
  <si>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</si>
  <si>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</si>
  <si>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</si>
  <si>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</si>
  <si>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</si>
  <si>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</si>
  <si>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</si>
  <si>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</si>
  <si>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</si>
  <si>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</si>
  <si>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</si>
  <si>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</si>
  <si>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</si>
  <si>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</si>
  <si>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</si>
  <si>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</si>
  <si>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</si>
  <si>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</si>
  <si>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</si>
  <si>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</si>
  <si>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</si>
  <si>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</si>
  <si>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</si>
  <si>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</si>
  <si>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</si>
  <si>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</si>
  <si>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</si>
  <si>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</si>
  <si>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</si>
  <si>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</si>
  <si>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</si>
  <si>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</si>
  <si>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</si>
  <si>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</si>
  <si>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</si>
  <si>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</si>
  <si>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</si>
  <si>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</si>
  <si>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</si>
  <si>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</si>
  <si>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</si>
  <si>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</si>
  <si>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</si>
  <si>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</si>
  <si>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</si>
  <si>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</si>
  <si>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</si>
  <si>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</si>
  <si>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</si>
  <si>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</si>
  <si>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</si>
  <si>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</si>
  <si>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</si>
  <si>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</si>
  <si>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</si>
  <si>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</si>
  <si>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</si>
  <si>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</si>
  <si>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</si>
  <si>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</si>
  <si>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</si>
  <si>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</si>
  <si>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</si>
  <si>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</si>
  <si>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</si>
  <si>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</si>
  <si>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</si>
  <si>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</si>
  <si>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</si>
  <si>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</si>
  <si>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</si>
  <si>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</si>
  <si>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</si>
  <si>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</si>
  <si>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</si>
  <si>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</si>
  <si>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</si>
  <si>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</si>
  <si>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</si>
  <si>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</si>
  <si>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</si>
  <si>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</si>
  <si>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</si>
  <si>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</si>
  <si>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</si>
  <si>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</si>
  <si>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</si>
  <si>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</si>
  <si>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</si>
  <si>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</si>
  <si>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</si>
  <si>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</si>
  <si>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</si>
  <si>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</si>
  <si>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</si>
  <si>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</si>
  <si>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</si>
  <si>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</si>
  <si>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</si>
  <si>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</si>
  <si>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</si>
  <si>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</si>
  <si>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</si>
  <si>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</si>
  <si>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</si>
  <si>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</si>
  <si>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</si>
  <si>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</si>
  <si>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</si>
  <si>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</si>
  <si>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</si>
  <si>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</si>
  <si>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</si>
  <si>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</si>
  <si>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</si>
  <si>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</si>
  <si>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</si>
  <si>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</si>
  <si>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</si>
  <si>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</si>
  <si>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</si>
  <si>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</si>
  <si>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</si>
  <si>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</si>
  <si>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</si>
  <si>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</si>
  <si>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</si>
  <si>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</si>
  <si>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</si>
  <si>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</si>
  <si>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</si>
  <si>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</si>
  <si>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</si>
  <si>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</si>
  <si>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</si>
  <si>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</si>
  <si>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</si>
  <si>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</si>
  <si>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</si>
  <si>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</si>
  <si>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</si>
  <si>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</si>
  <si>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</si>
  <si>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</si>
  <si>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</si>
  <si>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</si>
  <si>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</si>
  <si>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</si>
  <si>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</si>
  <si>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</si>
  <si>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</si>
  <si>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</si>
  <si>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</si>
  <si>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</si>
  <si>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</si>
  <si>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</si>
  <si>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</si>
  <si>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</si>
  <si>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</si>
  <si>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</si>
  <si>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</si>
  <si>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</si>
  <si>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</si>
  <si>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</si>
  <si>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</si>
  <si>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</si>
  <si>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</si>
  <si>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</si>
  <si>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</si>
  <si>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</si>
  <si>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</si>
  <si>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</si>
  <si>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</si>
  <si>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</si>
  <si>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</si>
  <si>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</si>
  <si>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</si>
  <si>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</si>
  <si>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</si>
  <si>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</si>
  <si>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</si>
  <si>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</si>
  <si>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</si>
  <si>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</si>
  <si>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</si>
  <si>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</si>
  <si>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</si>
  <si>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</si>
  <si>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</si>
  <si>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</si>
  <si>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</si>
  <si>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</si>
  <si>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</si>
  <si>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</si>
  <si>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</si>
  <si>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</si>
  <si>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</si>
  <si>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</si>
  <si>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</si>
  <si>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</si>
  <si>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</si>
  <si>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</si>
  <si>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</si>
  <si>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</si>
  <si>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</si>
  <si>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</si>
  <si>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</si>
  <si>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</si>
  <si>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</si>
  <si>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</si>
  <si>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</si>
  <si>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</si>
  <si>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</si>
  <si>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</si>
  <si>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</si>
  <si>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</si>
  <si>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</si>
  <si>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</si>
  <si>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</si>
  <si>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</si>
  <si>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</si>
  <si>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</si>
  <si>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</si>
  <si>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</si>
  <si>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</si>
  <si>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</si>
  <si>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</si>
  <si>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</si>
  <si>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</si>
  <si>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</si>
  <si>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</si>
  <si>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</si>
  <si>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</si>
  <si>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</si>
  <si>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</si>
  <si>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</si>
  <si>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</si>
  <si>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</si>
  <si>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</si>
  <si>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</si>
  <si>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</si>
  <si>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</si>
  <si>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</si>
  <si>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</si>
  <si>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</si>
  <si>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</si>
  <si>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</si>
  <si>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</si>
  <si>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</si>
  <si>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</si>
  <si>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</si>
  <si>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</si>
  <si>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</si>
  <si>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</si>
  <si>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</si>
  <si>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</si>
  <si>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</si>
  <si>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</si>
  <si>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</si>
  <si>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</si>
  <si>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</si>
  <si>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</si>
  <si>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</si>
  <si>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</si>
  <si>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</si>
  <si>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</si>
  <si>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</si>
  <si>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</si>
  <si>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</si>
  <si>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</si>
  <si>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</si>
  <si>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</si>
  <si>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</si>
  <si>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</si>
  <si>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</si>
  <si>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</si>
  <si>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</si>
  <si>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</si>
  <si>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</si>
  <si>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</si>
  <si>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</si>
  <si>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</si>
  <si>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</si>
  <si>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</si>
  <si>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</si>
  <si>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</si>
  <si>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</si>
  <si>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</si>
  <si>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</si>
  <si>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</si>
  <si>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</si>
  <si>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</si>
  <si>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</si>
  <si>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</si>
  <si>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</si>
  <si>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</si>
  <si>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</si>
  <si>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</si>
  <si>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</si>
  <si>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</si>
  <si>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</si>
  <si>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</si>
  <si>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</si>
  <si>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</si>
  <si>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</si>
  <si>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</si>
  <si>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</si>
  <si>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</si>
  <si>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</si>
  <si>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</si>
  <si>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</si>
  <si>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</si>
  <si>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</si>
  <si>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</si>
  <si>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</si>
  <si>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</si>
  <si>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</si>
  <si>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</si>
  <si>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</si>
  <si>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</si>
  <si>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</si>
  <si>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</si>
  <si>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</si>
  <si>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</si>
  <si>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</si>
  <si>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</si>
  <si>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</si>
  <si>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</si>
  <si>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</si>
  <si>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</si>
  <si>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</si>
  <si>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</si>
  <si>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</si>
  <si>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</si>
  <si>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</si>
  <si>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</si>
  <si>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</si>
  <si>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</si>
  <si>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</si>
  <si>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</si>
  <si>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</si>
  <si>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</si>
  <si>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</si>
  <si>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</si>
  <si>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</si>
  <si>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</si>
  <si>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</si>
  <si>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</si>
  <si>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</si>
  <si>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</si>
  <si>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</si>
  <si>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</si>
  <si>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</si>
  <si>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</si>
  <si>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</si>
  <si>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</si>
  <si>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</si>
  <si>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</si>
  <si>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</si>
  <si>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</si>
  <si>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</si>
  <si>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</si>
  <si>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</si>
  <si>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</si>
  <si>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</si>
  <si>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</si>
  <si>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</si>
  <si>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</si>
  <si>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</si>
  <si>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</si>
  <si>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</si>
  <si>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</si>
  <si>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</si>
  <si>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</si>
  <si>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</si>
  <si>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</si>
  <si>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</si>
  <si>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</si>
  <si>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</si>
  <si>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</si>
  <si>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</si>
  <si>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</si>
  <si>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</si>
  <si>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</si>
  <si>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</si>
  <si>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</si>
  <si>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</si>
  <si>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</si>
  <si>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</si>
  <si>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</si>
  <si>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</si>
  <si>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</si>
  <si>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</si>
  <si>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</si>
  <si>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</si>
  <si>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</si>
  <si>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</si>
  <si>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</si>
  <si>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</si>
  <si>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</si>
  <si>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</si>
  <si>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</si>
  <si>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</si>
  <si>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</si>
  <si>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</si>
  <si>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</si>
  <si>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</si>
  <si>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</si>
  <si>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</si>
  <si>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</si>
  <si>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</si>
  <si>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</si>
  <si>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</si>
  <si>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</si>
  <si>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</si>
  <si>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</si>
  <si>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</si>
  <si>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</si>
  <si>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</si>
  <si>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</si>
  <si>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</si>
  <si>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</si>
  <si>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</si>
  <si>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</si>
  <si>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</si>
  <si>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</si>
  <si>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</si>
  <si>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</si>
  <si>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</si>
  <si>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</si>
  <si>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</si>
  <si>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</si>
  <si>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</si>
  <si>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</si>
  <si>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</si>
  <si>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</si>
  <si>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</si>
  <si>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</si>
  <si>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</si>
  <si>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</si>
  <si>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</si>
  <si>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</si>
  <si>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</si>
  <si>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</si>
  <si>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</si>
  <si>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</si>
  <si>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</si>
  <si>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</si>
  <si>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</si>
  <si>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</si>
  <si>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</si>
  <si>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</si>
  <si>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</si>
  <si>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</si>
  <si>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</si>
  <si>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</si>
  <si>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</si>
  <si>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</si>
  <si>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</si>
  <si>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</si>
  <si>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</si>
  <si>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</si>
  <si>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</si>
  <si>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</si>
  <si>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</si>
  <si>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</si>
  <si>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</si>
  <si>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</si>
  <si>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</si>
  <si>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</si>
  <si>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</si>
  <si>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</si>
  <si>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</si>
  <si>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</si>
  <si>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</si>
  <si>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</si>
  <si>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</si>
  <si>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</si>
  <si>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</si>
  <si>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</si>
  <si>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</si>
  <si>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</si>
  <si>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</si>
  <si>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</si>
  <si>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</si>
  <si>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</si>
  <si>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</si>
  <si>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</si>
  <si>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</si>
  <si>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</si>
  <si>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</si>
  <si>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</si>
  <si>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</si>
  <si>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</si>
  <si>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</si>
  <si>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</si>
  <si>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</si>
  <si>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</si>
  <si>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</si>
  <si>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</si>
  <si>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</si>
  <si>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</si>
  <si>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</si>
  <si>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</si>
  <si>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</si>
  <si>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</si>
  <si>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</si>
  <si>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</si>
  <si>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</si>
  <si>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</si>
  <si>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</si>
  <si>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</si>
  <si>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</si>
  <si>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</si>
  <si>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</si>
  <si>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</si>
  <si>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</si>
  <si>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</si>
  <si>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</si>
  <si>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</si>
  <si>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</si>
  <si>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</si>
  <si>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</si>
  <si>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</si>
  <si>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</si>
  <si>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</si>
  <si>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</si>
  <si>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</si>
  <si>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</si>
  <si>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</si>
  <si>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</si>
  <si>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</si>
  <si>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</si>
  <si>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</si>
  <si>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</si>
  <si>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</si>
  <si>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</si>
  <si>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</si>
  <si>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</si>
  <si>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</si>
  <si>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</si>
  <si>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</si>
  <si>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</si>
  <si>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</si>
  <si>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</si>
  <si>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</si>
  <si>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</si>
  <si>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</si>
  <si>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</si>
  <si>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</si>
  <si>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</si>
  <si>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</si>
  <si>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</si>
  <si>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</si>
  <si>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</si>
  <si>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</si>
  <si>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</si>
  <si>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</si>
  <si>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</si>
  <si>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</si>
  <si>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</si>
  <si>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</si>
  <si>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</si>
  <si>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</si>
  <si>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</si>
  <si>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</si>
  <si>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</si>
  <si>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</si>
  <si>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</si>
  <si>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</si>
  <si>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</si>
  <si>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</si>
  <si>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</si>
  <si>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</si>
  <si>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</si>
  <si>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</si>
  <si>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</si>
  <si>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</si>
  <si>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</si>
  <si>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</si>
  <si>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</si>
  <si>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</si>
  <si>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</si>
  <si>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</si>
  <si>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</si>
  <si>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</si>
  <si>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</si>
  <si>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</si>
  <si>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</si>
  <si>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</si>
  <si>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</si>
  <si>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</si>
  <si>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</si>
  <si>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</si>
  <si>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</si>
  <si>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</si>
  <si>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</si>
  <si>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</si>
  <si>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</si>
  <si>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</si>
  <si>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</si>
  <si>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</si>
  <si>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</si>
  <si>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</si>
  <si>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</si>
  <si>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</si>
  <si>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</si>
  <si>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</si>
  <si>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</si>
  <si>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</si>
  <si>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</si>
  <si>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</si>
  <si>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</si>
  <si>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</si>
  <si>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</si>
  <si>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</si>
  <si>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</si>
  <si>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</si>
  <si>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</si>
  <si>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</si>
  <si>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</si>
  <si>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</si>
  <si>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</si>
  <si>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</si>
  <si>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</si>
  <si>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</si>
  <si>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</si>
  <si>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</si>
  <si>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</si>
  <si>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</si>
  <si>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</si>
  <si>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</si>
  <si>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</si>
  <si>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</si>
  <si>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</si>
  <si>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</si>
  <si>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</si>
  <si>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</si>
  <si>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</si>
  <si>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</si>
  <si>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</si>
  <si>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</si>
  <si>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</si>
  <si>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</si>
  <si>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</si>
  <si>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</si>
  <si>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</si>
  <si>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</si>
  <si>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</si>
  <si>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</si>
  <si>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</si>
  <si>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</si>
  <si>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</si>
  <si>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</si>
  <si>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</si>
  <si>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</si>
  <si>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</si>
  <si>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</si>
  <si>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</si>
  <si>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</si>
  <si>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</si>
  <si>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</si>
  <si>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</si>
  <si>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</si>
  <si>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</si>
  <si>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</si>
  <si>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</si>
  <si>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</si>
  <si>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</si>
  <si>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</si>
  <si>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</si>
  <si>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</si>
  <si>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</si>
  <si>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</si>
  <si>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</si>
  <si>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</si>
  <si>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</si>
  <si>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</si>
  <si>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</si>
  <si>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</si>
  <si>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</si>
  <si>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</si>
  <si>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</si>
  <si>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</si>
  <si>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</si>
  <si>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</si>
  <si>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</si>
  <si>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</si>
  <si>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</si>
  <si>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</si>
  <si>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</si>
  <si>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</si>
  <si>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</si>
  <si>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</si>
  <si>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</si>
  <si>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</si>
  <si>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</si>
  <si>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</si>
  <si>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</si>
  <si>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</si>
  <si>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</si>
  <si>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</si>
  <si>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</si>
  <si>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</si>
  <si>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</si>
  <si>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</si>
  <si>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</si>
  <si>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</si>
  <si>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</si>
  <si>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</si>
  <si>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</si>
  <si>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</si>
  <si>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</si>
  <si>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</si>
  <si>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</si>
  <si>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</si>
  <si>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</si>
  <si>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</si>
  <si>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</si>
  <si>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</si>
  <si>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</si>
  <si>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</si>
  <si>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</si>
  <si>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</si>
  <si>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</si>
  <si>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</si>
  <si>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</si>
  <si>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</si>
  <si>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</si>
  <si>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</si>
  <si>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</si>
  <si>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</si>
  <si>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</si>
  <si>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</si>
  <si>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</si>
  <si>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</si>
  <si>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</si>
  <si>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</si>
  <si>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</si>
  <si>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</si>
  <si>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</si>
  <si>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</si>
  <si>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</si>
  <si>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</si>
  <si>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</si>
  <si>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</si>
  <si>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</si>
  <si>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</si>
  <si>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</si>
  <si>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</si>
  <si>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</si>
  <si>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</si>
  <si>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</si>
  <si>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</si>
  <si>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</si>
  <si>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</si>
  <si>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</si>
  <si>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</si>
  <si>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</si>
  <si>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</si>
  <si>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</si>
  <si>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</si>
  <si>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</si>
  <si>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</si>
  <si>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</si>
  <si>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</si>
  <si>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</si>
  <si>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</si>
  <si>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</si>
  <si>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</si>
  <si>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</si>
  <si>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</si>
  <si>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</si>
  <si>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</si>
  <si>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</si>
  <si>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</si>
  <si>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</si>
  <si>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</si>
  <si>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</si>
  <si>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</si>
  <si>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</si>
  <si>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</si>
  <si>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</si>
  <si>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</si>
  <si>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</si>
  <si>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</si>
  <si>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</si>
  <si>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</si>
  <si>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</si>
  <si>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</si>
  <si>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</si>
  <si>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</si>
  <si>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</si>
  <si>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</si>
  <si>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</si>
  <si>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</si>
  <si>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</si>
  <si>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</si>
  <si>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</si>
  <si>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</si>
  <si>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</si>
  <si>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</si>
  <si>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</si>
  <si>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</si>
  <si>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</si>
  <si>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</si>
  <si>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</si>
  <si>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</si>
  <si>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</si>
  <si>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</si>
  <si>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</si>
  <si>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</si>
  <si>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</si>
  <si>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</si>
  <si>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</si>
  <si>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</si>
  <si>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</si>
  <si>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</si>
  <si>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KOORDINAT : -6.897822, 110.525191</t>
  </si>
  <si>
    <t xml:space="preserve">KOORDINAT : </t>
  </si>
  <si>
    <t>B2</t>
  </si>
  <si>
    <t>PENANAMAN TIANG BETON</t>
  </si>
  <si>
    <t>II</t>
  </si>
  <si>
    <t>KONSTRUKSI JTM 3 PHASE</t>
  </si>
  <si>
    <t>III</t>
  </si>
  <si>
    <t>IV</t>
  </si>
  <si>
    <t>PEMASANGAN TRAFO</t>
  </si>
  <si>
    <t>PEKERJAAN LAIN-LAIN</t>
  </si>
  <si>
    <t>CM2-11</t>
  </si>
  <si>
    <t xml:space="preserve">Jumper Wire : </t>
  </si>
  <si>
    <t xml:space="preserve">SYG 06 </t>
  </si>
  <si>
    <t>Pemasangan APP Di Tiang</t>
  </si>
  <si>
    <t>KI JATENGLAND DS BATU, KARANGTENGAH</t>
  </si>
  <si>
    <t xml:space="preserve">Pemasangan APP </t>
  </si>
  <si>
    <t>SYG 06/51/16</t>
  </si>
  <si>
    <t>POMPA AIR JATENG LAND</t>
  </si>
  <si>
    <t>ATTB</t>
  </si>
  <si>
    <t>Daya 41.500 VA</t>
  </si>
  <si>
    <t>Upah Bongkar Trafo 3ph (50/100/160/200 kVA) - hanya pasang trafo tanpa set konstruksi</t>
  </si>
  <si>
    <t>Upah Pasang Trafo 3ph (50/100/160/200 kVA) - hanya pasang trafo tanpa set konstruksi</t>
  </si>
  <si>
    <t>Trafo 3 Fasa 100 KVA 1 Tiang (G313)</t>
  </si>
  <si>
    <t>Demak, 28 Agustus 2023</t>
  </si>
  <si>
    <t>Manager ULP</t>
  </si>
  <si>
    <t>ACHMAD SUHENDRO</t>
  </si>
  <si>
    <t>Staff Teknik</t>
  </si>
  <si>
    <t>TL Teknik</t>
  </si>
  <si>
    <t>Mbag. Perencanaan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</si>
</sst>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41" fontId="21" fillId="0" borderId="0" applyFont="0" applyFill="0" applyBorder="0" applyAlignment="0" applyProtection="0"/>
    <xf numFmtId="0" fontId="4" fillId="0" borderId="0"/>
    <xf numFmtId="43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43" fontId="21" fillId="0" borderId="0" applyFont="0" applyFill="0" applyBorder="0" applyAlignment="0" applyProtection="0"/>
  </cellStyleXfs>
  <cellXfs count="715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5" fillId="0" borderId="21" xfId="1652" applyFont="1" applyBorder="1" applyAlignment="1">
      <alignment horizontal="center" vertical="center"/>
    </xf>
    <xf numFmtId="0" fontId="128" fillId="0" borderId="21" xfId="1652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0" fontId="114" fillId="0" borderId="20" xfId="1652" applyFont="1" applyBorder="1" applyAlignment="1">
      <alignment horizontal="center" vertical="center"/>
    </xf>
    <xf numFmtId="0" fontId="44" fillId="0" borderId="21" xfId="0" applyFont="1" applyBorder="1" applyAlignment="1">
      <alignment horizontal="left" vertical="center" wrapText="1"/>
    </xf>
    <xf numFmtId="3" fontId="10" fillId="0" borderId="21" xfId="1599" applyNumberFormat="1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1" fillId="0" borderId="21" xfId="1451" applyBorder="1" applyAlignment="1">
      <alignment horizontal="left" wrapText="1"/>
    </xf>
    <xf numFmtId="0" fontId="21" fillId="0" borderId="21" xfId="1451" applyBorder="1" applyAlignment="1">
      <alignment horizontal="center" wrapText="1"/>
    </xf>
    <xf numFmtId="0" fontId="21" fillId="0" borderId="21" xfId="1451" applyBorder="1" applyAlignment="1">
      <alignment horizontal="center" vertical="center" wrapText="1"/>
    </xf>
    <xf numFmtId="3" fontId="114" fillId="0" borderId="21" xfId="1451" applyNumberFormat="1" applyFont="1" applyBorder="1" applyAlignment="1">
      <alignment horizontal="center" vertical="center" wrapText="1"/>
    </xf>
    <xf numFmtId="0" fontId="21" fillId="0" borderId="21" xfId="1451" applyBorder="1" applyAlignment="1">
      <alignment horizontal="left" vertical="center" wrapText="1"/>
    </xf>
    <xf numFmtId="0" fontId="1" fillId="0" borderId="21" xfId="1652" applyFont="1" applyBorder="1" applyAlignment="1">
      <alignment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75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92" fillId="33" borderId="61" xfId="0" applyFont="1" applyFill="1" applyBorder="1" applyAlignment="1">
      <alignment horizontal="left" vertical="center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115" fillId="33" borderId="64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0.41499999999999992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0.96094178803921293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7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7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306169</xdr:colOff>
      <xdr:row>17</xdr:row>
      <xdr:rowOff>142875</xdr:rowOff>
    </xdr:from>
    <xdr:to>
      <xdr:col>17</xdr:col>
      <xdr:colOff>190500</xdr:colOff>
      <xdr:row>22</xdr:row>
      <xdr:rowOff>145918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99E21847-5A9B-40D1-9883-011B1BFA7A80}"/>
            </a:ext>
          </a:extLst>
        </xdr:cNvPr>
        <xdr:cNvCxnSpPr/>
      </xdr:nvCxnSpPr>
      <xdr:spPr>
        <a:xfrm flipH="1">
          <a:off x="5182969" y="2762250"/>
          <a:ext cx="1027331" cy="76504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20</xdr:row>
      <xdr:rowOff>135689</xdr:rowOff>
    </xdr:from>
    <xdr:to>
      <xdr:col>14</xdr:col>
      <xdr:colOff>168132</xdr:colOff>
      <xdr:row>21</xdr:row>
      <xdr:rowOff>10886</xdr:rowOff>
    </xdr:to>
    <xdr:cxnSp macro="">
      <xdr:nvCxnSpPr>
        <xdr:cNvPr id="342" name="Straight Connector 341">
          <a:extLst>
            <a:ext uri="{FF2B5EF4-FFF2-40B4-BE49-F238E27FC236}">
              <a16:creationId xmlns:a16="http://schemas.microsoft.com/office/drawing/2014/main" id="{2F6119CE-0368-49A4-A01C-E2816964E52C}"/>
            </a:ext>
          </a:extLst>
        </xdr:cNvPr>
        <xdr:cNvCxnSpPr>
          <a:cxnSpLocks/>
          <a:stCxn id="242" idx="7"/>
        </xdr:cNvCxnSpPr>
      </xdr:nvCxnSpPr>
      <xdr:spPr>
        <a:xfrm flipH="1">
          <a:off x="1300843" y="3216346"/>
          <a:ext cx="3749532" cy="27597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81863" y="815588"/>
          <a:ext cx="1486253" cy="1826738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333375</xdr:colOff>
      <xdr:row>23</xdr:row>
      <xdr:rowOff>0</xdr:rowOff>
    </xdr:from>
    <xdr:to>
      <xdr:col>15</xdr:col>
      <xdr:colOff>17935</xdr:colOff>
      <xdr:row>23</xdr:row>
      <xdr:rowOff>22093</xdr:rowOff>
    </xdr:to>
    <xdr:cxnSp macro="">
      <xdr:nvCxnSpPr>
        <xdr:cNvPr id="176" name="Straight Connector 175">
          <a:extLst>
            <a:ext uri="{FF2B5EF4-FFF2-40B4-BE49-F238E27FC236}">
              <a16:creationId xmlns:a16="http://schemas.microsoft.com/office/drawing/2014/main" id="{771820D9-F37A-4D36-B165-C3092F8564C9}"/>
            </a:ext>
          </a:extLst>
        </xdr:cNvPr>
        <xdr:cNvCxnSpPr/>
      </xdr:nvCxnSpPr>
      <xdr:spPr>
        <a:xfrm flipH="1" flipV="1">
          <a:off x="1400175" y="3533775"/>
          <a:ext cx="3875560" cy="2209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212830</xdr:colOff>
      <xdr:row>20</xdr:row>
      <xdr:rowOff>121484</xdr:rowOff>
    </xdr:from>
    <xdr:to>
      <xdr:col>7</xdr:col>
      <xdr:colOff>351339</xdr:colOff>
      <xdr:row>21</xdr:row>
      <xdr:rowOff>111838</xdr:rowOff>
    </xdr:to>
    <xdr:grpSp>
      <xdr:nvGrpSpPr>
        <xdr:cNvPr id="228" name="Group 227">
          <a:extLst>
            <a:ext uri="{FF2B5EF4-FFF2-40B4-BE49-F238E27FC236}">
              <a16:creationId xmlns:a16="http://schemas.microsoft.com/office/drawing/2014/main" id="{307111FA-B4B7-4668-BBB1-44D12F297EDE}"/>
            </a:ext>
          </a:extLst>
        </xdr:cNvPr>
        <xdr:cNvGrpSpPr/>
      </xdr:nvGrpSpPr>
      <xdr:grpSpPr>
        <a:xfrm rot="16200000">
          <a:off x="2422706" y="3223627"/>
          <a:ext cx="144220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9" name="Oval 228">
            <a:extLst>
              <a:ext uri="{FF2B5EF4-FFF2-40B4-BE49-F238E27FC236}">
                <a16:creationId xmlns:a16="http://schemas.microsoft.com/office/drawing/2014/main" id="{F9ED4C87-6150-4945-8C87-49F2B55B1BE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3D184994-7E1B-4427-95C9-9239EFC28509}"/>
              </a:ext>
            </a:extLst>
          </xdr:cNvPr>
          <xdr:cNvCxnSpPr>
            <a:stCxn id="229" idx="1"/>
            <a:endCxn id="22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230">
            <a:extLst>
              <a:ext uri="{FF2B5EF4-FFF2-40B4-BE49-F238E27FC236}">
                <a16:creationId xmlns:a16="http://schemas.microsoft.com/office/drawing/2014/main" id="{F934655D-489F-4898-86F2-9CFC30D32164}"/>
              </a:ext>
            </a:extLst>
          </xdr:cNvPr>
          <xdr:cNvCxnSpPr>
            <a:stCxn id="229" idx="3"/>
            <a:endCxn id="22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296664</xdr:colOff>
      <xdr:row>22</xdr:row>
      <xdr:rowOff>96629</xdr:rowOff>
    </xdr:from>
    <xdr:to>
      <xdr:col>14</xdr:col>
      <xdr:colOff>323850</xdr:colOff>
      <xdr:row>44</xdr:row>
      <xdr:rowOff>0</xdr:rowOff>
    </xdr:to>
    <xdr:cxnSp macro="">
      <xdr:nvCxnSpPr>
        <xdr:cNvPr id="232" name="Straight Connector 231">
          <a:extLst>
            <a:ext uri="{FF2B5EF4-FFF2-40B4-BE49-F238E27FC236}">
              <a16:creationId xmlns:a16="http://schemas.microsoft.com/office/drawing/2014/main" id="{0E05B20C-3601-4CF5-82A9-E546934C3436}"/>
            </a:ext>
          </a:extLst>
        </xdr:cNvPr>
        <xdr:cNvCxnSpPr/>
      </xdr:nvCxnSpPr>
      <xdr:spPr>
        <a:xfrm>
          <a:off x="5173464" y="3478004"/>
          <a:ext cx="27186" cy="3265696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147848</xdr:colOff>
      <xdr:row>20</xdr:row>
      <xdr:rowOff>115440</xdr:rowOff>
    </xdr:from>
    <xdr:to>
      <xdr:col>14</xdr:col>
      <xdr:colOff>286357</xdr:colOff>
      <xdr:row>21</xdr:row>
      <xdr:rowOff>101311</xdr:rowOff>
    </xdr:to>
    <xdr:grpSp>
      <xdr:nvGrpSpPr>
        <xdr:cNvPr id="241" name="Group 240">
          <a:extLst>
            <a:ext uri="{FF2B5EF4-FFF2-40B4-BE49-F238E27FC236}">
              <a16:creationId xmlns:a16="http://schemas.microsoft.com/office/drawing/2014/main" id="{3B1435CD-D09B-45FA-9D8A-77546CC5E06B}"/>
            </a:ext>
          </a:extLst>
        </xdr:cNvPr>
        <xdr:cNvGrpSpPr/>
      </xdr:nvGrpSpPr>
      <xdr:grpSpPr>
        <a:xfrm rot="16200000">
          <a:off x="5026965" y="3215342"/>
          <a:ext cx="139737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2" name="Oval 241">
            <a:extLst>
              <a:ext uri="{FF2B5EF4-FFF2-40B4-BE49-F238E27FC236}">
                <a16:creationId xmlns:a16="http://schemas.microsoft.com/office/drawing/2014/main" id="{8D0DCC4B-9B3D-4777-85C9-E3535E5013D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3" name="Straight Connector 242">
            <a:extLst>
              <a:ext uri="{FF2B5EF4-FFF2-40B4-BE49-F238E27FC236}">
                <a16:creationId xmlns:a16="http://schemas.microsoft.com/office/drawing/2014/main" id="{E63367DC-3C5D-4857-85FC-A3ACE62489A9}"/>
              </a:ext>
            </a:extLst>
          </xdr:cNvPr>
          <xdr:cNvCxnSpPr>
            <a:stCxn id="242" idx="1"/>
            <a:endCxn id="24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CC9FC11C-C5FE-48D7-A19B-FA22E5CDE9DB}"/>
              </a:ext>
            </a:extLst>
          </xdr:cNvPr>
          <xdr:cNvCxnSpPr>
            <a:stCxn id="242" idx="3"/>
            <a:endCxn id="24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132085</xdr:colOff>
      <xdr:row>24</xdr:row>
      <xdr:rowOff>42554</xdr:rowOff>
    </xdr:from>
    <xdr:to>
      <xdr:col>15</xdr:col>
      <xdr:colOff>270594</xdr:colOff>
      <xdr:row>25</xdr:row>
      <xdr:rowOff>24998</xdr:rowOff>
    </xdr:to>
    <xdr:grpSp>
      <xdr:nvGrpSpPr>
        <xdr:cNvPr id="245" name="Group 244">
          <a:extLst>
            <a:ext uri="{FF2B5EF4-FFF2-40B4-BE49-F238E27FC236}">
              <a16:creationId xmlns:a16="http://schemas.microsoft.com/office/drawing/2014/main" id="{247CFC3A-DACB-41EA-8A50-72D3C8AD7DD3}"/>
            </a:ext>
          </a:extLst>
        </xdr:cNvPr>
        <xdr:cNvGrpSpPr/>
      </xdr:nvGrpSpPr>
      <xdr:grpSpPr>
        <a:xfrm rot="16200000">
          <a:off x="5393916" y="3756204"/>
          <a:ext cx="136309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6" name="Oval 245">
            <a:extLst>
              <a:ext uri="{FF2B5EF4-FFF2-40B4-BE49-F238E27FC236}">
                <a16:creationId xmlns:a16="http://schemas.microsoft.com/office/drawing/2014/main" id="{3A710EC4-FCF7-45AE-8EF1-AF0A808EE52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E0414630-0EF6-4CDA-97A7-00007C42CBAD}"/>
              </a:ext>
            </a:extLst>
          </xdr:cNvPr>
          <xdr:cNvCxnSpPr>
            <a:stCxn id="246" idx="1"/>
            <a:endCxn id="24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78117EB0-60D5-40C5-A4BB-0C4368780D47}"/>
              </a:ext>
            </a:extLst>
          </xdr:cNvPr>
          <xdr:cNvCxnSpPr>
            <a:stCxn id="246" idx="3"/>
            <a:endCxn id="24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120596</xdr:colOff>
      <xdr:row>29</xdr:row>
      <xdr:rowOff>42439</xdr:rowOff>
    </xdr:from>
    <xdr:to>
      <xdr:col>15</xdr:col>
      <xdr:colOff>259105</xdr:colOff>
      <xdr:row>30</xdr:row>
      <xdr:rowOff>34408</xdr:rowOff>
    </xdr:to>
    <xdr:grpSp>
      <xdr:nvGrpSpPr>
        <xdr:cNvPr id="249" name="Group 248">
          <a:extLst>
            <a:ext uri="{FF2B5EF4-FFF2-40B4-BE49-F238E27FC236}">
              <a16:creationId xmlns:a16="http://schemas.microsoft.com/office/drawing/2014/main" id="{E147CAA8-E30C-40D6-92C7-5EE43398A851}"/>
            </a:ext>
          </a:extLst>
        </xdr:cNvPr>
        <xdr:cNvGrpSpPr/>
      </xdr:nvGrpSpPr>
      <xdr:grpSpPr>
        <a:xfrm rot="16200000">
          <a:off x="5381328" y="4526515"/>
          <a:ext cx="138507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50" name="Oval 249">
            <a:extLst>
              <a:ext uri="{FF2B5EF4-FFF2-40B4-BE49-F238E27FC236}">
                <a16:creationId xmlns:a16="http://schemas.microsoft.com/office/drawing/2014/main" id="{A0CDC286-0B38-40F2-93A6-9FD0047E92D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E706ACE2-0EFA-4EC1-9E57-C09FD2714C5B}"/>
              </a:ext>
            </a:extLst>
          </xdr:cNvPr>
          <xdr:cNvCxnSpPr>
            <a:stCxn id="250" idx="1"/>
            <a:endCxn id="25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5E833B97-1383-4ED5-BE0B-47D258B70035}"/>
              </a:ext>
            </a:extLst>
          </xdr:cNvPr>
          <xdr:cNvCxnSpPr>
            <a:stCxn id="250" idx="3"/>
            <a:endCxn id="25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138023</xdr:colOff>
      <xdr:row>33</xdr:row>
      <xdr:rowOff>147746</xdr:rowOff>
    </xdr:from>
    <xdr:to>
      <xdr:col>15</xdr:col>
      <xdr:colOff>276532</xdr:colOff>
      <xdr:row>34</xdr:row>
      <xdr:rowOff>133617</xdr:rowOff>
    </xdr:to>
    <xdr:grpSp>
      <xdr:nvGrpSpPr>
        <xdr:cNvPr id="253" name="Group 252">
          <a:extLst>
            <a:ext uri="{FF2B5EF4-FFF2-40B4-BE49-F238E27FC236}">
              <a16:creationId xmlns:a16="http://schemas.microsoft.com/office/drawing/2014/main" id="{A640CF0D-FD6B-4060-B3E6-0403286D46E9}"/>
            </a:ext>
          </a:extLst>
        </xdr:cNvPr>
        <xdr:cNvGrpSpPr/>
      </xdr:nvGrpSpPr>
      <xdr:grpSpPr>
        <a:xfrm rot="16200000">
          <a:off x="5398141" y="5240571"/>
          <a:ext cx="139736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54" name="Oval 253">
            <a:extLst>
              <a:ext uri="{FF2B5EF4-FFF2-40B4-BE49-F238E27FC236}">
                <a16:creationId xmlns:a16="http://schemas.microsoft.com/office/drawing/2014/main" id="{58CCC56A-F4E2-46CC-A592-A52C60E03B1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E1CF55F1-A8C2-429E-9445-0B15FB617E2B}"/>
              </a:ext>
            </a:extLst>
          </xdr:cNvPr>
          <xdr:cNvCxnSpPr>
            <a:stCxn id="254" idx="1"/>
            <a:endCxn id="25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6E866C33-311F-4FBE-9102-EBAF8C02D0EA}"/>
              </a:ext>
            </a:extLst>
          </xdr:cNvPr>
          <xdr:cNvCxnSpPr>
            <a:stCxn id="254" idx="3"/>
            <a:endCxn id="25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129455</xdr:colOff>
      <xdr:row>39</xdr:row>
      <xdr:rowOff>67645</xdr:rowOff>
    </xdr:from>
    <xdr:to>
      <xdr:col>15</xdr:col>
      <xdr:colOff>267964</xdr:colOff>
      <xdr:row>40</xdr:row>
      <xdr:rowOff>53516</xdr:rowOff>
    </xdr:to>
    <xdr:grpSp>
      <xdr:nvGrpSpPr>
        <xdr:cNvPr id="257" name="Group 256">
          <a:extLst>
            <a:ext uri="{FF2B5EF4-FFF2-40B4-BE49-F238E27FC236}">
              <a16:creationId xmlns:a16="http://schemas.microsoft.com/office/drawing/2014/main" id="{50F5D7BA-709C-4FB2-91A1-6DB968832B43}"/>
            </a:ext>
          </a:extLst>
        </xdr:cNvPr>
        <xdr:cNvGrpSpPr/>
      </xdr:nvGrpSpPr>
      <xdr:grpSpPr>
        <a:xfrm rot="16200000">
          <a:off x="5389573" y="6098316"/>
          <a:ext cx="139736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58" name="Oval 257">
            <a:extLst>
              <a:ext uri="{FF2B5EF4-FFF2-40B4-BE49-F238E27FC236}">
                <a16:creationId xmlns:a16="http://schemas.microsoft.com/office/drawing/2014/main" id="{0719CE88-11C8-4AD5-A159-37A948E0495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2AF9957A-9758-498A-89DA-CF6AD9E91F08}"/>
              </a:ext>
            </a:extLst>
          </xdr:cNvPr>
          <xdr:cNvCxnSpPr>
            <a:stCxn id="258" idx="1"/>
            <a:endCxn id="25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259">
            <a:extLst>
              <a:ext uri="{FF2B5EF4-FFF2-40B4-BE49-F238E27FC236}">
                <a16:creationId xmlns:a16="http://schemas.microsoft.com/office/drawing/2014/main" id="{EF13624B-D1EB-47B7-BB79-63F592656A14}"/>
              </a:ext>
            </a:extLst>
          </xdr:cNvPr>
          <xdr:cNvCxnSpPr>
            <a:stCxn id="258" idx="3"/>
            <a:endCxn id="25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219656</xdr:colOff>
      <xdr:row>20</xdr:row>
      <xdr:rowOff>139719</xdr:rowOff>
    </xdr:from>
    <xdr:to>
      <xdr:col>9</xdr:col>
      <xdr:colOff>358165</xdr:colOff>
      <xdr:row>21</xdr:row>
      <xdr:rowOff>116935</xdr:rowOff>
    </xdr:to>
    <xdr:grpSp>
      <xdr:nvGrpSpPr>
        <xdr:cNvPr id="329" name="Group 328">
          <a:extLst>
            <a:ext uri="{FF2B5EF4-FFF2-40B4-BE49-F238E27FC236}">
              <a16:creationId xmlns:a16="http://schemas.microsoft.com/office/drawing/2014/main" id="{DCE3F28A-9145-4524-8FDF-AA73D1D309AF}"/>
            </a:ext>
          </a:extLst>
        </xdr:cNvPr>
        <xdr:cNvGrpSpPr/>
      </xdr:nvGrpSpPr>
      <xdr:grpSpPr>
        <a:xfrm rot="16200000">
          <a:off x="3198101" y="3235293"/>
          <a:ext cx="131082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30" name="Oval 329">
            <a:extLst>
              <a:ext uri="{FF2B5EF4-FFF2-40B4-BE49-F238E27FC236}">
                <a16:creationId xmlns:a16="http://schemas.microsoft.com/office/drawing/2014/main" id="{FD49B777-3AA8-4356-A276-86BD40F6587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31" name="Straight Connector 330">
            <a:extLst>
              <a:ext uri="{FF2B5EF4-FFF2-40B4-BE49-F238E27FC236}">
                <a16:creationId xmlns:a16="http://schemas.microsoft.com/office/drawing/2014/main" id="{A47F473F-0DF0-4ABA-B870-6D51AB09A719}"/>
              </a:ext>
            </a:extLst>
          </xdr:cNvPr>
          <xdr:cNvCxnSpPr>
            <a:stCxn id="330" idx="1"/>
            <a:endCxn id="33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2" name="Straight Connector 331">
            <a:extLst>
              <a:ext uri="{FF2B5EF4-FFF2-40B4-BE49-F238E27FC236}">
                <a16:creationId xmlns:a16="http://schemas.microsoft.com/office/drawing/2014/main" id="{25F09283-F92E-4360-B723-8640CEF8937F}"/>
              </a:ext>
            </a:extLst>
          </xdr:cNvPr>
          <xdr:cNvCxnSpPr>
            <a:stCxn id="330" idx="3"/>
            <a:endCxn id="33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319067</xdr:colOff>
      <xdr:row>20</xdr:row>
      <xdr:rowOff>127912</xdr:rowOff>
    </xdr:from>
    <xdr:to>
      <xdr:col>12</xdr:col>
      <xdr:colOff>76576</xdr:colOff>
      <xdr:row>21</xdr:row>
      <xdr:rowOff>105128</xdr:rowOff>
    </xdr:to>
    <xdr:grpSp>
      <xdr:nvGrpSpPr>
        <xdr:cNvPr id="333" name="Group 332">
          <a:extLst>
            <a:ext uri="{FF2B5EF4-FFF2-40B4-BE49-F238E27FC236}">
              <a16:creationId xmlns:a16="http://schemas.microsoft.com/office/drawing/2014/main" id="{FF75F227-B23F-4706-B21D-39F95663DC79}"/>
            </a:ext>
          </a:extLst>
        </xdr:cNvPr>
        <xdr:cNvGrpSpPr/>
      </xdr:nvGrpSpPr>
      <xdr:grpSpPr>
        <a:xfrm rot="16200000">
          <a:off x="4059512" y="3223486"/>
          <a:ext cx="131082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34" name="Oval 333">
            <a:extLst>
              <a:ext uri="{FF2B5EF4-FFF2-40B4-BE49-F238E27FC236}">
                <a16:creationId xmlns:a16="http://schemas.microsoft.com/office/drawing/2014/main" id="{F3E8012B-A12E-4B86-862B-2FAB36DD0E7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35" name="Straight Connector 334">
            <a:extLst>
              <a:ext uri="{FF2B5EF4-FFF2-40B4-BE49-F238E27FC236}">
                <a16:creationId xmlns:a16="http://schemas.microsoft.com/office/drawing/2014/main" id="{456BC656-F9F8-4807-A88E-CE7BBBA7B87E}"/>
              </a:ext>
            </a:extLst>
          </xdr:cNvPr>
          <xdr:cNvCxnSpPr>
            <a:stCxn id="334" idx="1"/>
            <a:endCxn id="33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6" name="Straight Connector 335">
            <a:extLst>
              <a:ext uri="{FF2B5EF4-FFF2-40B4-BE49-F238E27FC236}">
                <a16:creationId xmlns:a16="http://schemas.microsoft.com/office/drawing/2014/main" id="{C2450C14-9AA6-45C6-A7B4-366E7E750F67}"/>
              </a:ext>
            </a:extLst>
          </xdr:cNvPr>
          <xdr:cNvCxnSpPr>
            <a:stCxn id="334" idx="3"/>
            <a:endCxn id="33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276226</xdr:colOff>
      <xdr:row>24</xdr:row>
      <xdr:rowOff>66507</xdr:rowOff>
    </xdr:from>
    <xdr:to>
      <xdr:col>14</xdr:col>
      <xdr:colOff>94016</xdr:colOff>
      <xdr:row>40</xdr:row>
      <xdr:rowOff>114299</xdr:rowOff>
    </xdr:to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968A1240-1383-4BE5-B622-36D274E18FBC}"/>
            </a:ext>
          </a:extLst>
        </xdr:cNvPr>
        <xdr:cNvSpPr txBox="1"/>
      </xdr:nvSpPr>
      <xdr:spPr>
        <a:xfrm>
          <a:off x="3629026" y="3752682"/>
          <a:ext cx="1341790" cy="249571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9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107731</xdr:colOff>
      <xdr:row>40</xdr:row>
      <xdr:rowOff>33459</xdr:rowOff>
    </xdr:from>
    <xdr:to>
      <xdr:col>15</xdr:col>
      <xdr:colOff>149740</xdr:colOff>
      <xdr:row>40</xdr:row>
      <xdr:rowOff>53208</xdr:rowOff>
    </xdr:to>
    <xdr:cxnSp macro="">
      <xdr:nvCxnSpPr>
        <xdr:cNvPr id="339" name="Straight Connector 338">
          <a:extLst>
            <a:ext uri="{FF2B5EF4-FFF2-40B4-BE49-F238E27FC236}">
              <a16:creationId xmlns:a16="http://schemas.microsoft.com/office/drawing/2014/main" id="{B9484B22-7235-450E-8973-F03B4B09B0B0}"/>
            </a:ext>
          </a:extLst>
        </xdr:cNvPr>
        <xdr:cNvCxnSpPr>
          <a:cxnSpLocks/>
          <a:stCxn id="258" idx="1"/>
        </xdr:cNvCxnSpPr>
      </xdr:nvCxnSpPr>
      <xdr:spPr>
        <a:xfrm flipH="1">
          <a:off x="4984531" y="6167559"/>
          <a:ext cx="423009" cy="19749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219807</xdr:colOff>
      <xdr:row>21</xdr:row>
      <xdr:rowOff>80847</xdr:rowOff>
    </xdr:from>
    <xdr:to>
      <xdr:col>14</xdr:col>
      <xdr:colOff>168132</xdr:colOff>
      <xdr:row>21</xdr:row>
      <xdr:rowOff>117231</xdr:rowOff>
    </xdr:to>
    <xdr:cxnSp macro="">
      <xdr:nvCxnSpPr>
        <xdr:cNvPr id="340" name="Straight Connector 339">
          <a:extLst>
            <a:ext uri="{FF2B5EF4-FFF2-40B4-BE49-F238E27FC236}">
              <a16:creationId xmlns:a16="http://schemas.microsoft.com/office/drawing/2014/main" id="{EB8481B3-0388-4D0E-A892-F5684B090C42}"/>
            </a:ext>
          </a:extLst>
        </xdr:cNvPr>
        <xdr:cNvCxnSpPr>
          <a:cxnSpLocks/>
          <a:endCxn id="242" idx="1"/>
        </xdr:cNvCxnSpPr>
      </xdr:nvCxnSpPr>
      <xdr:spPr>
        <a:xfrm flipV="1">
          <a:off x="1289538" y="3334001"/>
          <a:ext cx="3758325" cy="36384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250311</xdr:colOff>
      <xdr:row>25</xdr:row>
      <xdr:rowOff>5251</xdr:rowOff>
    </xdr:from>
    <xdr:to>
      <xdr:col>15</xdr:col>
      <xdr:colOff>276225</xdr:colOff>
      <xdr:row>44</xdr:row>
      <xdr:rowOff>47625</xdr:rowOff>
    </xdr:to>
    <xdr:cxnSp macro="">
      <xdr:nvCxnSpPr>
        <xdr:cNvPr id="341" name="Straight Connector 340">
          <a:extLst>
            <a:ext uri="{FF2B5EF4-FFF2-40B4-BE49-F238E27FC236}">
              <a16:creationId xmlns:a16="http://schemas.microsoft.com/office/drawing/2014/main" id="{0593639D-8F2D-4140-A986-79E169B91165}"/>
            </a:ext>
          </a:extLst>
        </xdr:cNvPr>
        <xdr:cNvCxnSpPr>
          <a:cxnSpLocks/>
          <a:endCxn id="246" idx="3"/>
        </xdr:cNvCxnSpPr>
      </xdr:nvCxnSpPr>
      <xdr:spPr>
        <a:xfrm flipH="1" flipV="1">
          <a:off x="5508111" y="3843826"/>
          <a:ext cx="25914" cy="2947499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286357</xdr:colOff>
      <xdr:row>21</xdr:row>
      <xdr:rowOff>32175</xdr:rowOff>
    </xdr:from>
    <xdr:to>
      <xdr:col>15</xdr:col>
      <xdr:colOff>201341</xdr:colOff>
      <xdr:row>24</xdr:row>
      <xdr:rowOff>42554</xdr:rowOff>
    </xdr:to>
    <xdr:cxnSp macro="">
      <xdr:nvCxnSpPr>
        <xdr:cNvPr id="343" name="Straight Connector 342">
          <a:extLst>
            <a:ext uri="{FF2B5EF4-FFF2-40B4-BE49-F238E27FC236}">
              <a16:creationId xmlns:a16="http://schemas.microsoft.com/office/drawing/2014/main" id="{0964AF84-91A3-4ED2-B657-7BABC8BD31D5}"/>
            </a:ext>
          </a:extLst>
        </xdr:cNvPr>
        <xdr:cNvCxnSpPr>
          <a:cxnSpLocks/>
          <a:stCxn id="246" idx="6"/>
          <a:endCxn id="242" idx="4"/>
        </xdr:cNvCxnSpPr>
      </xdr:nvCxnSpPr>
      <xdr:spPr>
        <a:xfrm flipH="1" flipV="1">
          <a:off x="5163157" y="3261150"/>
          <a:ext cx="295984" cy="467579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188241</xdr:colOff>
      <xdr:row>19</xdr:row>
      <xdr:rowOff>95620</xdr:rowOff>
    </xdr:from>
    <xdr:to>
      <xdr:col>7</xdr:col>
      <xdr:colOff>371190</xdr:colOff>
      <xdr:row>20</xdr:row>
      <xdr:rowOff>125328</xdr:rowOff>
    </xdr:to>
    <xdr:sp macro="" textlink="">
      <xdr:nvSpPr>
        <xdr:cNvPr id="348" name="Isosceles Triangle 347">
          <a:extLst>
            <a:ext uri="{FF2B5EF4-FFF2-40B4-BE49-F238E27FC236}">
              <a16:creationId xmlns:a16="http://schemas.microsoft.com/office/drawing/2014/main" id="{18D19E94-6370-4A12-B1DD-0D358AD38FE5}"/>
            </a:ext>
          </a:extLst>
        </xdr:cNvPr>
        <xdr:cNvSpPr/>
      </xdr:nvSpPr>
      <xdr:spPr>
        <a:xfrm>
          <a:off x="2398041" y="3019795"/>
          <a:ext cx="182949" cy="182108"/>
        </a:xfrm>
        <a:prstGeom prst="triangle">
          <a:avLst/>
        </a:prstGeom>
        <a:solidFill>
          <a:srgbClr val="FF0000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328449</xdr:colOff>
      <xdr:row>38</xdr:row>
      <xdr:rowOff>65487</xdr:rowOff>
    </xdr:from>
    <xdr:to>
      <xdr:col>14</xdr:col>
      <xdr:colOff>80799</xdr:colOff>
      <xdr:row>40</xdr:row>
      <xdr:rowOff>106089</xdr:rowOff>
    </xdr:to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BD31E7F3-1C8E-4EDE-8926-4A7F353AC768}"/>
            </a:ext>
          </a:extLst>
        </xdr:cNvPr>
        <xdr:cNvSpPr txBox="1"/>
      </xdr:nvSpPr>
      <xdr:spPr>
        <a:xfrm>
          <a:off x="4443249" y="5894787"/>
          <a:ext cx="514350" cy="34540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POMPA AIR</a:t>
          </a:r>
        </a:p>
      </xdr:txBody>
    </xdr:sp>
    <xdr:clientData/>
  </xdr:twoCellAnchor>
  <xdr:twoCellAnchor>
    <xdr:from>
      <xdr:col>7</xdr:col>
      <xdr:colOff>278023</xdr:colOff>
      <xdr:row>21</xdr:row>
      <xdr:rowOff>111838</xdr:rowOff>
    </xdr:from>
    <xdr:to>
      <xdr:col>7</xdr:col>
      <xdr:colOff>282086</xdr:colOff>
      <xdr:row>22</xdr:row>
      <xdr:rowOff>103892</xdr:rowOff>
    </xdr:to>
    <xdr:cxnSp macro="">
      <xdr:nvCxnSpPr>
        <xdr:cNvPr id="371" name="Straight Arrow Connector 370">
          <a:extLst>
            <a:ext uri="{FF2B5EF4-FFF2-40B4-BE49-F238E27FC236}">
              <a16:creationId xmlns:a16="http://schemas.microsoft.com/office/drawing/2014/main" id="{23837C6B-0B79-4EF2-BC09-41CCD111B0A0}"/>
            </a:ext>
          </a:extLst>
        </xdr:cNvPr>
        <xdr:cNvCxnSpPr>
          <a:stCxn id="229" idx="2"/>
        </xdr:cNvCxnSpPr>
      </xdr:nvCxnSpPr>
      <xdr:spPr>
        <a:xfrm flipH="1">
          <a:off x="2487823" y="3340813"/>
          <a:ext cx="4063" cy="14445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63100</xdr:colOff>
      <xdr:row>20</xdr:row>
      <xdr:rowOff>135271</xdr:rowOff>
    </xdr:from>
    <xdr:to>
      <xdr:col>9</xdr:col>
      <xdr:colOff>152400</xdr:colOff>
      <xdr:row>22</xdr:row>
      <xdr:rowOff>76200</xdr:rowOff>
    </xdr:to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5A11C4BE-86D2-4F20-B54A-8599E364AA40}"/>
            </a:ext>
          </a:extLst>
        </xdr:cNvPr>
        <xdr:cNvSpPr txBox="1"/>
      </xdr:nvSpPr>
      <xdr:spPr>
        <a:xfrm>
          <a:off x="2653900" y="3211846"/>
          <a:ext cx="470300" cy="245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14</xdr:col>
      <xdr:colOff>80799</xdr:colOff>
      <xdr:row>39</xdr:row>
      <xdr:rowOff>85789</xdr:rowOff>
    </xdr:from>
    <xdr:to>
      <xdr:col>15</xdr:col>
      <xdr:colOff>149740</xdr:colOff>
      <xdr:row>39</xdr:row>
      <xdr:rowOff>87702</xdr:rowOff>
    </xdr:to>
    <xdr:cxnSp macro="">
      <xdr:nvCxnSpPr>
        <xdr:cNvPr id="186" name="Straight Connector 185">
          <a:extLst>
            <a:ext uri="{FF2B5EF4-FFF2-40B4-BE49-F238E27FC236}">
              <a16:creationId xmlns:a16="http://schemas.microsoft.com/office/drawing/2014/main" id="{983A484E-4002-43E9-8BE1-C8C5FF12FCD5}"/>
            </a:ext>
          </a:extLst>
        </xdr:cNvPr>
        <xdr:cNvCxnSpPr>
          <a:cxnSpLocks/>
          <a:stCxn id="258" idx="7"/>
          <a:endCxn id="350" idx="3"/>
        </xdr:cNvCxnSpPr>
      </xdr:nvCxnSpPr>
      <xdr:spPr>
        <a:xfrm flipH="1" flipV="1">
          <a:off x="4957599" y="6067489"/>
          <a:ext cx="449941" cy="1913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4488</xdr:colOff>
      <xdr:row>11</xdr:row>
      <xdr:rowOff>27751</xdr:rowOff>
    </xdr:from>
    <xdr:to>
      <xdr:col>9</xdr:col>
      <xdr:colOff>157014</xdr:colOff>
      <xdr:row>20</xdr:row>
      <xdr:rowOff>65943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B02A166C-11C9-48D6-9D8A-CFD1AA6EF262}"/>
            </a:ext>
          </a:extLst>
        </xdr:cNvPr>
        <xdr:cNvSpPr txBox="1"/>
      </xdr:nvSpPr>
      <xdr:spPr>
        <a:xfrm>
          <a:off x="2598219" y="1734924"/>
          <a:ext cx="533526" cy="1430307"/>
        </a:xfrm>
        <a:prstGeom prst="rect">
          <a:avLst/>
        </a:prstGeom>
        <a:solidFill>
          <a:schemeClr val="lt1"/>
        </a:solidFill>
        <a:ln w="63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 06</a:t>
          </a:r>
        </a:p>
        <a:p>
          <a:pPr algn="ctr"/>
          <a:r>
            <a:rPr lang="en-US" sz="5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51/24/9/A2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C14-350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CC1-A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CC7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CG312A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2 CM2-11M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M8-02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CM2-11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CE1-3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F1-3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CM2-12A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CJ6-T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TRF 50 KV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TRF 100 KV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217103</xdr:colOff>
      <xdr:row>21</xdr:row>
      <xdr:rowOff>101311</xdr:rowOff>
    </xdr:from>
    <xdr:to>
      <xdr:col>15</xdr:col>
      <xdr:colOff>132086</xdr:colOff>
      <xdr:row>24</xdr:row>
      <xdr:rowOff>109976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4F1992E1-B80C-4A7A-9C75-33D8A1F5E834}"/>
            </a:ext>
          </a:extLst>
        </xdr:cNvPr>
        <xdr:cNvCxnSpPr>
          <a:cxnSpLocks/>
          <a:stCxn id="246" idx="0"/>
          <a:endCxn id="242" idx="2"/>
        </xdr:cNvCxnSpPr>
      </xdr:nvCxnSpPr>
      <xdr:spPr>
        <a:xfrm flipH="1" flipV="1">
          <a:off x="5093903" y="3330286"/>
          <a:ext cx="295983" cy="46586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132086</xdr:colOff>
      <xdr:row>24</xdr:row>
      <xdr:rowOff>109976</xdr:rowOff>
    </xdr:from>
    <xdr:to>
      <xdr:col>15</xdr:col>
      <xdr:colOff>149739</xdr:colOff>
      <xdr:row>40</xdr:row>
      <xdr:rowOff>33267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ECB2DACE-2C14-4789-ADEE-EB778C14B898}"/>
            </a:ext>
          </a:extLst>
        </xdr:cNvPr>
        <xdr:cNvCxnSpPr>
          <a:cxnSpLocks/>
          <a:stCxn id="258" idx="1"/>
          <a:endCxn id="246" idx="0"/>
        </xdr:cNvCxnSpPr>
      </xdr:nvCxnSpPr>
      <xdr:spPr>
        <a:xfrm flipH="1" flipV="1">
          <a:off x="5389886" y="3796151"/>
          <a:ext cx="17653" cy="2371216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20</xdr:row>
      <xdr:rowOff>142875</xdr:rowOff>
    </xdr:from>
    <xdr:to>
      <xdr:col>11</xdr:col>
      <xdr:colOff>123825</xdr:colOff>
      <xdr:row>22</xdr:row>
      <xdr:rowOff>74279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3B21B52-3E15-41D4-A1F9-6426AADC04E4}"/>
            </a:ext>
          </a:extLst>
        </xdr:cNvPr>
        <xdr:cNvSpPr txBox="1"/>
      </xdr:nvSpPr>
      <xdr:spPr>
        <a:xfrm>
          <a:off x="3495675" y="3219450"/>
          <a:ext cx="361950" cy="2362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14</xdr:col>
      <xdr:colOff>142875</xdr:colOff>
      <xdr:row>22</xdr:row>
      <xdr:rowOff>47626</xdr:rowOff>
    </xdr:from>
    <xdr:to>
      <xdr:col>15</xdr:col>
      <xdr:colOff>133350</xdr:colOff>
      <xdr:row>23</xdr:row>
      <xdr:rowOff>140955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A917BDEC-422D-443F-8E1D-203571BC356E}"/>
            </a:ext>
          </a:extLst>
        </xdr:cNvPr>
        <xdr:cNvSpPr txBox="1"/>
      </xdr:nvSpPr>
      <xdr:spPr>
        <a:xfrm rot="2202606">
          <a:off x="5019675" y="3429001"/>
          <a:ext cx="371475" cy="245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12</xdr:col>
      <xdr:colOff>238125</xdr:colOff>
      <xdr:row>20</xdr:row>
      <xdr:rowOff>123825</xdr:rowOff>
    </xdr:from>
    <xdr:to>
      <xdr:col>13</xdr:col>
      <xdr:colOff>228600</xdr:colOff>
      <xdr:row>22</xdr:row>
      <xdr:rowOff>64754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11F7227-7F64-4AF8-9234-080E792BD0F8}"/>
            </a:ext>
          </a:extLst>
        </xdr:cNvPr>
        <xdr:cNvSpPr txBox="1"/>
      </xdr:nvSpPr>
      <xdr:spPr>
        <a:xfrm>
          <a:off x="4352925" y="3200400"/>
          <a:ext cx="371475" cy="245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14</xdr:col>
      <xdr:colOff>377198</xdr:colOff>
      <xdr:row>26</xdr:row>
      <xdr:rowOff>41903</xdr:rowOff>
    </xdr:from>
    <xdr:to>
      <xdr:col>15</xdr:col>
      <xdr:colOff>241927</xdr:colOff>
      <xdr:row>28</xdr:row>
      <xdr:rowOff>108578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76367DF8-0499-4303-BC22-0AE3379BE4AA}"/>
            </a:ext>
          </a:extLst>
        </xdr:cNvPr>
        <xdr:cNvSpPr txBox="1"/>
      </xdr:nvSpPr>
      <xdr:spPr>
        <a:xfrm rot="5400000">
          <a:off x="5191125" y="4095751"/>
          <a:ext cx="371475" cy="245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15</xdr:col>
      <xdr:colOff>9525</xdr:colOff>
      <xdr:row>31</xdr:row>
      <xdr:rowOff>0</xdr:rowOff>
    </xdr:from>
    <xdr:to>
      <xdr:col>15</xdr:col>
      <xdr:colOff>255254</xdr:colOff>
      <xdr:row>33</xdr:row>
      <xdr:rowOff>66675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9F2B7459-3196-400D-8F41-E0EA004698D3}"/>
            </a:ext>
          </a:extLst>
        </xdr:cNvPr>
        <xdr:cNvSpPr txBox="1"/>
      </xdr:nvSpPr>
      <xdr:spPr>
        <a:xfrm rot="5400000">
          <a:off x="5204452" y="4806323"/>
          <a:ext cx="371475" cy="245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15</xdr:col>
      <xdr:colOff>19050</xdr:colOff>
      <xdr:row>35</xdr:row>
      <xdr:rowOff>123825</xdr:rowOff>
    </xdr:from>
    <xdr:to>
      <xdr:col>15</xdr:col>
      <xdr:colOff>264779</xdr:colOff>
      <xdr:row>38</xdr:row>
      <xdr:rowOff>19050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941FD898-4ACD-422B-BDE2-BD977BB172A8}"/>
            </a:ext>
          </a:extLst>
        </xdr:cNvPr>
        <xdr:cNvSpPr txBox="1"/>
      </xdr:nvSpPr>
      <xdr:spPr>
        <a:xfrm rot="5400000">
          <a:off x="5213977" y="5539748"/>
          <a:ext cx="371475" cy="245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15</xdr:col>
      <xdr:colOff>0</xdr:colOff>
      <xdr:row>19</xdr:row>
      <xdr:rowOff>9525</xdr:rowOff>
    </xdr:from>
    <xdr:to>
      <xdr:col>15</xdr:col>
      <xdr:colOff>138509</xdr:colOff>
      <xdr:row>19</xdr:row>
      <xdr:rowOff>147796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877CF092-6DB3-4FA9-B06D-0769C3CD79EF}"/>
            </a:ext>
          </a:extLst>
        </xdr:cNvPr>
        <xdr:cNvGrpSpPr/>
      </xdr:nvGrpSpPr>
      <xdr:grpSpPr>
        <a:xfrm rot="16200000">
          <a:off x="5260850" y="2954829"/>
          <a:ext cx="138271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6" name="Oval 35">
            <a:extLst>
              <a:ext uri="{FF2B5EF4-FFF2-40B4-BE49-F238E27FC236}">
                <a16:creationId xmlns:a16="http://schemas.microsoft.com/office/drawing/2014/main" id="{D2567344-EB6E-31C5-913E-19D131E9149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2FE920FC-6175-12B3-C559-338A9CD796C6}"/>
              </a:ext>
            </a:extLst>
          </xdr:cNvPr>
          <xdr:cNvCxnSpPr>
            <a:stCxn id="36" idx="1"/>
            <a:endCxn id="3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466AB482-56E1-4D39-65FB-4D67F3B6BAE3}"/>
              </a:ext>
            </a:extLst>
          </xdr:cNvPr>
          <xdr:cNvCxnSpPr>
            <a:stCxn id="36" idx="3"/>
            <a:endCxn id="3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373674</xdr:colOff>
      <xdr:row>19</xdr:row>
      <xdr:rowOff>36635</xdr:rowOff>
    </xdr:from>
    <xdr:to>
      <xdr:col>9</xdr:col>
      <xdr:colOff>240767</xdr:colOff>
      <xdr:row>19</xdr:row>
      <xdr:rowOff>36636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93B93FAB-74B4-4719-A3EC-0CF66E8498B0}"/>
            </a:ext>
          </a:extLst>
        </xdr:cNvPr>
        <xdr:cNvCxnSpPr/>
      </xdr:nvCxnSpPr>
      <xdr:spPr>
        <a:xfrm>
          <a:off x="2586405" y="2982058"/>
          <a:ext cx="629093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175846</xdr:colOff>
      <xdr:row>21</xdr:row>
      <xdr:rowOff>7327</xdr:rowOff>
    </xdr:from>
    <xdr:to>
      <xdr:col>5</xdr:col>
      <xdr:colOff>314355</xdr:colOff>
      <xdr:row>21</xdr:row>
      <xdr:rowOff>145598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0E5E31CD-21AB-4915-9C95-9305CE582752}"/>
            </a:ext>
          </a:extLst>
        </xdr:cNvPr>
        <xdr:cNvGrpSpPr/>
      </xdr:nvGrpSpPr>
      <xdr:grpSpPr>
        <a:xfrm rot="16200000">
          <a:off x="1626696" y="3260362"/>
          <a:ext cx="138271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5" name="Oval 44">
            <a:extLst>
              <a:ext uri="{FF2B5EF4-FFF2-40B4-BE49-F238E27FC236}">
                <a16:creationId xmlns:a16="http://schemas.microsoft.com/office/drawing/2014/main" id="{F2F81D2F-7DD4-4BF3-93AD-26C983FC6DE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1EA436D2-AE14-4655-A9E6-5F43D2B65A11}"/>
              </a:ext>
            </a:extLst>
          </xdr:cNvPr>
          <xdr:cNvCxnSpPr>
            <a:stCxn id="45" idx="1"/>
            <a:endCxn id="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823390B4-33AA-70A5-F469-450A9B79E144}"/>
              </a:ext>
            </a:extLst>
          </xdr:cNvPr>
          <xdr:cNvCxnSpPr>
            <a:stCxn id="45" idx="3"/>
            <a:endCxn id="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29308</xdr:colOff>
      <xdr:row>21</xdr:row>
      <xdr:rowOff>7327</xdr:rowOff>
    </xdr:from>
    <xdr:to>
      <xdr:col>7</xdr:col>
      <xdr:colOff>10258</xdr:colOff>
      <xdr:row>22</xdr:row>
      <xdr:rowOff>92597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CDF95680-2E3F-4504-81FF-2C82EEAB9613}"/>
            </a:ext>
          </a:extLst>
        </xdr:cNvPr>
        <xdr:cNvSpPr txBox="1"/>
      </xdr:nvSpPr>
      <xdr:spPr>
        <a:xfrm>
          <a:off x="1861039" y="3260481"/>
          <a:ext cx="361950" cy="2391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 editAs="oneCell">
    <xdr:from>
      <xdr:col>8</xdr:col>
      <xdr:colOff>554182</xdr:colOff>
      <xdr:row>9</xdr:row>
      <xdr:rowOff>86592</xdr:rowOff>
    </xdr:from>
    <xdr:to>
      <xdr:col>21</xdr:col>
      <xdr:colOff>744682</xdr:colOff>
      <xdr:row>65</xdr:row>
      <xdr:rowOff>99753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2109CA-F6C4-4B75-85FE-6DDB6B6F3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7091" y="1454728"/>
          <a:ext cx="8070273" cy="87415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5" t="s">
        <v>1134</v>
      </c>
      <c r="C4" s="525"/>
      <c r="D4" s="525"/>
      <c r="E4" s="525"/>
      <c r="F4" s="525"/>
      <c r="G4" s="525"/>
      <c r="H4" s="52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6" t="s">
        <v>0</v>
      </c>
      <c r="C7" s="526" t="s">
        <v>1</v>
      </c>
      <c r="D7" s="527" t="s">
        <v>42</v>
      </c>
      <c r="E7" s="527" t="s">
        <v>43</v>
      </c>
      <c r="F7" s="527" t="s">
        <v>1135</v>
      </c>
      <c r="G7" s="528" t="s">
        <v>41</v>
      </c>
      <c r="H7" s="524" t="s">
        <v>1042</v>
      </c>
      <c r="I7" s="524" t="s">
        <v>1137</v>
      </c>
      <c r="J7" s="524" t="s">
        <v>1026</v>
      </c>
      <c r="K7" s="518" t="s">
        <v>1024</v>
      </c>
      <c r="L7" s="519"/>
    </row>
    <row r="8" spans="1:12" ht="15" customHeight="1">
      <c r="B8" s="526"/>
      <c r="C8" s="526"/>
      <c r="D8" s="527"/>
      <c r="E8" s="527"/>
      <c r="F8" s="527"/>
      <c r="G8" s="528"/>
      <c r="H8" s="524"/>
      <c r="I8" s="524"/>
      <c r="J8" s="524"/>
      <c r="K8" s="520"/>
      <c r="L8" s="521"/>
    </row>
    <row r="9" spans="1:12" ht="15" customHeight="1">
      <c r="B9" s="526"/>
      <c r="C9" s="526"/>
      <c r="D9" s="527"/>
      <c r="E9" s="527"/>
      <c r="F9" s="527"/>
      <c r="G9" s="528"/>
      <c r="H9" s="524"/>
      <c r="I9" s="524"/>
      <c r="J9" s="524"/>
      <c r="K9" s="522"/>
      <c r="L9" s="52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41.5 kVA MCCB 63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SUMIFS(RAB!$F$14:$F$69,RAB!$C$14:$C$69,C714)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SUMIFS(RAB!$F$14:$F$69,RAB!$C$14:$C$69,C715)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SUMIFS(RAB!$F$14:$F$69,RAB!$C$14:$C$69,C716)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SUMIFS(RAB!$F$14:$F$69,RAB!$C$14:$C$69,C717)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SUMIFS(RAB!$F$14:$F$69,RAB!$C$14:$C$69,C718)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SUMIFS(RAB!$F$14:$F$69,RAB!$C$14:$C$69,C719)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SUMIFS(RAB!$F$14:$F$69,RAB!$C$14:$C$69,C720)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SUMIFS(RAB!$F$14:$F$69,RAB!$C$14:$C$69,C721)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SUMIFS(RAB!$F$14:$F$69,RAB!$C$14:$C$69,C722)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SUMIFS(RAB!$F$14:$F$69,RAB!$C$14:$C$69,C723)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SUMIFS(RAB!$F$14:$F$69,RAB!$C$14:$C$69,C724)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SUMIFS(RAB!$F$14:$F$69,RAB!$C$14:$C$69,C725)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SUMIFS(RAB!$F$14:$F$69,RAB!$C$14:$C$69,C726)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SUMIFS(RAB!$F$14:$F$69,RAB!$C$14:$C$69,C727)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SUMIFS(RAB!$F$14:$F$69,RAB!$C$14:$C$69,C728)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SUMIFS(RAB!$F$14:$F$69,RAB!$C$14:$C$69,C729)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SUMIFS(RAB!$F$14:$F$69,RAB!$C$14:$C$69,C730)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SUMIFS(RAB!$F$14:$F$69,RAB!$C$14:$C$69,C731)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SUMIFS(RAB!$F$14:$F$69,RAB!$C$14:$C$69,C732)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SUMIFS(RAB!$F$14:$F$69,RAB!$C$14:$C$69,C733)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SUMIFS(RAB!$F$14:$F$69,RAB!$C$14:$C$69,C734)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SUMIFS(RAB!$F$14:$F$69,RAB!$C$14:$C$69,C735)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SUMIFS(RAB!$F$14:$F$69,RAB!$C$14:$C$69,C736)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SUMIFS(RAB!$F$14:$F$69,RAB!$C$14:$C$69,C737)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SUMIFS(RAB!$F$14:$F$69,RAB!$C$14:$C$69,C738)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SUMIFS(RAB!$F$14:$F$69,RAB!$C$14:$C$69,C739)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SUMIFS(RAB!$F$14:$F$69,RAB!$C$14:$C$69,C740)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SUMIFS(RAB!$F$14:$F$69,RAB!$C$14:$C$69,C741)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SUMIFS(RAB!$F$14:$F$69,RAB!$C$14:$C$69,C742)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SUMIFS(RAB!$F$14:$F$69,RAB!$C$14:$C$69,C743)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SUMIFS(RAB!$F$14:$F$69,RAB!$C$14:$C$69,C744)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SUMIFS(RAB!$F$14:$F$69,RAB!$C$14:$C$69,C745)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SUMIFS(RAB!$F$14:$F$69,RAB!$C$14:$C$69,C746)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SUMIFS(RAB!$F$14:$F$69,RAB!$C$14:$C$69,C747)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SUMIFS(RAB!$F$14:$F$69,RAB!$C$14:$C$69,C748)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SUMIFS(RAB!$F$14:$F$69,RAB!$C$14:$C$69,C749)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SUMIFS(RAB!$F$14:$F$69,RAB!$C$14:$C$69,C750)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SUMIFS(RAB!$F$14:$F$69,RAB!$C$14:$C$69,C751)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SUMIFS(RAB!$F$14:$F$69,RAB!$C$14:$C$69,C752)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SUMIFS(RAB!$F$14:$F$69,RAB!$C$14:$C$69,C753)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SUMIFS(RAB!$F$14:$F$69,RAB!$C$14:$C$69,C754)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SUMIFS(RAB!$F$14:$F$69,RAB!$C$14:$C$69,C755)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SUMIFS(RAB!$F$14:$F$69,RAB!$C$14:$C$69,C756)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SUMIFS(RAB!$F$14:$F$69,RAB!$C$14:$C$69,C757)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SUMIFS(RAB!$F$14:$F$69,RAB!$C$14:$C$69,C758)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SUMIFS(RAB!$F$14:$F$69,RAB!$C$14:$C$69,C759)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SUMIFS(RAB!$F$14:$F$69,RAB!$C$14:$C$69,C760)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SUMIFS(RAB!$F$14:$F$69,RAB!$C$14:$C$69,C761)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SUMIFS(RAB!$F$14:$F$69,RAB!$C$14:$C$69,C762)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SUMIFS(RAB!$F$14:$F$69,RAB!$C$14:$C$69,C763)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SUMIFS(RAB!$F$14:$F$69,RAB!$C$14:$C$69,C764)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SUMIFS(RAB!$F$14:$F$69,RAB!$C$14:$C$69,C765)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SUMIFS(RAB!$F$14:$F$69,RAB!$C$14:$C$69,C766)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SUMIFS(RAB!$F$14:$F$69,RAB!$C$14:$C$69,C767)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SUMIFS(RAB!$F$14:$F$69,RAB!$C$14:$C$69,C768)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SUMIFS(RAB!$F$14:$F$69,RAB!$C$14:$C$69,C769)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SUMIFS(RAB!$F$14:$F$69,RAB!$C$14:$C$69,C770)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SUMIFS(RAB!$F$14:$F$69,RAB!$C$14:$C$69,C771)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SUMIFS(RAB!$F$14:$F$69,RAB!$C$14:$C$69,C772)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SUMIFS(RAB!$F$14:$F$69,RAB!$C$14:$C$69,C773)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SUMIFS(RAB!$F$14:$F$69,RAB!$C$14:$C$69,C774)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SUMIFS(RAB!$F$14:$F$69,RAB!$C$14:$C$69,C775)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SUMIFS(RAB!$F$14:$F$69,RAB!$C$14:$C$69,C776)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SUMIFS(RAB!$F$14:$F$69,RAB!$C$14:$C$69,C777)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SUMIFS(RAB!$F$14:$F$69,RAB!$C$14:$C$69,C778)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SUMIFS(RAB!$F$14:$F$69,RAB!$C$14:$C$69,C779)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SUMIFS(RAB!$F$14:$F$69,RAB!$C$14:$C$69,C780)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SUMIFS(RAB!$F$14:$F$69,RAB!$C$14:$C$69,C781)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SUMIFS(RAB!$F$14:$F$69,RAB!$C$14:$C$69,C782)</f>
        <v>1</v>
      </c>
      <c r="E782" s="26">
        <f t="shared" ca="1" si="34"/>
        <v>1</v>
      </c>
      <c r="F782" s="26">
        <f ca="1">IF(D782=0,0,SUM($E$713:E782))</f>
        <v>2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SUMIFS(RAB!$F$14:$F$69,RAB!$C$14:$C$69,C783)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SUMIFS(RAB!$F$14:$F$69,RAB!$C$14:$C$69,C784)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SUMIFS(RAB!$F$14:$F$69,RAB!$C$14:$C$69,C785)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SUMIFS(RAB!$F$14:$F$69,RAB!$C$14:$C$69,C786)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SUMIFS(RAB!$F$14:$F$69,RAB!$C$14:$C$69,C787)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SUMIFS(RAB!$F$14:$F$69,RAB!$C$14:$C$69,C788)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SUMIFS(RAB!$F$14:$F$69,RAB!$C$14:$C$69,C789)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SUMIFS(RAB!$F$14:$F$69,RAB!$C$14:$C$69,C790)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SUMIFS(RAB!$F$14:$F$69,RAB!$C$14:$C$69,C791)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SUMIFS(RAB!$F$14:$F$69,RAB!$C$14:$C$69,C792)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SUMIFS(RAB!$F$14:$F$69,RAB!$C$14:$C$69,C793)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SUMIFS(RAB!$F$14:$F$69,RAB!$C$14:$C$69,C794)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SUMIFS(RAB!$F$14:$F$69,RAB!$C$14:$C$69,C795)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SUMIFS(RAB!$F$14:$F$69,RAB!$C$14:$C$69,C796)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SUMIFS(RAB!$F$14:$F$69,RAB!$C$14:$C$69,C797)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SUMIFS(RAB!$F$14:$F$69,RAB!$C$14:$C$69,C798)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SUMIFS(RAB!$F$14:$F$69,RAB!$C$14:$C$69,C799)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SUMIFS(RAB!$F$14:$F$69,RAB!$C$14:$C$69,C800)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SUMIFS(RAB!$F$14:$F$69,RAB!$C$14:$C$69,C801)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SUMIFS(RAB!$F$14:$F$69,RAB!$C$14:$C$69,C802)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SUMIFS(RAB!$F$14:$F$69,RAB!$C$14:$C$69,C803)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SUMIFS(RAB!$F$14:$F$69,RAB!$C$14:$C$69,C804)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SUMIFS(RAB!$F$14:$F$69,RAB!$C$14:$C$69,C805)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SUMIFS(RAB!$F$14:$F$69,RAB!$C$14:$C$69,C806)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SUMIFS(RAB!$F$14:$F$69,RAB!$C$14:$C$69,C807)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SUMIFS(RAB!$F$14:$F$69,RAB!$C$14:$C$69,C808)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SUMIFS(RAB!$F$14:$F$69,RAB!$C$14:$C$69,C809)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SUMIFS(RAB!$F$14:$F$69,RAB!$C$14:$C$69,C810)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SUMIFS(RAB!$F$14:$F$69,RAB!$C$14:$C$69,C811)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SUMIFS(RAB!$F$14:$F$69,RAB!$C$14:$C$69,C812)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SUMIFS(RAB!$F$14:$F$69,RAB!$C$14:$C$69,C813)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SUMIFS(RAB!$F$14:$F$69,RAB!$C$14:$C$69,C814)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SUMIFS(RAB!$F$14:$F$69,RAB!$C$14:$C$69,C815)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SUMIFS(RAB!$F$14:$F$69,RAB!$C$14:$C$69,C816)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SUMIFS(RAB!$F$14:$F$69,RAB!$C$14:$C$69,C817)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SUMIFS(RAB!$F$14:$F$69,RAB!$C$14:$C$69,C818)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SUMIFS(RAB!$F$14:$F$69,RAB!$C$14:$C$69,C819)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SUMIFS(RAB!$F$14:$F$69,RAB!$C$14:$C$69,C820)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SUMIFS(RAB!$F$14:$F$69,RAB!$C$14:$C$69,C821)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SUMIFS(RAB!$F$14:$F$69,RAB!$C$14:$C$69,C822)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SUMIFS(RAB!$F$14:$F$69,RAB!$C$14:$C$69,C823)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SUMIFS(RAB!$F$14:$F$69,RAB!$C$14:$C$69,C824)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SUMIFS(RAB!$F$14:$F$69,RAB!$C$14:$C$69,C825)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SUMIFS(RAB!$F$14:$F$69,RAB!$C$14:$C$69,C826)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SUMIFS(RAB!$F$14:$F$69,RAB!$C$14:$C$69,C827)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SUMIFS(RAB!$F$14:$F$69,RAB!$C$14:$C$69,C828)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SUMIFS(RAB!$F$14:$F$69,RAB!$C$14:$C$69,C829)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SUMIFS(RAB!$F$14:$F$69,RAB!$C$14:$C$69,C830)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SUMIFS(RAB!$F$14:$F$69,RAB!$C$14:$C$69,C831)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SUMIFS(RAB!$F$14:$F$69,RAB!$C$14:$C$69,C832)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SUMIFS(RAB!$F$14:$F$69,RAB!$C$14:$C$69,C833)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SUMIFS(RAB!$F$14:$F$69,RAB!$C$14:$C$69,C834)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SUMIFS(RAB!$F$14:$F$69,RAB!$C$14:$C$69,C835)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SUMIFS(RAB!$F$14:$F$69,RAB!$C$14:$C$69,C836)</f>
        <v>3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SUMIFS(RAB!$F$14:$F$69,RAB!$C$14:$C$69,C837)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SUMIFS(RAB!$F$14:$F$69,RAB!$C$14:$C$69,C838)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SUMIFS(RAB!$F$14:$F$69,RAB!$C$14:$C$69,C839)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SUMIFS(RAB!$F$14:$F$69,RAB!$C$14:$C$69,C840)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SUMIFS(RAB!$F$14:$F$69,RAB!$C$14:$C$69,C841)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SUMIFS(RAB!$F$14:$F$69,RAB!$C$14:$C$69,C842)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SUMIFS(RAB!$F$14:$F$69,RAB!$C$14:$C$69,C843)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SUMIFS(RAB!$F$14:$F$69,RAB!$C$14:$C$69,C844)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SUMIFS(RAB!$F$14:$F$69,RAB!$C$14:$C$69,C845)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SUMIFS(RAB!$F$14:$F$69,RAB!$C$14:$C$69,C846)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SUMIFS(RAB!$F$14:$F$69,RAB!$C$14:$C$69,C847)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SUMIFS(RAB!$F$14:$F$69,RAB!$C$14:$C$69,C848)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SUMIFS(RAB!$F$14:$F$69,RAB!$C$14:$C$69,C849)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SUMIFS(RAB!$F$14:$F$69,RAB!$C$14:$C$69,C850)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SUMIFS(RAB!$F$14:$F$69,RAB!$C$14:$C$69,C851)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SUMIFS(RAB!$F$14:$F$69,RAB!$C$14:$C$69,C852)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SUMIFS(RAB!$F$14:$F$69,RAB!$C$14:$C$69,C853)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SUMIFS(RAB!$F$14:$F$69,RAB!$C$14:$C$69,C854)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SUMIFS(RAB!$F$14:$F$69,RAB!$C$14:$C$69,C855)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SUMIFS(RAB!$F$14:$F$69,RAB!$C$14:$C$69,C856)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SUMIFS(RAB!$F$14:$F$69,RAB!$C$14:$C$69,C857)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SUMIFS(RAB!$F$14:$F$69,RAB!$C$14:$C$69,C858)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SUMIFS(RAB!$F$14:$F$69,RAB!$C$14:$C$69,C859)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SUMIFS(RAB!$F$14:$F$69,RAB!$C$14:$C$69,C860)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SUMIFS(RAB!$F$14:$F$69,RAB!$C$14:$C$69,C861)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SUMIFS(RAB!$F$14:$F$69,RAB!$C$14:$C$69,C862)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SUMIFS(RAB!$F$14:$F$69,RAB!$C$14:$C$69,C863)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SUMIFS(RAB!$F$14:$F$69,RAB!$C$14:$C$69,C864)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SUMIFS(RAB!$F$14:$F$69,RAB!$C$14:$C$69,C865)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SUMIFS(RAB!$F$14:$F$69,RAB!$C$14:$C$69,C866)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SUMIFS(RAB!$F$14:$F$69,RAB!$C$14:$C$69,C867)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SUMIFS(RAB!$F$14:$F$69,RAB!$C$14:$C$69,C868)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SUMIFS(RAB!$F$14:$F$69,RAB!$C$14:$C$69,C869)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SUMIFS(RAB!$F$14:$F$69,RAB!$C$14:$C$69,C870)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SUMIFS(RAB!$F$14:$F$69,RAB!$C$14:$C$69,C871)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SUMIFS(RAB!$F$14:$F$69,RAB!$C$14:$C$69,C872)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SUMIFS(RAB!$F$14:$F$69,RAB!$C$14:$C$69,C873)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SUMIFS(RAB!$F$14:$F$69,RAB!$C$14:$C$69,C874)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SUMIFS(RAB!$F$14:$F$69,RAB!$C$14:$C$69,C875)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SUMIFS(RAB!$F$14:$F$69,RAB!$C$14:$C$69,C876)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SUMIFS(RAB!$F$14:$F$69,RAB!$C$14:$C$69,C877)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SUMIFS(RAB!$F$14:$F$69,RAB!$C$14:$C$69,C878)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SUMIFS(RAB!$F$14:$F$69,RAB!$C$14:$C$69,C879)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SUMIFS(RAB!$F$14:$F$69,RAB!$C$14:$C$69,C880)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SUMIFS(RAB!$F$14:$F$69,RAB!$C$14:$C$69,C881)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SUMIFS(RAB!$F$14:$F$69,RAB!$C$14:$C$69,C882)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SUMIFS(RAB!$F$14:$F$69,RAB!$C$14:$C$69,C883)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SUMIFS(RAB!$F$14:$F$69,RAB!$C$14:$C$69,C884)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SUMIFS(RAB!$F$14:$F$69,RAB!$C$14:$C$69,C885)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SUMIFS(RAB!$F$14:$F$69,RAB!$C$14:$C$69,C886)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SUMIFS(RAB!$F$14:$F$69,RAB!$C$14:$C$69,C887)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SUMIFS(RAB!$F$14:$F$69,RAB!$C$14:$C$69,C888)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SUMIFS(RAB!$F$14:$F$69,RAB!$C$14:$C$69,C889)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SUMIFS(RAB!$F$14:$F$69,RAB!$C$14:$C$69,C890)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SUMIFS(RAB!$F$14:$F$69,RAB!$C$14:$C$69,C891)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SUMIFS(RAB!$F$14:$F$69,RAB!$C$14:$C$69,C892)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SUMIFS(RAB!$F$14:$F$69,RAB!$C$14:$C$69,C893)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SUMIFS(RAB!$F$14:$F$69,RAB!$C$14:$C$69,C894)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SUMIFS(RAB!$F$14:$F$69,RAB!$C$14:$C$69,C895)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SUMIFS(RAB!$F$14:$F$69,RAB!$C$14:$C$69,C896)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SUMIFS(RAB!$F$14:$F$69,RAB!$C$14:$C$69,C897)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SUMIFS(RAB!$F$14:$F$69,RAB!$C$14:$C$69,C898)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SUMIFS(RAB!$F$14:$F$69,RAB!$C$14:$C$69,C899)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SUMIFS(RAB!$F$14:$F$69,RAB!$C$14:$C$69,C900)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SUMIFS(RAB!$F$14:$F$69,RAB!$C$14:$C$69,C901)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SUMIFS(RAB!$F$14:$F$69,RAB!$C$14:$C$69,C902)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SUMIFS(RAB!$F$14:$F$69,RAB!$C$14:$C$69,C903)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SUMIFS(RAB!$F$14:$F$69,RAB!$C$14:$C$69,C904)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SUMIFS(RAB!$F$14:$F$69,RAB!$C$14:$C$69,C905)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SUMIFS(RAB!$F$14:$F$69,RAB!$C$14:$C$69,C906)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SUMIFS(RAB!$F$14:$F$69,RAB!$C$14:$C$69,C907)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SUMIFS(RAB!$F$14:$F$69,RAB!$C$14:$C$69,C908)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SUMIFS(RAB!$F$14:$F$69,RAB!$C$14:$C$69,C909)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SUMIFS(RAB!$F$14:$F$69,RAB!$C$14:$C$69,C910)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SUMIFS(RAB!$F$14:$F$69,RAB!$C$14:$C$69,C911)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SUMIFS(RAB!$F$14:$F$69,RAB!$C$14:$C$69,C912)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SUMIFS(RAB!$F$14:$F$69,RAB!$C$14:$C$69,C913)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SUMIFS(RAB!$F$14:$F$69,RAB!$C$14:$C$69,C914)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SUMIFS(RAB!$F$14:$F$69,RAB!$C$14:$C$69,C915)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SUMIFS(RAB!$F$14:$F$69,RAB!$C$14:$C$69,C916)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SUMIFS(RAB!$F$14:$F$69,RAB!$C$14:$C$69,C917)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SUMIFS(RAB!$F$14:$F$69,RAB!$C$14:$C$69,C918)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SUMIFS(RAB!$F$14:$F$69,RAB!$C$14:$C$69,C919)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SUMIFS(RAB!$F$14:$F$69,RAB!$C$14:$C$69,C920)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SUMIFS(RAB!$F$14:$F$69,RAB!$C$14:$C$69,C921)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SUMIFS(RAB!$F$14:$F$69,RAB!$C$14:$C$69,C922)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SUMIFS(RAB!$F$14:$F$69,RAB!$C$14:$C$69,C923)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SUMIFS(RAB!$F$14:$F$69,RAB!$C$14:$C$69,C924)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SUMIFS(RAB!$F$14:$F$69,RAB!$C$14:$C$69,C925)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SUMIFS(RAB!$F$14:$F$69,RAB!$C$14:$C$69,C926)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SUMIFS(RAB!$F$14:$F$69,RAB!$C$14:$C$69,C927)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SUMIFS(RAB!$F$14:$F$69,RAB!$C$14:$C$69,C928)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SUMIFS(RAB!$F$14:$F$69,RAB!$C$14:$C$69,C929)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SUMIFS(RAB!$F$14:$F$69,RAB!$C$14:$C$69,C930)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SUMIFS(RAB!$F$14:$F$69,RAB!$C$14:$C$69,C931)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SUMIFS(RAB!$F$14:$F$69,RAB!$C$14:$C$69,C932)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SUMIFS(RAB!$F$14:$F$69,RAB!$C$14:$C$69,C933)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SUMIFS(RAB!$F$14:$F$69,RAB!$C$14:$C$69,C934)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SUMIFS(RAB!$F$14:$F$69,RAB!$C$14:$C$69,C935)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SUMIFS(RAB!$F$14:$F$69,RAB!$C$14:$C$69,C936)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SUMIFS(RAB!$F$14:$F$69,RAB!$C$14:$C$69,C937)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SUMIFS(RAB!$F$14:$F$69,RAB!$C$14:$C$69,C938)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SUMIFS(RAB!$F$14:$F$69,RAB!$C$14:$C$69,C939)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SUMIFS(RAB!$F$14:$F$69,RAB!$C$14:$C$69,C940)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SUMIFS(RAB!$F$14:$F$69,RAB!$C$14:$C$69,C941)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SUMIFS(RAB!$F$14:$F$69,RAB!$C$14:$C$69,C942)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SUMIFS(RAB!$F$14:$F$69,RAB!$C$14:$C$69,C943)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SUMIFS(RAB!$F$14:$F$69,RAB!$C$14:$C$69,C944)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SUMIFS(RAB!$F$14:$F$69,RAB!$C$14:$C$69,C945)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SUMIFS(RAB!$F$14:$F$69,RAB!$C$14:$C$69,C946)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SUMIFS(RAB!$F$14:$F$69,RAB!$C$14:$C$69,C947)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SUMIFS(RAB!$F$14:$F$69,RAB!$C$14:$C$69,C948)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SUMIFS(RAB!$F$14:$F$69,RAB!$C$14:$C$69,C949)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SUMIFS(RAB!$F$14:$F$69,RAB!$C$14:$C$69,C950)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SUMIFS(RAB!$F$14:$F$69,RAB!$C$14:$C$69,C951)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SUMIFS(RAB!$F$14:$F$69,RAB!$C$14:$C$69,C952)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SUMIFS(RAB!$F$14:$F$69,RAB!$C$14:$C$69,C953)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SUMIFS(RAB!$F$14:$F$69,RAB!$C$14:$C$69,C954)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SUMIFS(RAB!$F$14:$F$69,RAB!$C$14:$C$69,C955)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SUMIFS(RAB!$F$14:$F$69,RAB!$C$14:$C$69,C956)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SUMIFS(RAB!$F$14:$F$69,RAB!$C$14:$C$69,C957)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SUMIFS(RAB!$F$14:$F$69,RAB!$C$14:$C$69,C958)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SUMIFS(RAB!$F$14:$F$69,RAB!$C$14:$C$69,C959)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SUMIFS(RAB!$F$14:$F$69,RAB!$C$14:$C$69,C960)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SUMIFS(RAB!$F$14:$F$69,RAB!$C$14:$C$69,C961)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SUMIFS(RAB!$F$14:$F$69,RAB!$C$14:$C$69,C962)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SUMIFS(RAB!$F$14:$F$69,RAB!$C$14:$C$69,C963)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SUMIFS(RAB!$F$14:$F$69,RAB!$C$14:$C$69,C964)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SUMIFS(RAB!$F$14:$F$69,RAB!$C$14:$C$69,C965)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SUMIFS(RAB!$F$14:$F$69,RAB!$C$14:$C$69,C966)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SUMIFS(RAB!$F$14:$F$69,RAB!$C$14:$C$69,C967)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SUMIFS(RAB!$F$14:$F$69,RAB!$C$14:$C$69,C968)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SUMIFS(RAB!$F$14:$F$69,RAB!$C$14:$C$69,C969)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SUMIFS(RAB!$F$14:$F$69,RAB!$C$14:$C$69,C970)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SUMIFS(RAB!$F$14:$F$69,RAB!$C$14:$C$69,C971)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SUMIFS(RAB!$F$14:$F$69,RAB!$C$14:$C$69,C972)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SUMIFS(RAB!$F$14:$F$69,RAB!$C$14:$C$69,C973)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SUMIFS(RAB!$F$14:$F$69,RAB!$C$14:$C$69,C974)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SUMIFS(RAB!$F$14:$F$69,RAB!$C$14:$C$69,C975)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SUMIFS(RAB!$F$14:$F$69,RAB!$C$14:$C$69,C976)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SUMIFS(RAB!$F$14:$F$69,RAB!$C$14:$C$69,C977)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SUMIFS(RAB!$F$14:$F$69,RAB!$C$14:$C$69,C978)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SUMIFS(RAB!$F$14:$F$69,RAB!$C$14:$C$69,C979)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SUMIFS(RAB!$F$14:$F$69,RAB!$C$14:$C$69,C980)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SUMIFS(RAB!$F$14:$F$69,RAB!$C$14:$C$69,C981)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SUMIFS(RAB!$F$14:$F$69,RAB!$C$14:$C$69,C982)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SUMIFS(RAB!$F$14:$F$69,RAB!$C$14:$C$69,C983)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SUMIFS(RAB!$F$14:$F$69,RAB!$C$14:$C$69,C984)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SUMIFS(RAB!$F$14:$F$69,RAB!$C$14:$C$69,C985)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SUMIFS(RAB!$F$14:$F$69,RAB!$C$14:$C$69,C986)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SUMIFS(RAB!$F$14:$F$69,RAB!$C$14:$C$69,C987)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SUMIFS(RAB!$F$14:$F$69,RAB!$C$14:$C$69,C988)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SUMIFS(RAB!$F$14:$F$69,RAB!$C$14:$C$69,C989)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SUMIFS(RAB!$F$14:$F$69,RAB!$C$14:$C$69,C990)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SUMIFS(RAB!$F$14:$F$69,RAB!$C$14:$C$69,C991)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SUMIFS(RAB!$F$14:$F$69,RAB!$C$14:$C$69,C992)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SUMIFS(RAB!$F$14:$F$69,RAB!$C$14:$C$69,C993)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SUMIFS(RAB!$F$14:$F$69,RAB!$C$14:$C$69,C994)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SUMIFS(RAB!$F$14:$F$69,RAB!$C$14:$C$69,C995)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SUMIFS(RAB!$F$14:$F$69,RAB!$C$14:$C$69,C996)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SUMIFS(RAB!$F$14:$F$69,RAB!$C$14:$C$69,C997)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SUMIFS(RAB!$F$14:$F$69,RAB!$C$14:$C$69,C998)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SUMIFS(RAB!$F$14:$F$69,RAB!$C$14:$C$69,C999)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SUMIFS(RAB!$F$14:$F$69,RAB!$C$14:$C$69,C1000)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SUMIFS(RAB!$F$14:$F$69,RAB!$C$14:$C$69,C1001)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SUMIFS(RAB!$F$14:$F$69,RAB!$C$14:$C$69,C1002)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SUMIFS(RAB!$F$14:$F$69,RAB!$C$14:$C$69,C1003)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SUMIFS(RAB!$F$14:$F$69,RAB!$C$14:$C$69,C1004)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SUMIFS(RAB!$F$14:$F$69,RAB!$C$14:$C$69,C1005)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SUMIFS(RAB!$F$14:$F$69,RAB!$C$14:$C$69,C1006)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SUMIFS(RAB!$F$14:$F$69,RAB!$C$14:$C$69,C1007)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SUMIFS(RAB!$F$14:$F$69,RAB!$C$14:$C$69,C1008)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SUMIFS(RAB!$F$14:$F$69,RAB!$C$14:$C$69,C1009)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SUMIFS(RAB!$F$14:$F$69,RAB!$C$14:$C$69,C1010)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SUMIFS(RAB!$F$14:$F$69,RAB!$C$14:$C$69,C1011)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SUMIFS(RAB!$F$14:$F$69,RAB!$C$14:$C$69,C1012)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SUMIFS(RAB!$F$14:$F$69,RAB!$C$14:$C$69,C1013)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SUMIFS(RAB!$F$14:$F$69,RAB!$C$14:$C$69,C1014)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SUMIFS(RAB!$F$14:$F$69,RAB!$C$14:$C$69,C1015)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SUMIFS(RAB!$F$14:$F$69,RAB!$C$14:$C$69,C1016)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SUMIFS(RAB!$F$14:$F$69,RAB!$C$14:$C$69,C1017)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SUMIFS(RAB!$F$14:$F$69,RAB!$C$14:$C$69,C1018)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SUMIFS(RAB!$F$14:$F$69,RAB!$C$14:$C$69,C1019)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SUMIFS(RAB!$F$14:$F$69,RAB!$C$14:$C$69,C1020)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SUMIFS(RAB!$F$14:$F$69,RAB!$C$14:$C$69,C1021)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SUMIFS(RAB!$F$14:$F$69,RAB!$C$14:$C$69,C1022)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SUMIFS(RAB!$F$14:$F$69,RAB!$C$14:$C$69,C1023)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SUMIFS(RAB!$F$14:$F$69,RAB!$C$14:$C$69,C1024)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SUMIFS(RAB!$F$14:$F$69,RAB!$C$14:$C$69,C1025)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SUMIFS(RAB!$F$14:$F$69,RAB!$C$14:$C$69,C1026)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SUMIFS(RAB!$F$14:$F$69,RAB!$C$14:$C$69,C1027)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SUMIFS(RAB!$F$14:$F$69,RAB!$C$14:$C$69,C1028)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SUMIFS(RAB!$F$14:$F$69,RAB!$C$14:$C$69,C1029)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SUMIFS(RAB!$F$14:$F$69,RAB!$C$14:$C$69,C1030)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SUMIFS(RAB!$F$14:$F$69,RAB!$C$14:$C$69,C1031)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SUMIFS(RAB!$F$14:$F$69,RAB!$C$14:$C$69,C1032)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SUMIFS(RAB!$F$14:$F$69,RAB!$C$14:$C$69,C1033)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SUMIFS(RAB!$F$14:$F$69,RAB!$C$14:$C$69,C1034)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SUMIFS(RAB!$F$14:$F$69,RAB!$C$14:$C$69,C1035)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SUMIFS(RAB!$F$14:$F$69,RAB!$C$14:$C$69,C1036)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SUMIFS(RAB!$F$14:$F$69,RAB!$C$14:$C$69,C1037)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SUMIFS(RAB!$F$14:$F$69,RAB!$C$14:$C$69,C1038)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SUMIFS(RAB!$F$14:$F$69,RAB!$C$14:$C$69,C1039)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SUMIFS(RAB!$F$14:$F$69,RAB!$C$14:$C$69,C1040)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SUMIFS(RAB!$F$14:$F$69,RAB!$C$14:$C$69,C1041)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SUMIFS(RAB!$F$14:$F$69,RAB!$C$14:$C$69,C1042)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SUMIFS(RAB!$F$14:$F$69,RAB!$C$14:$C$69,C1043)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SUMIFS(RAB!$F$14:$F$69,RAB!$C$14:$C$69,C1044)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SUMIFS(RAB!$F$14:$F$69,RAB!$C$14:$C$69,C1045)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SUMIFS(RAB!$F$14:$F$69,RAB!$C$14:$C$69,C1046)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SUMIFS(RAB!$F$14:$F$69,RAB!$C$14:$C$69,C1047)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SUMIFS(RAB!$F$14:$F$69,RAB!$C$14:$C$69,C1048)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SUMIFS(RAB!$F$14:$F$69,RAB!$C$14:$C$69,C1049)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SUMIFS(RAB!$F$14:$F$69,RAB!$C$14:$C$69,C1050)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SUMIFS(RAB!$F$14:$F$69,RAB!$C$14:$C$69,C1051)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SUMIFS(RAB!$F$14:$F$69,RAB!$C$14:$C$69,C1052)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SUMIFS(RAB!$F$14:$F$69,RAB!$C$14:$C$69,C1053)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SUMIFS(RAB!$F$14:$F$69,RAB!$C$14:$C$69,C1054)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SUMIFS(RAB!$F$14:$F$69,RAB!$C$14:$C$69,C1055)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SUMIFS(RAB!$F$14:$F$69,RAB!$C$14:$C$69,C1056)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SUMIFS(RAB!$F$14:$F$69,RAB!$C$14:$C$69,C1057)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SUMIFS(RAB!$F$14:$F$69,RAB!$C$14:$C$69,C1058)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SUMIFS(RAB!$F$14:$F$69,RAB!$C$14:$C$69,C1059)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SUMIFS(RAB!$F$14:$F$69,RAB!$C$14:$C$69,C1060)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SUMIFS(RAB!$F$14:$F$69,RAB!$C$14:$C$69,C1061)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SUMIFS(RAB!$F$14:$F$69,RAB!$C$14:$C$69,C1062)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SUMIFS(RAB!$F$14:$F$69,RAB!$C$14:$C$69,C1063)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SUMIFS(RAB!$F$14:$F$69,RAB!$C$14:$C$69,C1064)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SUMIFS(RAB!$F$14:$F$69,RAB!$C$14:$C$69,C1065)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SUMIFS(RAB!$F$14:$F$69,RAB!$C$14:$C$69,C1066)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SUMIFS(RAB!$F$14:$F$69,RAB!$C$14:$C$69,C1067)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SUMIFS(RAB!$F$14:$F$69,RAB!$C$14:$C$69,C1068)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SUMIFS(RAB!$F$14:$F$69,RAB!$C$14:$C$69,C1069)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SUMIFS(RAB!$F$14:$F$69,RAB!$C$14:$C$69,C1070)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SUMIFS(RAB!$F$14:$F$69,RAB!$C$14:$C$69,C1071)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SUMIFS(RAB!$F$14:$F$69,RAB!$C$14:$C$69,C1072)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SUMIFS(RAB!$F$14:$F$69,RAB!$C$14:$C$69,C1073)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SUMIFS(RAB!$F$14:$F$69,RAB!$C$14:$C$69,C1074)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SUMIFS(RAB!$F$14:$F$69,RAB!$C$14:$C$69,C1075)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SUMIFS(RAB!$F$14:$F$69,RAB!$C$14:$C$69,C1076)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SUMIFS(RAB!$F$14:$F$69,RAB!$C$14:$C$69,C1077)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SUMIFS(RAB!$F$14:$F$69,RAB!$C$14:$C$69,C1078)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SUMIFS(RAB!$F$14:$F$69,RAB!$C$14:$C$69,C1079)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SUMIFS(RAB!$F$14:$F$69,RAB!$C$14:$C$69,C1080)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SUMIFS(RAB!$F$14:$F$69,RAB!$C$14:$C$69,C1081)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SUMIFS(RAB!$F$14:$F$69,RAB!$C$14:$C$69,C1082)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SUMIFS(RAB!$F$14:$F$69,RAB!$C$14:$C$69,C1083)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SUMIFS(RAB!$F$14:$F$69,RAB!$C$14:$C$69,C1084)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SUMIFS(RAB!$F$14:$F$69,RAB!$C$14:$C$69,C1085)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SUMIFS(RAB!$F$14:$F$69,RAB!$C$14:$C$69,C1086)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SUMIFS(RAB!$F$14:$F$69,RAB!$C$14:$C$69,C1087)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SUMIFS(RAB!$F$14:$F$69,RAB!$C$14:$C$69,C1088)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SUMIFS(RAB!$F$14:$F$69,RAB!$C$14:$C$69,C1089)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SUMIFS(RAB!$F$14:$F$69,RAB!$C$14:$C$69,C1090)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SUMIFS(RAB!$F$14:$F$69,RAB!$C$14:$C$69,C1091)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SUMIFS(RAB!$F$14:$F$69,RAB!$C$14:$C$69,C1092)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SUMIFS(RAB!$F$14:$F$69,RAB!$C$14:$C$69,C1093)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SUMIFS(RAB!$F$14:$F$69,RAB!$C$14:$C$69,C1094)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SUMIFS(RAB!$F$14:$F$69,RAB!$C$14:$C$69,C1095)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SUMIFS(RAB!$F$14:$F$69,RAB!$C$14:$C$69,C1096)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SUMIFS(RAB!$F$14:$F$69,RAB!$C$14:$C$69,C1097)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SUMIFS(RAB!$F$14:$F$69,RAB!$C$14:$C$69,C1098)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SUMIFS(RAB!$F$14:$F$69,RAB!$C$14:$C$69,C1099)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SUMIFS(RAB!$F$14:$F$69,RAB!$C$14:$C$69,C1100)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SUMIFS(RAB!$F$14:$F$69,RAB!$C$14:$C$69,C1101)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SUMIFS(RAB!$F$14:$F$69,RAB!$C$14:$C$69,C1102)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SUMIFS(RAB!$F$14:$F$69,RAB!$C$14:$C$69,C1103)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SUMIFS(RAB!$F$14:$F$69,RAB!$C$14:$C$69,C1104)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SUMIFS(RAB!$F$14:$F$69,RAB!$C$14:$C$69,C1105)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SUMIFS(RAB!$F$14:$F$69,RAB!$C$14:$C$69,C1106)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SUMIFS(RAB!$F$14:$F$69,RAB!$C$14:$C$69,C1107)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SUMIFS(RAB!$F$14:$F$69,RAB!$C$14:$C$69,C1108)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SUMIFS(RAB!$F$14:$F$69,RAB!$C$14:$C$69,C1109)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SUMIFS(RAB!$F$14:$F$69,RAB!$C$14:$C$69,C1110)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SUMIFS(RAB!$F$14:$F$69,RAB!$C$14:$C$69,C1111)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SUMIFS(RAB!$F$14:$F$69,RAB!$C$14:$C$69,C1112)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SUMIFS(RAB!$F$14:$F$69,RAB!$C$14:$C$69,C1113)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SUMIFS(RAB!$F$14:$F$69,RAB!$C$14:$C$69,C1114)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SUMIFS(RAB!$F$14:$F$69,RAB!$C$14:$C$69,C1115)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SUMIFS(RAB!$F$14:$F$69,RAB!$C$14:$C$69,C1116)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SUMIFS(RAB!$F$14:$F$69,RAB!$C$14:$C$69,C1117)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SUMIFS(RAB!$F$14:$F$69,RAB!$C$14:$C$69,C1118)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SUMIFS(RAB!$F$14:$F$69,RAB!$C$14:$C$69,C1119)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SUMIFS(RAB!$F$14:$F$69,RAB!$C$14:$C$69,C1120)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SUMIFS(RAB!$F$14:$F$69,RAB!$C$14:$C$69,C1121)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SUMIFS(RAB!$F$14:$F$69,RAB!$C$14:$C$69,C1122)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SUMIFS(RAB!$F$14:$F$69,RAB!$C$14:$C$69,C1123)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SUMIFS(RAB!$F$14:$F$69,RAB!$C$14:$C$69,C1124)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SUMIFS(RAB!$F$14:$F$69,RAB!$C$14:$C$69,C1125)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SUMIFS(RAB!$F$14:$F$69,RAB!$C$14:$C$69,C1126)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SUMIFS(RAB!$F$14:$F$69,RAB!$C$14:$C$69,C1127)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SUMIFS(RAB!$F$14:$F$69,RAB!$C$14:$C$69,C1128)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SUMIFS(RAB!$F$14:$F$69,RAB!$C$14:$C$69,C1129)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SUMIFS(RAB!$F$14:$F$69,RAB!$C$14:$C$69,C1130)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SUMIFS(RAB!$F$14:$F$69,RAB!$C$14:$C$69,C1131)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SUMIFS(RAB!$F$14:$F$69,RAB!$C$14:$C$69,C1132)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SUMIFS(RAB!$F$14:$F$69,RAB!$C$14:$C$69,C1133)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SUMIFS(RAB!$F$14:$F$69,RAB!$C$14:$C$69,C1134)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SUMIFS(RAB!$F$14:$F$69,RAB!$C$14:$C$69,C1135)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SUMIFS(RAB!$F$14:$F$69,RAB!$C$14:$C$69,C1136)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SUMIFS(RAB!$F$14:$F$69,RAB!$C$14:$C$69,C1137)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SUMIFS(RAB!$F$14:$F$69,RAB!$C$14:$C$69,C1138)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SUMIFS(RAB!$F$14:$F$69,RAB!$C$14:$C$69,C1139)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SUMIFS(RAB!$F$14:$F$69,RAB!$C$14:$C$69,C1140)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SUMIFS(RAB!$F$14:$F$69,RAB!$C$14:$C$69,C1141)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SUMIFS(RAB!$F$14:$F$69,RAB!$C$14:$C$69,C1142)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SUMIFS(RAB!$F$14:$F$69,RAB!$C$14:$C$69,C1143)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SUMIFS(RAB!$F$14:$F$69,RAB!$C$14:$C$69,C1144)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SUMIFS(RAB!$F$14:$F$69,RAB!$C$14:$C$69,C1145)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SUMIFS(RAB!$F$14:$F$69,RAB!$C$14:$C$69,C1146)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SUMIFS(RAB!$F$14:$F$69,RAB!$C$14:$C$69,C1147)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SUMIFS(RAB!$F$14:$F$69,RAB!$C$14:$C$69,C1148)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SUMIFS(RAB!$F$14:$F$69,RAB!$C$14:$C$69,C1149)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SUMIFS(RAB!$F$14:$F$69,RAB!$C$14:$C$69,C1150)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SUMIFS(RAB!$F$14:$F$69,RAB!$C$14:$C$69,C1151)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SUMIFS(RAB!$F$14:$F$69,RAB!$C$14:$C$69,C1152)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SUMIFS(RAB!$F$14:$F$69,RAB!$C$14:$C$69,C1153)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SUMIFS(RAB!$F$14:$F$69,RAB!$C$14:$C$69,C1154)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SUMIFS(RAB!$F$14:$F$69,RAB!$C$14:$C$69,C1155)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SUMIFS(RAB!$F$14:$F$69,RAB!$C$14:$C$69,C1156)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SUMIFS(RAB!$F$14:$F$69,RAB!$C$14:$C$69,C1157)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SUMIFS(RAB!$F$14:$F$69,RAB!$C$14:$C$69,C1158)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SUMIFS(RAB!$F$14:$F$69,RAB!$C$14:$C$69,C1159)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SUMIFS(RAB!$F$14:$F$69,RAB!$C$14:$C$69,C1160)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SUMIFS(RAB!$F$14:$F$69,RAB!$C$14:$C$69,C1161)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SUMIFS(RAB!$F$14:$F$69,RAB!$C$14:$C$69,C1162)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SUMIFS(RAB!$F$14:$F$69,RAB!$C$14:$C$69,C1163)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SUMIFS(RAB!$F$14:$F$69,RAB!$C$14:$C$69,C1164)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SUMIFS(RAB!$F$14:$F$69,RAB!$C$14:$C$69,C1165)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SUMIFS(RAB!$F$14:$F$69,RAB!$C$14:$C$69,C1166)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SUMIFS(RAB!$F$14:$F$69,RAB!$C$14:$C$69,C1167)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SUMIFS(RAB!$F$14:$F$69,RAB!$C$14:$C$69,C1168)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SUMIFS(RAB!$F$14:$F$69,RAB!$C$14:$C$69,C1169)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SUMIFS(RAB!$F$14:$F$69,RAB!$C$14:$C$69,C1170)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SUMIFS(RAB!$F$14:$F$69,RAB!$C$14:$C$69,C1171)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SUMIFS(RAB!$F$14:$F$69,RAB!$C$14:$C$69,C1172)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SUMIFS(RAB!$F$14:$F$69,RAB!$C$14:$C$69,C1173)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SUMIFS(RAB!$F$14:$F$69,RAB!$C$14:$C$69,C1174)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SUMIFS(RAB!$F$14:$F$69,RAB!$C$14:$C$69,C1175)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SUMIFS(RAB!$F$14:$F$69,RAB!$C$14:$C$69,C1176)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SUMIFS(RAB!$F$14:$F$69,RAB!$C$14:$C$69,C1177)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SUMIFS(RAB!$F$14:$F$69,RAB!$C$14:$C$69,C1178)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SUMIFS(RAB!$F$14:$F$69,RAB!$C$14:$C$69,C1179)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SUMIFS(RAB!$F$14:$F$69,RAB!$C$14:$C$69,C1180)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SUMIFS(RAB!$F$14:$F$69,RAB!$C$14:$C$69,C1181)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SUMIFS(RAB!$F$14:$F$69,RAB!$C$14:$C$69,C1182)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SUMIFS(RAB!$F$14:$F$69,RAB!$C$14:$C$69,C1183)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SUMIFS(RAB!$F$14:$F$69,RAB!$C$14:$C$69,C1184)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SUMIFS(RAB!$F$14:$F$69,RAB!$C$14:$C$69,C1185)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SUMIFS(RAB!$F$14:$F$69,RAB!$C$14:$C$69,C1186)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SUMIFS(RAB!$F$14:$F$69,RAB!$C$14:$C$69,C1187)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SUMIFS(RAB!$F$14:$F$69,RAB!$C$14:$C$69,C1188)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SUMIFS(RAB!$F$14:$F$69,RAB!$C$14:$C$69,C1189)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SUMIFS(RAB!$F$14:$F$69,RAB!$C$14:$C$69,C1190)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SUMIFS(RAB!$F$14:$F$69,RAB!$C$14:$C$69,C1191)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SUMIFS(RAB!$F$14:$F$69,RAB!$C$14:$C$69,C1192)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SUMIFS(RAB!$F$14:$F$69,RAB!$C$14:$C$69,C1193)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SUMIFS(RAB!$F$14:$F$69,RAB!$C$14:$C$69,C1194)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SUMIFS(RAB!$F$14:$F$69,RAB!$C$14:$C$69,C1195)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SUMIFS(RAB!$F$14:$F$69,RAB!$C$14:$C$69,C1196)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SUMIFS(RAB!$F$14:$F$69,RAB!$C$14:$C$69,C1197)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SUMIFS(RAB!$F$14:$F$69,RAB!$C$14:$C$69,C1198)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SUMIFS(RAB!$F$14:$F$69,RAB!$C$14:$C$69,C1199)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SUMIFS(RAB!$F$14:$F$69,RAB!$C$14:$C$69,C1200)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SUMIFS(RAB!$F$14:$F$69,RAB!$C$14:$C$69,C1201)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SUMIFS(RAB!$F$14:$F$69,RAB!$C$14:$C$69,C1202)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SUMIFS(RAB!$F$14:$F$69,RAB!$C$14:$C$69,C1203)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SUMIFS(RAB!$F$14:$F$69,RAB!$C$14:$C$69,C1204)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SUMIFS(RAB!$F$14:$F$69,RAB!$C$14:$C$69,C1205)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SUMIFS(RAB!$F$14:$F$69,RAB!$C$14:$C$69,C1206)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SUMIFS(RAB!$F$14:$F$69,RAB!$C$14:$C$69,C1207)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SUMIFS(RAB!$F$14:$F$69,RAB!$C$14:$C$69,C1208)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SUMIFS(RAB!$F$14:$F$69,RAB!$C$14:$C$69,C1209)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SUMIFS(RAB!$F$14:$F$69,RAB!$C$14:$C$69,C1210)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SUMIFS(RAB!$F$14:$F$69,RAB!$C$14:$C$69,C1211)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SUMIFS(RAB!$F$14:$F$69,RAB!$C$14:$C$69,C1212)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SUMIFS(RAB!$F$14:$F$69,RAB!$C$14:$C$69,C1213)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SUMIFS(RAB!$F$14:$F$69,RAB!$C$14:$C$69,C1214)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SUMIFS(RAB!$F$14:$F$69,RAB!$C$14:$C$69,C1215)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SUMIFS(RAB!$F$14:$F$69,RAB!$C$14:$C$69,C1216)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SUMIFS(RAB!$F$14:$F$69,RAB!$C$14:$C$69,C1217)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SUMIFS(RAB!$F$14:$F$69,RAB!$C$14:$C$69,C1218)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SUMIFS(RAB!$F$14:$F$69,RAB!$C$14:$C$69,C1219)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SUMIFS(RAB!$F$14:$F$69,RAB!$C$14:$C$69,C1220)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SUMIFS(RAB!$F$14:$F$69,RAB!$C$14:$C$69,C1221)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SUMIFS(RAB!$F$14:$F$69,RAB!$C$14:$C$69,C1222)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SUMIFS(RAB!$F$14:$F$69,RAB!$C$14:$C$69,C1223)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SUMIFS(RAB!$F$14:$F$69,RAB!$C$14:$C$69,C1224)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SUMIFS(RAB!$F$14:$F$69,RAB!$C$14:$C$69,C1225)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SUMIFS(RAB!$F$14:$F$69,RAB!$C$14:$C$69,C1226)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SUMIFS(RAB!$F$14:$F$69,RAB!$C$14:$C$69,C1227)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SUMIFS(RAB!$F$14:$F$69,RAB!$C$14:$C$69,C1228)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SUMIFS(RAB!$F$14:$F$69,RAB!$C$14:$C$69,C1229)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SUMIFS(RAB!$F$14:$F$69,RAB!$C$14:$C$69,C1230)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SUMIFS(RAB!$F$14:$F$69,RAB!$C$14:$C$69,C1231)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SUMIFS(RAB!$F$14:$F$69,RAB!$C$14:$C$69,C1232)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SUMIFS(RAB!$F$14:$F$69,RAB!$C$14:$C$69,C1233)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SUMIFS(RAB!$F$14:$F$69,RAB!$C$14:$C$69,C1234)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SUMIFS(RAB!$F$14:$F$69,RAB!$C$14:$C$69,C1235)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SUMIFS(RAB!$F$14:$F$69,RAB!$C$14:$C$69,C1236)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SUMIFS(RAB!$F$14:$F$69,RAB!$C$14:$C$69,C1237)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SUMIFS(RAB!$F$14:$F$69,RAB!$C$14:$C$69,C1238)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SUMIFS(RAB!$F$14:$F$69,RAB!$C$14:$C$69,C1239)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SUMIFS(RAB!$F$14:$F$69,RAB!$C$14:$C$69,C1240)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SUMIFS(RAB!$F$14:$F$69,RAB!$C$14:$C$69,C1241)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SUMIFS(RAB!$F$14:$F$69,RAB!$C$14:$C$69,C1242)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SUMIFS(RAB!$F$14:$F$69,RAB!$C$14:$C$69,C1243)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SUMIFS(RAB!$F$14:$F$69,RAB!$C$14:$C$69,C1244)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SUMIFS(RAB!$F$14:$F$69,RAB!$C$14:$C$69,C1245)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SUMIFS(RAB!$F$14:$F$69,RAB!$C$14:$C$69,C1246)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SUMIFS(RAB!$F$14:$F$69,RAB!$C$14:$C$69,C1247)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SUMIFS(RAB!$F$14:$F$69,RAB!$C$14:$C$69,C1248)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SUMIFS(RAB!$F$14:$F$69,RAB!$C$14:$C$69,C1249)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SUMIFS(RAB!$F$14:$F$69,RAB!$C$14:$C$69,C1250)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SUMIFS(RAB!$F$14:$F$69,RAB!$C$14:$C$69,C1251)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SUMIFS(RAB!$F$14:$F$69,RAB!$C$14:$C$69,C1252)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SUMIFS(RAB!$F$14:$F$69,RAB!$C$14:$C$69,C1253)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SUMIFS(RAB!$F$14:$F$69,RAB!$C$14:$C$69,C1254)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SUMIFS(RAB!$F$14:$F$69,RAB!$C$14:$C$69,C1255)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SUMIFS(RAB!$F$14:$F$69,RAB!$C$14:$C$69,C1256)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SUMIFS(RAB!$F$14:$F$69,RAB!$C$14:$C$69,C1257)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SUMIFS(RAB!$F$14:$F$69,RAB!$C$14:$C$69,C1258)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SUMIFS(RAB!$F$14:$F$69,RAB!$C$14:$C$69,C1259)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SUMIFS(RAB!$F$14:$F$69,RAB!$C$14:$C$69,C1260)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SUMIFS(RAB!$F$14:$F$69,RAB!$C$14:$C$69,C1261)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SUMIFS(RAB!$F$14:$F$69,RAB!$C$14:$C$69,C1262)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SUMIFS(RAB!$F$14:$F$69,RAB!$C$14:$C$69,C1263)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SUMIFS(RAB!$F$14:$F$69,RAB!$C$14:$C$69,C1264)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SUMIFS(RAB!$F$14:$F$69,RAB!$C$14:$C$69,C1265)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SUMIFS(RAB!$F$14:$F$69,RAB!$C$14:$C$69,C1266)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SUMIFS(RAB!$F$14:$F$69,RAB!$C$14:$C$69,C1267)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SUMIFS(RAB!$F$14:$F$69,RAB!$C$14:$C$69,C1268)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SUMIFS(RAB!$F$14:$F$69,RAB!$C$14:$C$69,C1269)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SUMIFS(RAB!$F$14:$F$69,RAB!$C$14:$C$69,C1270)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SUMIFS(RAB!$F$14:$F$69,RAB!$C$14:$C$69,C1271)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SUMIFS(RAB!$F$14:$F$69,RAB!$C$14:$C$69,C1272)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SUMIFS(RAB!$F$14:$F$69,RAB!$C$14:$C$69,C1273)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SUMIFS(RAB!$F$14:$F$69,RAB!$C$14:$C$69,C1274)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SUMIFS(RAB!$F$14:$F$69,RAB!$C$14:$C$69,C1275)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SUMIFS(RAB!$F$14:$F$69,RAB!$C$14:$C$69,C1276)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SUMIFS(RAB!$F$14:$F$69,RAB!$C$14:$C$69,C1277)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SUMIFS(RAB!$F$14:$F$69,RAB!$C$14:$C$69,C1278)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SUMIFS(RAB!$F$14:$F$69,RAB!$C$14:$C$69,C1279)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SUMIFS(RAB!$F$14:$F$69,RAB!$C$14:$C$69,C1280)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SUMIFS(RAB!$F$14:$F$69,RAB!$C$14:$C$69,C1281)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SUMIFS(RAB!$F$14:$F$69,RAB!$C$14:$C$69,C1282)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SUMIFS(RAB!$F$14:$F$69,RAB!$C$14:$C$69,C1283)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SUMIFS(RAB!$F$14:$F$69,RAB!$C$14:$C$69,C1284)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SUMIFS(RAB!$F$14:$F$69,RAB!$C$14:$C$69,C1285)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SUMIFS(RAB!$F$14:$F$69,RAB!$C$14:$C$69,C1286)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SUMIFS(RAB!$F$14:$F$69,RAB!$C$14:$C$69,C1287)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SUMIFS(RAB!$F$14:$F$69,RAB!$C$14:$C$69,C1288)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SUMIFS(RAB!$F$14:$F$69,RAB!$C$14:$C$69,C1289)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SUMIFS(RAB!$F$14:$F$69,RAB!$C$14:$C$69,C1290)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SUMIFS(RAB!$F$14:$F$69,RAB!$C$14:$C$69,C1291)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SUMIFS(RAB!$F$14:$F$69,RAB!$C$14:$C$69,C1292)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SUMIFS(RAB!$F$14:$F$69,RAB!$C$14:$C$69,C1293)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SUMIFS(RAB!$F$14:$F$69,RAB!$C$14:$C$69,C1294)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SUMIFS(RAB!$F$14:$F$69,RAB!$C$14:$C$69,C1295)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SUMIFS(RAB!$F$14:$F$69,RAB!$C$14:$C$69,C1296)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SUMIFS(RAB!$F$14:$F$69,RAB!$C$14:$C$69,C1297)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SUMIFS(RAB!$F$14:$F$69,RAB!$C$14:$C$69,C1298)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SUMIFS(RAB!$F$14:$F$69,RAB!$C$14:$C$69,C1299)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SUMIFS(RAB!$F$14:$F$69,RAB!$C$14:$C$69,C1300)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SUMIFS(RAB!$F$14:$F$69,RAB!$C$14:$C$69,C1301)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SUMIFS(RAB!$F$14:$F$69,RAB!$C$14:$C$69,C1302)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SUMIFS(RAB!$F$14:$F$69,RAB!$C$14:$C$69,C1303)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SUMIFS(RAB!$F$14:$F$69,RAB!$C$14:$C$69,C1304)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SUMIFS(RAB!$F$14:$F$69,RAB!$C$14:$C$69,C1305)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SUMIFS(RAB!$F$14:$F$69,RAB!$C$14:$C$69,C1306)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SUMIFS(RAB!$F$14:$F$69,RAB!$C$14:$C$69,C1307)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SUMIFS(RAB!$F$14:$F$69,RAB!$C$14:$C$69,C1308)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SUMIFS(RAB!$F$14:$F$69,RAB!$C$14:$C$69,C1309)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SUMIFS(RAB!$F$14:$F$69,RAB!$C$14:$C$69,C1310)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SUMIFS(RAB!$F$14:$F$69,RAB!$C$14:$C$69,C1311)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SUMIFS(RAB!$F$14:$F$69,RAB!$C$14:$C$69,C1312)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SUMIFS(RAB!$F$14:$F$69,RAB!$C$14:$C$69,C1313)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SUMIFS(RAB!$F$14:$F$69,RAB!$C$14:$C$69,C1314)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SUMIFS(RAB!$F$14:$F$69,RAB!$C$14:$C$69,C1315)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SUMIFS(RAB!$F$14:$F$69,RAB!$C$14:$C$69,C1316)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SUMIFS(RAB!$F$14:$F$69,RAB!$C$14:$C$69,C1317)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SUMIFS(RAB!$F$14:$F$69,RAB!$C$14:$C$69,C1318)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SUMIFS(RAB!$F$14:$F$69,RAB!$C$14:$C$69,C1319)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SUMIFS(RAB!$F$14:$F$69,RAB!$C$14:$C$69,C1320)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1127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POMPA AIR JATENG LAND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KI JATENGLAND DS BATU, KARANGTENGAH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9" t="s">
        <v>1008</v>
      </c>
      <c r="D38" s="539"/>
      <c r="E38" s="539"/>
      <c r="F38" s="539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0" t="s">
        <v>462</v>
      </c>
      <c r="D39" s="540"/>
      <c r="E39" s="540"/>
      <c r="F39" s="540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9" t="s">
        <v>463</v>
      </c>
      <c r="D40" s="529"/>
      <c r="E40" s="529"/>
      <c r="F40" s="529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2" t="e">
        <f ca="1">"Terbilang : ( "&amp;L42&amp;" Rupiah )"</f>
        <v>#NAME?</v>
      </c>
      <c r="C41" s="533"/>
      <c r="D41" s="533"/>
      <c r="E41" s="533"/>
      <c r="F41" s="533"/>
      <c r="G41" s="533"/>
      <c r="H41" s="533"/>
      <c r="I41" s="533"/>
      <c r="J41" s="533"/>
      <c r="K41" s="534"/>
      <c r="L41" s="44"/>
      <c r="R41" s="58"/>
      <c r="S41" s="58"/>
      <c r="T41" s="58"/>
    </row>
    <row r="42" spans="1:20" s="36" customFormat="1">
      <c r="A42" s="30"/>
      <c r="B42" s="535"/>
      <c r="C42" s="536"/>
      <c r="D42" s="536"/>
      <c r="E42" s="536"/>
      <c r="F42" s="536"/>
      <c r="G42" s="536"/>
      <c r="H42" s="536"/>
      <c r="I42" s="536"/>
      <c r="J42" s="536"/>
      <c r="K42" s="537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0"/>
      <c r="I45" s="530"/>
      <c r="J45" s="531"/>
      <c r="K45" s="53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0"/>
      <c r="I46" s="530"/>
      <c r="J46" s="531"/>
      <c r="K46" s="53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0"/>
      <c r="I47" s="530"/>
      <c r="J47" s="531"/>
      <c r="K47" s="53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0"/>
      <c r="I52" s="530"/>
      <c r="J52" s="531"/>
      <c r="K52" s="53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SUMIFS(RAB!$F$14:$F$69,RAB!$C$14:$C$69,'REKAP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SUMIFS(RAB!$F$14:$F$69,RAB!$C$14:$C$69,'REKAP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SUMIFS(RAB!$F$14:$F$69,RAB!$C$14:$C$69,'REKAP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SUMIFS(RAB!$F$14:$F$69,RAB!$C$14:$C$69,'REKAP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SUMIFS(RAB!$F$14:$F$69,RAB!$C$14:$C$69,'REKAP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SUMIFS(RAB!$F$14:$F$69,RAB!$C$14:$C$69,'REKAP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SUMIFS(RAB!$F$14:$F$69,RAB!$C$14:$C$69,'REKAP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SUMIFS(RAB!$F$14:$F$69,RAB!$C$14:$C$69,'REKAP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SUMIFS(RAB!$F$14:$F$69,RAB!$C$14:$C$69,'REKAP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SUMIFS(RAB!$F$14:$F$69,RAB!$C$14:$C$69,'REKAP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SUMIFS(RAB!$F$14:$F$69,RAB!$C$14:$C$69,'REKAP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SUMIFS(RAB!$F$14:$F$69,RAB!$C$14:$C$69,'REKAP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SUMIFS(RAB!$F$14:$F$69,RAB!$C$14:$C$69,'REKAP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SUMIFS(RAB!$F$14:$F$69,RAB!$C$14:$C$69,'REKAP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SUMIFS(RAB!$F$14:$F$69,RAB!$C$14:$C$69,'REKAP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SUMIFS(RAB!$F$14:$F$69,RAB!$C$14:$C$69,'REKAP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SUMIFS(RAB!$F$14:$F$69,RAB!$C$14:$C$69,'REKAP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SUMIFS(RAB!$F$14:$F$69,RAB!$C$14:$C$69,'REKAP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SUMIFS(RAB!$F$14:$F$69,RAB!$C$14:$C$69,'REKAP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SUMIFS(RAB!$F$14:$F$69,RAB!$C$14:$C$69,'REKAP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1034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POMPA AIR JATENG LAND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KI JATENGLAND DS BATU, KARANGTENGAH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41.5 kVA MCCB 63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163500</v>
      </c>
      <c r="I22" s="42">
        <f t="shared" ca="1" si="2"/>
        <v>0</v>
      </c>
      <c r="J22" s="42">
        <f t="shared" ca="1" si="3"/>
        <v>0</v>
      </c>
      <c r="K22" s="43">
        <f t="shared" ca="1" si="0"/>
        <v>163500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9" t="s">
        <v>1008</v>
      </c>
      <c r="D168" s="539"/>
      <c r="E168" s="539"/>
      <c r="F168" s="539"/>
      <c r="G168" s="77" t="s">
        <v>9</v>
      </c>
      <c r="H168" s="55">
        <f ca="1">SUM(H14:H167)</f>
        <v>66844650</v>
      </c>
      <c r="I168" s="55">
        <f ca="1">SUM(I14:I167)</f>
        <v>0</v>
      </c>
      <c r="J168" s="55">
        <f ca="1">SUM(J14:J167)</f>
        <v>0</v>
      </c>
      <c r="K168" s="55">
        <f ca="1">SUM(K14:K167)</f>
        <v>66844650</v>
      </c>
      <c r="L168" s="44"/>
      <c r="R168" s="99"/>
      <c r="S168" s="99"/>
      <c r="T168" s="99"/>
    </row>
    <row r="169" spans="1:20" s="36" customFormat="1">
      <c r="A169" s="30"/>
      <c r="B169" s="56"/>
      <c r="C169" s="540" t="s">
        <v>462</v>
      </c>
      <c r="D169" s="540"/>
      <c r="E169" s="540"/>
      <c r="F169" s="540"/>
      <c r="G169" s="59" t="s">
        <v>9</v>
      </c>
      <c r="H169" s="60">
        <f ca="1">H168*0.1</f>
        <v>6684465</v>
      </c>
      <c r="I169" s="60">
        <f ca="1">I168*0.1</f>
        <v>0</v>
      </c>
      <c r="J169" s="60">
        <f ca="1">J168*0.1</f>
        <v>0</v>
      </c>
      <c r="K169" s="60">
        <f ca="1">K168*0.1</f>
        <v>6684465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9" t="s">
        <v>463</v>
      </c>
      <c r="D170" s="529"/>
      <c r="E170" s="529"/>
      <c r="F170" s="529"/>
      <c r="G170" s="61" t="s">
        <v>9</v>
      </c>
      <c r="H170" s="78">
        <f ca="1">SUM(H168:H169)</f>
        <v>73529115</v>
      </c>
      <c r="I170" s="78">
        <f ca="1">SUM(I168:I169)</f>
        <v>0</v>
      </c>
      <c r="J170" s="61">
        <f ca="1">SUM(J168:J169)</f>
        <v>0</v>
      </c>
      <c r="K170" s="61">
        <f ca="1">SUM(K168:K169)</f>
        <v>73529115</v>
      </c>
      <c r="L170" s="44"/>
      <c r="R170" s="99"/>
      <c r="S170" s="99"/>
      <c r="T170" s="99"/>
    </row>
    <row r="171" spans="1:20" s="36" customFormat="1">
      <c r="A171" s="30"/>
      <c r="B171" s="532" t="e">
        <f ca="1">"Terbilang : ( "&amp;L172&amp;" Rupiah )"</f>
        <v>#NAME?</v>
      </c>
      <c r="C171" s="533"/>
      <c r="D171" s="533"/>
      <c r="E171" s="533"/>
      <c r="F171" s="533"/>
      <c r="G171" s="533"/>
      <c r="H171" s="533"/>
      <c r="I171" s="533"/>
      <c r="J171" s="533"/>
      <c r="K171" s="534"/>
      <c r="L171" s="44"/>
      <c r="R171" s="58"/>
      <c r="S171" s="58"/>
      <c r="T171" s="58"/>
    </row>
    <row r="172" spans="1:20" s="36" customFormat="1">
      <c r="A172" s="30"/>
      <c r="B172" s="535"/>
      <c r="C172" s="536"/>
      <c r="D172" s="536"/>
      <c r="E172" s="536"/>
      <c r="F172" s="536"/>
      <c r="G172" s="536"/>
      <c r="H172" s="536"/>
      <c r="I172" s="536"/>
      <c r="J172" s="536"/>
      <c r="K172" s="537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0"/>
      <c r="I175" s="530"/>
      <c r="J175" s="531"/>
      <c r="K175" s="53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0"/>
      <c r="I176" s="530"/>
      <c r="J176" s="531"/>
      <c r="K176" s="53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0"/>
      <c r="I177" s="530"/>
      <c r="J177" s="531"/>
      <c r="K177" s="53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0"/>
      <c r="I182" s="530"/>
      <c r="J182" s="531"/>
      <c r="K182" s="53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SUMIFS(RAB!$F$14:$F$69,RAB!$C$14:$C$69,C224)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SUMIFS(RAB!$F$14:$F$69,RAB!$C$14:$C$69,C225)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SUMIFS(RAB!$F$14:$F$69,RAB!$C$14:$C$69,C226)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SUMIFS(RAB!$F$14:$F$69,RAB!$C$14:$C$69,C227)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SUMIFS(RAB!$F$14:$F$69,RAB!$C$14:$C$69,C228)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SUMIFS(RAB!$F$14:$F$69,RAB!$C$14:$C$69,C229)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SUMIFS(RAB!$F$14:$F$69,RAB!$C$14:$C$69,C230)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SUMIFS(RAB!$F$14:$F$69,RAB!$C$14:$C$69,C231)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SUMIFS(RAB!$F$14:$F$69,RAB!$C$14:$C$69,C232)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SUMIFS(RAB!$F$14:$F$69,RAB!$C$14:$C$69,C233)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SUMIFS(RAB!$F$14:$F$69,RAB!$C$14:$C$69,C234)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SUMIFS(RAB!$F$14:$F$69,RAB!$C$14:$C$69,C235)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SUMIFS(RAB!$F$14:$F$69,RAB!$C$14:$C$69,C236)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SUMIFS(RAB!$F$14:$F$69,RAB!$C$14:$C$69,C237)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SUMIFS(RAB!$F$14:$F$69,RAB!$C$14:$C$69,C238)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SUMIFS(RAB!$F$14:$F$69,RAB!$C$14:$C$69,C239)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SUMIFS(RAB!$F$14:$F$69,RAB!$C$14:$C$69,C240)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SUMIFS(RAB!$F$14:$F$69,RAB!$C$14:$C$69,C241)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SUMIFS(RAB!$F$14:$F$69,RAB!$C$14:$C$69,C242)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SUMIFS(RAB!$F$14:$F$69,RAB!$C$14:$C$69,C243)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SUMIFS(RAB!$F$14:$F$69,RAB!$C$14:$C$69,C244)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SUMIFS(RAB!$F$14:$F$69,RAB!$C$14:$C$69,C245)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SUMIFS(RAB!$F$14:$F$69,RAB!$C$14:$C$69,C246)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SUMIFS(RAB!$F$14:$F$69,RAB!$C$14:$C$69,C247)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SUMIFS(RAB!$F$14:$F$69,RAB!$C$14:$C$69,C248)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SUMIFS(RAB!$F$14:$F$69,RAB!$C$14:$C$69,C249)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SUMIFS(RAB!$F$14:$F$69,RAB!$C$14:$C$69,C250)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SUMIFS(RAB!$F$14:$F$69,RAB!$C$14:$C$69,C251)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SUMIFS(RAB!$F$14:$F$69,RAB!$C$14:$C$69,C252)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SUMIFS(RAB!$F$14:$F$69,RAB!$C$14:$C$69,C253)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SUMIFS(RAB!$F$14:$F$69,RAB!$C$14:$C$69,C254)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SUMIFS(RAB!$F$14:$F$69,RAB!$C$14:$C$69,C255)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SUMIFS(RAB!$F$14:$F$69,RAB!$C$14:$C$69,C256)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SUMIFS(RAB!$F$14:$F$69,RAB!$C$14:$C$69,C257)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SUMIFS(RAB!$F$14:$F$69,RAB!$C$14:$C$69,C258)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SUMIFS(RAB!$F$14:$F$69,RAB!$C$14:$C$69,C259)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SUMIFS(RAB!$F$14:$F$69,RAB!$C$14:$C$69,C260)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SUMIFS(RAB!$F$14:$F$69,RAB!$C$14:$C$69,C261)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SUMIFS(RAB!$F$14:$F$69,RAB!$C$14:$C$69,C262)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SUMIFS(RAB!$F$14:$F$69,RAB!$C$14:$C$69,C263)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SUMIFS(RAB!$F$14:$F$69,RAB!$C$14:$C$69,C264)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SUMIFS(RAB!$F$14:$F$69,RAB!$C$14:$C$69,C265)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SUMIFS(RAB!$F$14:$F$69,RAB!$C$14:$C$69,C266)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SUMIFS(RAB!$F$14:$F$69,RAB!$C$14:$C$69,C267)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SUMIFS(RAB!$F$14:$F$69,RAB!$C$14:$C$69,C268)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SUMIFS(RAB!$F$14:$F$69,RAB!$C$14:$C$69,C269)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SUMIFS(RAB!$F$14:$F$69,RAB!$C$14:$C$69,C270)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SUMIFS(RAB!$F$14:$F$69,RAB!$C$14:$C$69,C271)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SUMIFS(RAB!$F$14:$F$69,RAB!$C$14:$C$69,C272)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SUMIFS(RAB!$F$14:$F$69,RAB!$C$14:$C$69,C273)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SUMIFS(RAB!$F$14:$F$69,RAB!$C$14:$C$69,C274)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SUMIFS(RAB!$F$14:$F$69,RAB!$C$14:$C$69,C275)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SUMIFS(RAB!$F$14:$F$69,RAB!$C$14:$C$69,C276)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SUMIFS(RAB!$F$14:$F$69,RAB!$C$14:$C$69,C277)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SUMIFS(RAB!$F$14:$F$69,RAB!$C$14:$C$69,C278)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SUMIFS(RAB!$F$14:$F$69,RAB!$C$14:$C$69,C279)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SUMIFS(RAB!$F$14:$F$69,RAB!$C$14:$C$69,C280)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SUMIFS(RAB!$F$14:$F$69,RAB!$C$14:$C$69,C281)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SUMIFS(RAB!$F$14:$F$69,RAB!$C$14:$C$69,C282)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SUMIFS(RAB!$F$14:$F$69,RAB!$C$14:$C$69,C283)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SUMIFS(RAB!$F$14:$F$69,RAB!$C$14:$C$69,C284)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SUMIFS(RAB!$F$14:$F$69,RAB!$C$14:$C$69,C285)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SUMIFS(RAB!$F$14:$F$69,RAB!$C$14:$C$69,C286)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SUMIFS(RAB!$F$14:$F$69,RAB!$C$14:$C$69,C287)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SUMIFS(RAB!$F$14:$F$69,RAB!$C$14:$C$69,C288)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SUMIFS(RAB!$F$14:$F$69,RAB!$C$14:$C$69,C289)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SUMIFS(RAB!$F$14:$F$69,RAB!$C$14:$C$69,C290)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SUMIFS(RAB!$F$14:$F$69,RAB!$C$14:$C$69,C291)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SUMIFS(RAB!$F$14:$F$69,RAB!$C$14:$C$69,C292)</f>
        <v>1</v>
      </c>
      <c r="E292" s="24">
        <f t="shared" ca="1" si="22"/>
        <v>1</v>
      </c>
      <c r="F292" s="24">
        <f ca="1">IF(D292=0,0,SUM($E$223:E292))</f>
        <v>2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SUMIFS(RAB!$F$14:$F$69,RAB!$C$14:$C$69,C293)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SUMIFS(RAB!$F$14:$F$69,RAB!$C$14:$C$69,C294)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SUMIFS(RAB!$F$14:$F$69,RAB!$C$14:$C$69,C295)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SUMIFS(RAB!$F$14:$F$69,RAB!$C$14:$C$69,C296)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SUMIFS(RAB!$F$14:$F$69,RAB!$C$14:$C$69,C297)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SUMIFS(RAB!$F$14:$F$69,RAB!$C$14:$C$69,C298)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SUMIFS(RAB!$F$14:$F$69,RAB!$C$14:$C$69,C299)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SUMIFS(RAB!$F$14:$F$69,RAB!$C$14:$C$69,C300)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SUMIFS(RAB!$F$14:$F$69,RAB!$C$14:$C$69,C301)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SUMIFS(RAB!$F$14:$F$69,RAB!$C$14:$C$69,C302)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SUMIFS(RAB!$F$14:$F$69,RAB!$C$14:$C$69,C303)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SUMIFS(RAB!$F$14:$F$69,RAB!$C$14:$C$69,C304)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SUMIFS(RAB!$F$14:$F$69,RAB!$C$14:$C$69,C305)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SUMIFS(RAB!$F$14:$F$69,RAB!$C$14:$C$69,C306)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SUMIFS(RAB!$F$14:$F$69,RAB!$C$14:$C$69,C307)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SUMIFS(RAB!$F$14:$F$69,RAB!$C$14:$C$69,C308)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SUMIFS(RAB!$F$14:$F$69,RAB!$C$14:$C$69,C309)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SUMIFS(RAB!$F$14:$F$69,RAB!$C$14:$C$69,C310)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SUMIFS(RAB!$F$14:$F$69,RAB!$C$14:$C$69,C311)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SUMIFS(RAB!$F$14:$F$69,RAB!$C$14:$C$69,C312)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SUMIFS(RAB!$F$14:$F$69,RAB!$C$14:$C$69,C313)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SUMIFS(RAB!$F$14:$F$69,RAB!$C$14:$C$69,C314)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SUMIFS(RAB!$F$14:$F$69,RAB!$C$14:$C$69,C315)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SUMIFS(RAB!$F$14:$F$69,RAB!$C$14:$C$69,C316)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SUMIFS(RAB!$F$14:$F$69,RAB!$C$14:$C$69,C317)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SUMIFS(RAB!$F$14:$F$69,RAB!$C$14:$C$69,C318)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SUMIFS(RAB!$F$14:$F$69,RAB!$C$14:$C$69,C319)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SUMIFS(RAB!$F$14:$F$69,RAB!$C$14:$C$69,C320)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SUMIFS(RAB!$F$14:$F$69,RAB!$C$14:$C$69,C321)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SUMIFS(RAB!$F$14:$F$69,RAB!$C$14:$C$69,C322)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SUMIFS(RAB!$F$14:$F$69,RAB!$C$14:$C$69,C323)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SUMIFS(RAB!$F$14:$F$69,RAB!$C$14:$C$69,C324)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SUMIFS(RAB!$F$14:$F$69,RAB!$C$14:$C$69,C325)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SUMIFS(RAB!$F$14:$F$69,RAB!$C$14:$C$69,C326)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SUMIFS(RAB!$F$14:$F$69,RAB!$C$14:$C$69,C327)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SUMIFS(RAB!$F$14:$F$69,RAB!$C$14:$C$69,C328)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SUMIFS(RAB!$F$14:$F$69,RAB!$C$14:$C$69,C329)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SUMIFS(RAB!$F$14:$F$69,RAB!$C$14:$C$69,C330)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SUMIFS(RAB!$F$14:$F$69,RAB!$C$14:$C$69,C331)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SUMIFS(RAB!$F$14:$F$69,RAB!$C$14:$C$69,C332)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SUMIFS(RAB!$F$14:$F$69,RAB!$C$14:$C$69,C333)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SUMIFS(RAB!$F$14:$F$69,RAB!$C$14:$C$69,C334)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SUMIFS(RAB!$F$14:$F$69,RAB!$C$14:$C$69,C335)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SUMIFS(RAB!$F$14:$F$69,RAB!$C$14:$C$69,C336)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SUMIFS(RAB!$F$14:$F$69,RAB!$C$14:$C$69,C337)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SUMIFS(RAB!$F$14:$F$69,RAB!$C$14:$C$69,C338)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SUMIFS(RAB!$F$14:$F$69,RAB!$C$14:$C$69,C339)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SUMIFS(RAB!$F$14:$F$69,RAB!$C$14:$C$69,C340)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SUMIFS(RAB!$F$14:$F$69,RAB!$C$14:$C$69,C341)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SUMIFS(RAB!$F$14:$F$69,RAB!$C$14:$C$69,C342)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SUMIFS(RAB!$F$14:$F$69,RAB!$C$14:$C$69,C343)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SUMIFS(RAB!$F$14:$F$69,RAB!$C$14:$C$69,C344)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SUMIFS(RAB!$F$14:$F$69,RAB!$C$14:$C$69,C345)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SUMIFS(RAB!$F$14:$F$69,RAB!$C$14:$C$69,C346)</f>
        <v>3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SUMIFS(RAB!$F$14:$F$69,RAB!$C$14:$C$69,C347)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SUMIFS(RAB!$F$14:$F$69,RAB!$C$14:$C$69,C348)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SUMIFS(RAB!$F$14:$F$69,RAB!$C$14:$C$69,C349)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SUMIFS(RAB!$F$14:$F$69,RAB!$C$14:$C$69,C350)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SUMIFS(RAB!$F$14:$F$69,RAB!$C$14:$C$69,C351)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SUMIFS(RAB!$F$14:$F$69,RAB!$C$14:$C$69,C352)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SUMIFS(RAB!$F$14:$F$69,RAB!$C$14:$C$69,C353)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SUMIFS(RAB!$F$14:$F$69,RAB!$C$14:$C$69,C354)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SUMIFS(RAB!$F$14:$F$69,RAB!$C$14:$C$69,C355)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SUMIFS(RAB!$F$14:$F$69,RAB!$C$14:$C$69,C356)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SUMIFS(RAB!$F$14:$F$69,RAB!$C$14:$C$69,C357)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SUMIFS(RAB!$F$14:$F$69,RAB!$C$14:$C$69,C358)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SUMIFS(RAB!$F$14:$F$69,RAB!$C$14:$C$69,C359)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SUMIFS(RAB!$F$14:$F$69,RAB!$C$14:$C$69,C360)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SUMIFS(RAB!$F$14:$F$69,RAB!$C$14:$C$69,C361)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SUMIFS(RAB!$F$14:$F$69,RAB!$C$14:$C$69,C362)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SUMIFS(RAB!$F$14:$F$69,RAB!$C$14:$C$69,C363)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SUMIFS(RAB!$F$14:$F$69,RAB!$C$14:$C$69,C364)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SUMIFS(RAB!$F$14:$F$69,RAB!$C$14:$C$69,C365)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SUMIFS(RAB!$F$14:$F$69,RAB!$C$14:$C$69,C366)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SUMIFS(RAB!$F$14:$F$69,RAB!$C$14:$C$69,C367)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SUMIFS(RAB!$F$14:$F$69,RAB!$C$14:$C$69,C368)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SUMIFS(RAB!$F$14:$F$69,RAB!$C$14:$C$69,C369)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SUMIFS(RAB!$F$14:$F$69,RAB!$C$14:$C$69,C370)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SUMIFS(RAB!$F$14:$F$69,RAB!$C$14:$C$69,C371)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SUMIFS(RAB!$F$14:$F$69,RAB!$C$14:$C$69,C372)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SUMIFS(RAB!$F$14:$F$69,RAB!$C$14:$C$69,C373)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9"/>
    </row>
    <row r="4" spans="4:4" ht="57" customHeight="1">
      <c r="D4" s="459">
        <v>3</v>
      </c>
    </row>
    <row r="5" spans="4:4" ht="57" customHeight="1">
      <c r="D5" s="45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3" activePane="bottomRight" state="frozen"/>
      <selection activeCell="D209" sqref="D209"/>
      <selection pane="topRight" activeCell="D209" sqref="D209"/>
      <selection pane="bottomLeft" activeCell="D209" sqref="D209"/>
      <selection pane="bottomRight" activeCell="C136" sqref="C136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7" t="s">
        <v>41</v>
      </c>
      <c r="C2" s="55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8" t="s">
        <v>23</v>
      </c>
      <c r="C4" s="559" t="s">
        <v>1012</v>
      </c>
      <c r="D4" s="559" t="s">
        <v>42</v>
      </c>
      <c r="E4" s="558" t="s">
        <v>43</v>
      </c>
      <c r="F4" s="108" t="s">
        <v>1604</v>
      </c>
      <c r="G4" s="108" t="s">
        <v>1603</v>
      </c>
      <c r="H4" s="55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8"/>
      <c r="C5" s="559"/>
      <c r="D5" s="559"/>
      <c r="E5" s="558"/>
      <c r="F5" s="93"/>
      <c r="G5" s="93"/>
      <c r="H5" s="556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6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6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7">
        <v>2740</v>
      </c>
      <c r="G1433" s="487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8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8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8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8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8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2" priority="138" operator="equal">
      <formula>0</formula>
    </cfRule>
  </conditionalFormatting>
  <conditionalFormatting sqref="B8:C135">
    <cfRule type="cellIs" dxfId="31" priority="51" operator="equal">
      <formula>0</formula>
    </cfRule>
  </conditionalFormatting>
  <conditionalFormatting sqref="B150:G1493">
    <cfRule type="cellIs" dxfId="30" priority="1" operator="equal">
      <formula>0</formula>
    </cfRule>
  </conditionalFormatting>
  <conditionalFormatting sqref="C143:G149">
    <cfRule type="cellIs" dxfId="29" priority="5" operator="equal">
      <formula>0</formula>
    </cfRule>
  </conditionalFormatting>
  <conditionalFormatting sqref="D9:G142">
    <cfRule type="cellIs" dxfId="28" priority="11" operator="equal">
      <formula>0</formula>
    </cfRule>
  </conditionalFormatting>
  <conditionalFormatting sqref="D1:IV5 A1:C7 D6:K6 H1455:IV1457 H1458:XFD1485 H1486:H1493 I1486:XFD1494 A1494:H1494 A1495:XFD65536">
    <cfRule type="cellIs" dxfId="27" priority="163" operator="equal">
      <formula>0</formula>
    </cfRule>
  </conditionalFormatting>
  <conditionalFormatting sqref="D7:IV8 C136:C142 B136:B149">
    <cfRule type="cellIs" dxfId="26" priority="62" operator="equal">
      <formula>0</formula>
    </cfRule>
  </conditionalFormatting>
  <conditionalFormatting sqref="H9:H1418">
    <cfRule type="cellIs" dxfId="25" priority="129" operator="equal">
      <formula>0</formula>
    </cfRule>
  </conditionalFormatting>
  <conditionalFormatting sqref="H1419:I1454">
    <cfRule type="cellIs" dxfId="24" priority="128" operator="equal">
      <formula>0</formula>
    </cfRule>
  </conditionalFormatting>
  <conditionalFormatting sqref="I108:I1418">
    <cfRule type="cellIs" dxfId="23" priority="125" operator="equal">
      <formula>0</formula>
    </cfRule>
  </conditionalFormatting>
  <conditionalFormatting sqref="J108:IV1454">
    <cfRule type="cellIs" dxfId="22" priority="139" operator="equal">
      <formula>0</formula>
    </cfRule>
  </conditionalFormatting>
  <conditionalFormatting sqref="M6:IV6">
    <cfRule type="cellIs" dxfId="21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4" t="s">
        <v>1454</v>
      </c>
      <c r="C2" s="564"/>
      <c r="D2" s="564"/>
      <c r="E2" s="56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9" t="s">
        <v>1532</v>
      </c>
      <c r="C4" s="570"/>
      <c r="D4" s="570"/>
      <c r="E4" s="571"/>
      <c r="F4" s="441"/>
      <c r="G4" s="441"/>
      <c r="H4" s="442"/>
      <c r="I4" s="596" t="s">
        <v>1533</v>
      </c>
      <c r="J4" s="597"/>
      <c r="K4" s="597"/>
      <c r="L4" s="598"/>
    </row>
    <row r="5" spans="1:12" ht="34.5" customHeight="1">
      <c r="A5" s="204"/>
      <c r="B5" s="444" t="s">
        <v>1379</v>
      </c>
      <c r="C5" s="277" t="s">
        <v>9</v>
      </c>
      <c r="D5" s="565" t="str">
        <f>DATA!D14</f>
        <v>POMPA AIR JATENG LAND</v>
      </c>
      <c r="E5" s="566"/>
      <c r="F5" s="208"/>
      <c r="G5" s="208"/>
      <c r="I5" s="445" t="s">
        <v>1379</v>
      </c>
      <c r="J5" s="277" t="s">
        <v>9</v>
      </c>
      <c r="K5" s="599" t="str">
        <f>D5</f>
        <v>POMPA AIR JATENG LAND</v>
      </c>
      <c r="L5" s="600"/>
    </row>
    <row r="6" spans="1:12" ht="31.5" customHeight="1">
      <c r="A6" s="204"/>
      <c r="B6" s="444" t="s">
        <v>1529</v>
      </c>
      <c r="C6" s="277" t="s">
        <v>9</v>
      </c>
      <c r="D6" s="574">
        <f>DATA!D17*1000</f>
        <v>6600</v>
      </c>
      <c r="E6" s="575"/>
      <c r="F6" s="208"/>
      <c r="G6" s="208"/>
      <c r="I6" s="445" t="s">
        <v>1530</v>
      </c>
      <c r="J6" s="277" t="s">
        <v>9</v>
      </c>
      <c r="K6" s="601">
        <f>DATA!D20*1000</f>
        <v>41500</v>
      </c>
      <c r="L6" s="602"/>
    </row>
    <row r="7" spans="1:12" ht="30.75" customHeight="1">
      <c r="A7" s="204"/>
      <c r="B7" s="444" t="s">
        <v>1441</v>
      </c>
      <c r="C7" s="277" t="s">
        <v>9</v>
      </c>
      <c r="D7" s="572">
        <f>DATA!D18</f>
        <v>1</v>
      </c>
      <c r="E7" s="573"/>
      <c r="F7" s="443" t="s">
        <v>1453</v>
      </c>
      <c r="I7" s="445" t="s">
        <v>1441</v>
      </c>
      <c r="J7" s="277" t="s">
        <v>9</v>
      </c>
      <c r="K7" s="603">
        <f>DATA!D21</f>
        <v>3</v>
      </c>
      <c r="L7" s="604"/>
    </row>
    <row r="8" spans="1:12" ht="51" customHeight="1">
      <c r="A8" s="204"/>
      <c r="B8" s="444" t="s">
        <v>1442</v>
      </c>
      <c r="C8" s="277" t="s">
        <v>9</v>
      </c>
      <c r="D8" s="572">
        <f>DATA!D19</f>
        <v>220</v>
      </c>
      <c r="E8" s="573"/>
      <c r="F8" s="443" t="s">
        <v>1453</v>
      </c>
      <c r="G8" s="438">
        <v>220</v>
      </c>
      <c r="I8" s="445" t="s">
        <v>1442</v>
      </c>
      <c r="J8" s="277" t="s">
        <v>9</v>
      </c>
      <c r="K8" s="603">
        <f>DATA!D22</f>
        <v>380</v>
      </c>
      <c r="L8" s="604"/>
    </row>
    <row r="9" spans="1:12" ht="30" customHeight="1" thickBot="1">
      <c r="A9" s="204"/>
      <c r="B9" s="450" t="s">
        <v>1541</v>
      </c>
      <c r="C9" s="440" t="s">
        <v>9</v>
      </c>
      <c r="D9" s="567">
        <f>IF(D7=1,D6/(380/3^0.5),(D6/(380*3^0.5)))</f>
        <v>30.082987710406815</v>
      </c>
      <c r="E9" s="568"/>
      <c r="F9" s="207"/>
      <c r="G9" s="439">
        <v>380</v>
      </c>
      <c r="I9" s="451" t="s">
        <v>1541</v>
      </c>
      <c r="J9" s="440" t="s">
        <v>9</v>
      </c>
      <c r="K9" s="605">
        <f>IF(K7=1,K6/(380/3^0.5),(K6/(380*3^0.5)))</f>
        <v>63.052726766761765</v>
      </c>
      <c r="L9" s="606"/>
    </row>
    <row r="10" spans="1:12" ht="24.75" customHeight="1">
      <c r="B10" s="452"/>
      <c r="C10" s="449"/>
      <c r="D10" s="453"/>
      <c r="E10" s="453"/>
      <c r="F10" s="207"/>
      <c r="G10" s="439"/>
      <c r="I10" s="452"/>
      <c r="J10" s="449"/>
      <c r="K10" s="453"/>
      <c r="L10" s="453"/>
    </row>
    <row r="11" spans="1:12" ht="16.5" thickBot="1">
      <c r="B11" s="446" t="s">
        <v>1542</v>
      </c>
      <c r="I11" s="446" t="s">
        <v>1536</v>
      </c>
    </row>
    <row r="12" spans="1:12" ht="34.5" customHeight="1">
      <c r="A12" s="204"/>
      <c r="B12" s="474" t="s">
        <v>1534</v>
      </c>
      <c r="C12" s="468" t="s">
        <v>9</v>
      </c>
      <c r="D12" s="576"/>
      <c r="E12" s="577"/>
      <c r="F12" s="208"/>
      <c r="G12" s="208"/>
      <c r="I12" s="467" t="s">
        <v>1534</v>
      </c>
      <c r="J12" s="468" t="s">
        <v>9</v>
      </c>
      <c r="K12" s="576" t="s">
        <v>1622</v>
      </c>
      <c r="L12" s="577"/>
    </row>
    <row r="13" spans="1:12" ht="31.5" customHeight="1">
      <c r="A13" s="204"/>
      <c r="B13" s="475" t="s">
        <v>1380</v>
      </c>
      <c r="C13" s="455" t="s">
        <v>9</v>
      </c>
      <c r="D13" s="580"/>
      <c r="E13" s="581"/>
      <c r="F13" s="208"/>
      <c r="G13" s="208"/>
      <c r="I13" s="469" t="s">
        <v>1380</v>
      </c>
      <c r="J13" s="455" t="s">
        <v>9</v>
      </c>
      <c r="K13" s="580" t="s">
        <v>1618</v>
      </c>
      <c r="L13" s="581"/>
    </row>
    <row r="14" spans="1:12" ht="30.75" customHeight="1">
      <c r="A14" s="204"/>
      <c r="B14" s="475" t="s">
        <v>1535</v>
      </c>
      <c r="C14" s="455" t="s">
        <v>9</v>
      </c>
      <c r="D14" s="588">
        <v>50</v>
      </c>
      <c r="E14" s="589"/>
      <c r="F14" s="443" t="s">
        <v>1453</v>
      </c>
      <c r="G14" s="447">
        <v>50</v>
      </c>
      <c r="I14" s="469" t="s">
        <v>1535</v>
      </c>
      <c r="J14" s="455" t="s">
        <v>9</v>
      </c>
      <c r="K14" s="590">
        <v>100</v>
      </c>
      <c r="L14" s="591"/>
    </row>
    <row r="15" spans="1:12" ht="57" customHeight="1">
      <c r="A15" s="204"/>
      <c r="B15" s="475" t="s">
        <v>1441</v>
      </c>
      <c r="C15" s="455" t="s">
        <v>9</v>
      </c>
      <c r="D15" s="461">
        <v>3</v>
      </c>
      <c r="E15" s="470"/>
      <c r="F15" s="443" t="s">
        <v>1453</v>
      </c>
      <c r="G15" s="447">
        <v>100</v>
      </c>
      <c r="I15" s="469" t="s">
        <v>1441</v>
      </c>
      <c r="J15" s="455" t="s">
        <v>9</v>
      </c>
      <c r="K15" s="461">
        <v>3</v>
      </c>
      <c r="L15" s="470"/>
    </row>
    <row r="16" spans="1:12" ht="44.25" customHeight="1">
      <c r="A16" s="204"/>
      <c r="B16" s="475" t="s">
        <v>1545</v>
      </c>
      <c r="C16" s="455"/>
      <c r="D16" s="592">
        <f>63+10</f>
        <v>73</v>
      </c>
      <c r="E16" s="593"/>
      <c r="F16" s="443"/>
      <c r="G16" s="447">
        <v>160</v>
      </c>
      <c r="I16" s="469" t="s">
        <v>1537</v>
      </c>
      <c r="J16" s="455" t="s">
        <v>9</v>
      </c>
      <c r="K16" s="594">
        <f>K9</f>
        <v>63.052726766761765</v>
      </c>
      <c r="L16" s="595"/>
    </row>
    <row r="17" spans="1:12" ht="34.5" customHeight="1">
      <c r="A17" s="204"/>
      <c r="B17" s="475" t="s">
        <v>1538</v>
      </c>
      <c r="C17" s="455" t="s">
        <v>9</v>
      </c>
      <c r="D17" s="582">
        <f>IF(D15=1,D14/(20/3^0.5),(D14/(20*3^0.5)))</f>
        <v>1.4433756729740645</v>
      </c>
      <c r="E17" s="583"/>
      <c r="F17" s="443" t="s">
        <v>1453</v>
      </c>
      <c r="G17" s="448">
        <v>200</v>
      </c>
      <c r="I17" s="469" t="s">
        <v>1538</v>
      </c>
      <c r="J17" s="455" t="s">
        <v>9</v>
      </c>
      <c r="K17" s="586">
        <f>IF(K15=1,K14/(20/3^0.5),(K14/(20*3^0.5)))</f>
        <v>2.8867513459481291</v>
      </c>
      <c r="L17" s="587"/>
    </row>
    <row r="18" spans="1:12" ht="34.5" customHeight="1">
      <c r="A18" s="204"/>
      <c r="B18" s="475" t="s">
        <v>1539</v>
      </c>
      <c r="C18" s="455" t="s">
        <v>9</v>
      </c>
      <c r="D18" s="582">
        <f>IF(D15=1,D14/(380/3^0.5),(D14/(380*3^0.5)))*1000</f>
        <v>75.96714068284551</v>
      </c>
      <c r="E18" s="583"/>
      <c r="F18" s="443" t="s">
        <v>1453</v>
      </c>
      <c r="G18" s="448">
        <v>250</v>
      </c>
      <c r="I18" s="469" t="s">
        <v>1539</v>
      </c>
      <c r="J18" s="455" t="s">
        <v>9</v>
      </c>
      <c r="K18" s="586">
        <f>IF(K15=1,K14/(380/3^0.5),(K14/(380*3^0.5)))*1000</f>
        <v>151.93428136569102</v>
      </c>
      <c r="L18" s="587"/>
    </row>
    <row r="19" spans="1:12" ht="30" customHeight="1">
      <c r="A19" s="204"/>
      <c r="B19" s="476" t="s">
        <v>1531</v>
      </c>
      <c r="C19" s="454" t="s">
        <v>9</v>
      </c>
      <c r="D19" s="582">
        <f>IF(D15=1,D14/(380/3^0.5),(D14/(380*3^0.5)))</f>
        <v>7.5967140682845505E-2</v>
      </c>
      <c r="E19" s="583"/>
      <c r="F19" s="207"/>
      <c r="G19" s="439"/>
      <c r="I19" s="471" t="s">
        <v>1531</v>
      </c>
      <c r="J19" s="454" t="s">
        <v>9</v>
      </c>
      <c r="K19" s="586">
        <f>IF(K15=1,K14/(380/3^0.5),(K14/(380*3^0.5)))</f>
        <v>0.15193428136569101</v>
      </c>
      <c r="L19" s="587"/>
    </row>
    <row r="20" spans="1:12" ht="30" customHeight="1" thickBot="1">
      <c r="A20" s="204"/>
      <c r="B20" s="477" t="s">
        <v>1540</v>
      </c>
      <c r="C20" s="473" t="s">
        <v>9</v>
      </c>
      <c r="D20" s="578">
        <f>D16/D18</f>
        <v>0.96094178803921293</v>
      </c>
      <c r="E20" s="579"/>
      <c r="F20" s="207"/>
      <c r="G20" s="439"/>
      <c r="I20" s="472" t="s">
        <v>1531</v>
      </c>
      <c r="J20" s="473" t="s">
        <v>9</v>
      </c>
      <c r="K20" s="584">
        <f>K16/K18</f>
        <v>0.41499999999999992</v>
      </c>
      <c r="L20" s="585"/>
    </row>
    <row r="21" spans="1:12" ht="9.75" customHeight="1">
      <c r="A21" s="204"/>
      <c r="B21" s="462" t="s">
        <v>1540</v>
      </c>
      <c r="C21" s="463" t="s">
        <v>9</v>
      </c>
      <c r="D21" s="563">
        <v>1</v>
      </c>
      <c r="E21" s="563"/>
      <c r="F21" s="464"/>
      <c r="G21" s="465"/>
      <c r="H21" s="466"/>
      <c r="I21" s="462" t="s">
        <v>1531</v>
      </c>
      <c r="J21" s="463" t="s">
        <v>9</v>
      </c>
      <c r="K21" s="563">
        <v>1</v>
      </c>
      <c r="L21" s="563"/>
    </row>
    <row r="22" spans="1:12" ht="6.75" customHeight="1">
      <c r="B22" s="452"/>
      <c r="C22" s="449"/>
      <c r="D22" s="460"/>
      <c r="E22" s="460"/>
      <c r="F22" s="207"/>
      <c r="G22" s="439"/>
      <c r="J22" s="449"/>
      <c r="K22" s="460"/>
      <c r="L22" s="460"/>
    </row>
    <row r="23" spans="1:12" ht="15.75" thickBot="1"/>
    <row r="24" spans="1:12" ht="200.25" customHeight="1" thickBot="1">
      <c r="B24" s="560"/>
      <c r="C24" s="561"/>
      <c r="D24" s="561"/>
      <c r="E24" s="562"/>
      <c r="I24" s="560"/>
      <c r="J24" s="561"/>
      <c r="K24" s="561"/>
      <c r="L24" s="562"/>
    </row>
    <row r="26" spans="1:12">
      <c r="D26" s="457"/>
    </row>
    <row r="27" spans="1:12">
      <c r="D27" s="458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Normal="100" workbookViewId="0">
      <selection activeCell="D17" sqref="D17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7"/>
      <c r="C1" s="607"/>
      <c r="D1" s="607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0">
        <v>1084.1250458865841</v>
      </c>
      <c r="F5" s="485" t="s">
        <v>1605</v>
      </c>
      <c r="K5" s="484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5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34.9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33818100</v>
      </c>
    </row>
    <row r="10" spans="2:11" ht="20.100000000000001" customHeight="1">
      <c r="B10" s="291" t="s">
        <v>1446</v>
      </c>
      <c r="C10" s="292" t="s">
        <v>9</v>
      </c>
      <c r="D10" s="298">
        <f ca="1">RAB!K75</f>
        <v>78631820.579999998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1572636.4116</v>
      </c>
    </row>
    <row r="12" spans="2:11" ht="9" customHeight="1">
      <c r="B12" s="608"/>
      <c r="C12" s="608"/>
      <c r="D12" s="608"/>
    </row>
    <row r="13" spans="2:11" ht="15.75" customHeight="1">
      <c r="B13" s="299"/>
      <c r="C13" s="299"/>
      <c r="D13" s="299"/>
    </row>
    <row r="14" spans="2:11" ht="33.75" customHeight="1">
      <c r="B14" s="414" t="s">
        <v>1379</v>
      </c>
      <c r="C14" s="415" t="s">
        <v>9</v>
      </c>
      <c r="D14" s="420" t="s">
        <v>1623</v>
      </c>
      <c r="E14" s="300" t="s">
        <v>1453</v>
      </c>
    </row>
    <row r="15" spans="2:11" ht="20.100000000000001" customHeight="1">
      <c r="B15" s="416" t="s">
        <v>1447</v>
      </c>
      <c r="C15" s="417" t="s">
        <v>9</v>
      </c>
      <c r="D15" s="421" t="s">
        <v>1608</v>
      </c>
      <c r="E15" s="300" t="s">
        <v>1453</v>
      </c>
    </row>
    <row r="16" spans="2:11" ht="20.100000000000001" customHeight="1">
      <c r="B16" s="416" t="s">
        <v>1448</v>
      </c>
      <c r="C16" s="417" t="s">
        <v>9</v>
      </c>
      <c r="D16" s="421" t="s">
        <v>1451</v>
      </c>
      <c r="E16" s="300" t="s">
        <v>1453</v>
      </c>
    </row>
    <row r="17" spans="2:5" ht="20.100000000000001" customHeight="1">
      <c r="B17" s="416" t="s">
        <v>1449</v>
      </c>
      <c r="C17" s="417" t="s">
        <v>9</v>
      </c>
      <c r="D17" s="422">
        <v>6.6</v>
      </c>
      <c r="E17" s="300" t="s">
        <v>1453</v>
      </c>
    </row>
    <row r="18" spans="2:5" ht="20.100000000000001" hidden="1" customHeight="1">
      <c r="B18" s="416" t="s">
        <v>1543</v>
      </c>
      <c r="C18" s="417"/>
      <c r="D18" s="422">
        <f>IF((D17&lt;=11),1,3)</f>
        <v>1</v>
      </c>
      <c r="E18" s="300"/>
    </row>
    <row r="19" spans="2:5" ht="20.100000000000001" hidden="1" customHeight="1">
      <c r="B19" s="416" t="s">
        <v>1544</v>
      </c>
      <c r="C19" s="417"/>
      <c r="D19" s="422">
        <f>IF((D17&lt;=11),220,380)</f>
        <v>220</v>
      </c>
      <c r="E19" s="300"/>
    </row>
    <row r="20" spans="2:5" ht="20.100000000000001" customHeight="1">
      <c r="B20" s="416" t="s">
        <v>1450</v>
      </c>
      <c r="C20" s="417" t="s">
        <v>9</v>
      </c>
      <c r="D20" s="422">
        <v>41.5</v>
      </c>
      <c r="E20" s="300" t="s">
        <v>1453</v>
      </c>
    </row>
    <row r="21" spans="2:5" ht="20.100000000000001" hidden="1" customHeight="1">
      <c r="B21" s="416" t="s">
        <v>1543</v>
      </c>
      <c r="C21" s="417"/>
      <c r="D21" s="422">
        <f>IF((D20&lt;=11),1,3)</f>
        <v>3</v>
      </c>
      <c r="E21" s="300"/>
    </row>
    <row r="22" spans="2:5" ht="20.100000000000001" hidden="1" customHeight="1">
      <c r="B22" s="416" t="s">
        <v>1544</v>
      </c>
      <c r="C22" s="417"/>
      <c r="D22" s="422">
        <f>IF((D20&lt;=11),220,380)</f>
        <v>380</v>
      </c>
      <c r="E22" s="300"/>
    </row>
    <row r="23" spans="2:5" ht="20.100000000000001" customHeight="1">
      <c r="B23" s="416" t="s">
        <v>1353</v>
      </c>
      <c r="C23" s="417" t="s">
        <v>9</v>
      </c>
      <c r="D23" s="421">
        <v>1444.7</v>
      </c>
      <c r="E23" s="300" t="s">
        <v>1453</v>
      </c>
    </row>
    <row r="24" spans="2:5" ht="20.100000000000001" customHeight="1">
      <c r="B24" s="416" t="s">
        <v>1354</v>
      </c>
      <c r="C24" s="417" t="s">
        <v>9</v>
      </c>
      <c r="D24" s="421">
        <v>1444.7</v>
      </c>
      <c r="E24" s="300" t="s">
        <v>1453</v>
      </c>
    </row>
    <row r="25" spans="2:5" ht="20.100000000000001" customHeight="1">
      <c r="B25" s="416" t="s">
        <v>1452</v>
      </c>
      <c r="C25" s="417" t="s">
        <v>9</v>
      </c>
      <c r="D25" s="422">
        <v>969</v>
      </c>
      <c r="E25" s="300" t="s">
        <v>1453</v>
      </c>
    </row>
    <row r="26" spans="2:5" ht="20.100000000000001" customHeight="1">
      <c r="B26" s="418" t="s">
        <v>1355</v>
      </c>
      <c r="C26" s="419" t="s">
        <v>9</v>
      </c>
      <c r="D26" s="423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8" activePane="bottomLeft" state="frozen"/>
      <selection activeCell="H1093" sqref="H1093"/>
      <selection pane="bottomLeft" activeCell="Q9" sqref="Q9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9" t="s">
        <v>1357</v>
      </c>
      <c r="C3" s="609"/>
      <c r="D3" s="609"/>
      <c r="E3" s="609"/>
      <c r="F3" s="305" t="str">
        <f>DATA!D14</f>
        <v>POMPA AIR JATENG LAND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0" t="s">
        <v>1349</v>
      </c>
      <c r="C5" s="610" t="s">
        <v>1358</v>
      </c>
      <c r="D5" s="611" t="s">
        <v>1359</v>
      </c>
      <c r="E5" s="611" t="s">
        <v>1360</v>
      </c>
      <c r="F5" s="610" t="s">
        <v>1361</v>
      </c>
      <c r="G5" s="610"/>
      <c r="H5" s="610"/>
      <c r="I5" s="610"/>
      <c r="J5" s="610"/>
      <c r="K5" s="610" t="s">
        <v>1362</v>
      </c>
      <c r="L5" s="610"/>
      <c r="M5" s="307"/>
      <c r="N5" s="614" t="s">
        <v>1363</v>
      </c>
      <c r="O5" s="611" t="s">
        <v>1364</v>
      </c>
      <c r="P5" s="611" t="s">
        <v>1365</v>
      </c>
      <c r="Q5" s="611" t="s">
        <v>1366</v>
      </c>
      <c r="R5" s="308"/>
      <c r="S5" s="309"/>
      <c r="T5" s="612" t="s">
        <v>1367</v>
      </c>
      <c r="U5" s="310"/>
    </row>
    <row r="6" spans="1:21" ht="20.100000000000001" customHeight="1">
      <c r="B6" s="610"/>
      <c r="C6" s="610"/>
      <c r="D6" s="610"/>
      <c r="E6" s="610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5"/>
      <c r="O6" s="610"/>
      <c r="P6" s="610"/>
      <c r="Q6" s="610"/>
      <c r="R6" s="308"/>
      <c r="S6" s="309"/>
      <c r="T6" s="610"/>
      <c r="U6" s="312"/>
    </row>
    <row r="7" spans="1:21" ht="20.100000000000001" customHeight="1">
      <c r="A7" s="313">
        <v>0</v>
      </c>
      <c r="B7" s="314">
        <v>2023</v>
      </c>
      <c r="C7" s="478">
        <f>DATA!D8*DATA!D26*4</f>
        <v>5584</v>
      </c>
      <c r="D7" s="316">
        <f>C7*4/24</f>
        <v>930.66666666666663</v>
      </c>
      <c r="E7" s="316">
        <f>C7-D7</f>
        <v>4653.333333333333</v>
      </c>
      <c r="F7" s="317">
        <f ca="1">DATA!D10/1000000</f>
        <v>78.631820579999996</v>
      </c>
      <c r="G7" s="318">
        <f ca="1">DATA!$D$11/1000000</f>
        <v>1.5726364116</v>
      </c>
      <c r="H7" s="318">
        <f>C7*DATA!$D$5/1000000</f>
        <v>6.0537542562306861</v>
      </c>
      <c r="I7" s="318">
        <f>(C7*DATA!$D$5*DATA!$D$7)/1000000</f>
        <v>0.13620947076519044</v>
      </c>
      <c r="J7" s="316">
        <f ca="1">SUM(F7:I7)</f>
        <v>86.394420718595882</v>
      </c>
      <c r="K7" s="319">
        <f>DATA!D9/1000000</f>
        <v>33.818100000000001</v>
      </c>
      <c r="L7" s="316">
        <f>((D7*DATA!$D$23)/1000000)+((E7*DATA!$D$24)/1000000)</f>
        <v>8.067204799999999</v>
      </c>
      <c r="M7" s="316">
        <f>K7+L7</f>
        <v>41.8853048</v>
      </c>
      <c r="N7" s="316">
        <f ca="1">M7-J7</f>
        <v>-44.509115918595882</v>
      </c>
      <c r="O7" s="314">
        <v>1</v>
      </c>
      <c r="P7" s="316">
        <f ca="1">O7*N7</f>
        <v>-44.509115918595882</v>
      </c>
      <c r="Q7" s="316">
        <f ca="1">P7</f>
        <v>-44.509115918595882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16752</v>
      </c>
      <c r="D8" s="316">
        <f>C8*4/24</f>
        <v>2792</v>
      </c>
      <c r="E8" s="316">
        <f t="shared" ref="E8:E32" si="0">C8-D8</f>
        <v>13960</v>
      </c>
      <c r="F8" s="314"/>
      <c r="G8" s="318">
        <f ca="1">DATA!$D$11/1000000</f>
        <v>1.5726364116</v>
      </c>
      <c r="H8" s="318">
        <f>C8*DATA!$D$5/1000000</f>
        <v>18.161262768692058</v>
      </c>
      <c r="I8" s="318">
        <f>(C8*DATA!$D$5*DATA!$D$7)/1000000</f>
        <v>0.40862841229557129</v>
      </c>
      <c r="J8" s="316">
        <f t="shared" ref="J8:J32" ca="1" si="1">SUM(F8:I8)</f>
        <v>20.14252759258763</v>
      </c>
      <c r="K8" s="321"/>
      <c r="L8" s="316">
        <f>((D8*DATA!$D$23)/1000000)+((E8*DATA!$D$24)/1000000)</f>
        <v>24.2016144</v>
      </c>
      <c r="M8" s="316">
        <f t="shared" ref="M8:M32" si="2">K8+L8</f>
        <v>24.2016144</v>
      </c>
      <c r="N8" s="316">
        <f ca="1">M8-J8</f>
        <v>4.0590868074123705</v>
      </c>
      <c r="O8" s="315">
        <f>1/(1+'[93]Asumsi I'!$C$3)^(KKF!A8)</f>
        <v>0.89285714285714279</v>
      </c>
      <c r="P8" s="316">
        <f ca="1">O8*N8</f>
        <v>3.6241846494753305</v>
      </c>
      <c r="Q8" s="316">
        <f ca="1">Q7+P8</f>
        <v>-40.88493126912055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16752</v>
      </c>
      <c r="D9" s="316">
        <f t="shared" ref="D9:D32" si="5">C9*4/24</f>
        <v>2792</v>
      </c>
      <c r="E9" s="316">
        <f t="shared" si="0"/>
        <v>13960</v>
      </c>
      <c r="F9" s="314"/>
      <c r="G9" s="318">
        <f ca="1">DATA!$D$11/1000000</f>
        <v>1.5726364116</v>
      </c>
      <c r="H9" s="318">
        <f>C9*DATA!$D$5/1000000</f>
        <v>18.161262768692058</v>
      </c>
      <c r="I9" s="318">
        <f>(C9*DATA!$D$5*DATA!$D$7)/1000000</f>
        <v>0.40862841229557129</v>
      </c>
      <c r="J9" s="316">
        <f t="shared" ca="1" si="1"/>
        <v>20.14252759258763</v>
      </c>
      <c r="K9" s="316"/>
      <c r="L9" s="316">
        <f>((D9*DATA!$D$23)/1000000)+((E9*DATA!$D$24)/1000000)</f>
        <v>24.2016144</v>
      </c>
      <c r="M9" s="316">
        <f t="shared" si="2"/>
        <v>24.2016144</v>
      </c>
      <c r="N9" s="316">
        <f t="shared" ref="N9:N32" ca="1" si="6">M9-J9</f>
        <v>4.0590868074123705</v>
      </c>
      <c r="O9" s="322">
        <f>1/(1+'[93]Asumsi I'!$C$3)^(KKF!A9)</f>
        <v>0.79719387755102034</v>
      </c>
      <c r="P9" s="316">
        <f t="shared" ref="P9:P32" ca="1" si="7">O9*N9</f>
        <v>3.2358791513172593</v>
      </c>
      <c r="Q9" s="316">
        <f ca="1">Q8+P9</f>
        <v>-37.649052117803294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16752</v>
      </c>
      <c r="D10" s="316">
        <f t="shared" si="5"/>
        <v>2792</v>
      </c>
      <c r="E10" s="316">
        <f t="shared" si="0"/>
        <v>13960</v>
      </c>
      <c r="F10" s="314"/>
      <c r="G10" s="318">
        <f ca="1">DATA!$D$11/1000000</f>
        <v>1.5726364116</v>
      </c>
      <c r="H10" s="318">
        <f>C10*DATA!$D$5/1000000</f>
        <v>18.161262768692058</v>
      </c>
      <c r="I10" s="318">
        <f>(C10*DATA!$D$5*DATA!$D$7)/1000000</f>
        <v>0.40862841229557129</v>
      </c>
      <c r="J10" s="316">
        <f t="shared" ca="1" si="1"/>
        <v>20.14252759258763</v>
      </c>
      <c r="K10" s="314"/>
      <c r="L10" s="316">
        <f>((D10*DATA!$D$23)/1000000)+((E10*DATA!$D$24)/1000000)</f>
        <v>24.2016144</v>
      </c>
      <c r="M10" s="316">
        <f t="shared" si="2"/>
        <v>24.2016144</v>
      </c>
      <c r="N10" s="316">
        <f t="shared" ca="1" si="6"/>
        <v>4.0590868074123705</v>
      </c>
      <c r="O10" s="315">
        <f>1/(1+'[93]Asumsi I'!$C$3)^(KKF!A10)</f>
        <v>0.71178024781341087</v>
      </c>
      <c r="P10" s="316">
        <f t="shared" ca="1" si="7"/>
        <v>2.8891778136761239</v>
      </c>
      <c r="Q10" s="316">
        <f t="shared" ref="Q10:Q30" ca="1" si="9">Q9+P10</f>
        <v>-34.759874304127166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16752</v>
      </c>
      <c r="D11" s="316">
        <f t="shared" si="5"/>
        <v>2792</v>
      </c>
      <c r="E11" s="316">
        <f t="shared" si="0"/>
        <v>13960</v>
      </c>
      <c r="F11" s="314"/>
      <c r="G11" s="318">
        <f ca="1">DATA!$D$11/1000000</f>
        <v>1.5726364116</v>
      </c>
      <c r="H11" s="318">
        <f>C11*DATA!$D$5/1000000</f>
        <v>18.161262768692058</v>
      </c>
      <c r="I11" s="318">
        <f>(C11*DATA!$D$5*DATA!$D$7)/1000000</f>
        <v>0.40862841229557129</v>
      </c>
      <c r="J11" s="316">
        <f t="shared" ca="1" si="1"/>
        <v>20.14252759258763</v>
      </c>
      <c r="K11" s="314"/>
      <c r="L11" s="316">
        <f>((D11*DATA!$D$23)/1000000)+((E11*DATA!$D$24)/1000000)</f>
        <v>24.2016144</v>
      </c>
      <c r="M11" s="316">
        <f t="shared" si="2"/>
        <v>24.2016144</v>
      </c>
      <c r="N11" s="316">
        <f t="shared" ca="1" si="6"/>
        <v>4.0590868074123705</v>
      </c>
      <c r="O11" s="315">
        <f>1/(1+'[93]Asumsi I'!$C$3)^(KKF!A11)</f>
        <v>0.63551807840483121</v>
      </c>
      <c r="P11" s="316">
        <f t="shared" ca="1" si="7"/>
        <v>2.5796230479251108</v>
      </c>
      <c r="Q11" s="316">
        <f t="shared" ca="1" si="9"/>
        <v>-32.180251256202055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16752</v>
      </c>
      <c r="D12" s="316">
        <f t="shared" si="5"/>
        <v>2792</v>
      </c>
      <c r="E12" s="316">
        <f t="shared" si="0"/>
        <v>13960</v>
      </c>
      <c r="F12" s="314"/>
      <c r="G12" s="318">
        <f ca="1">DATA!$D$11/1000000</f>
        <v>1.5726364116</v>
      </c>
      <c r="H12" s="318">
        <f>C12*DATA!$D$5/1000000</f>
        <v>18.161262768692058</v>
      </c>
      <c r="I12" s="318">
        <f>(C12*DATA!$D$5*DATA!$D$7)/1000000</f>
        <v>0.40862841229557129</v>
      </c>
      <c r="J12" s="316">
        <f t="shared" ca="1" si="1"/>
        <v>20.14252759258763</v>
      </c>
      <c r="K12" s="314"/>
      <c r="L12" s="316">
        <f>((D12*DATA!$D$23)/1000000)+((E12*DATA!$D$24)/1000000)</f>
        <v>24.2016144</v>
      </c>
      <c r="M12" s="316">
        <f t="shared" si="2"/>
        <v>24.2016144</v>
      </c>
      <c r="N12" s="316">
        <f t="shared" ca="1" si="6"/>
        <v>4.0590868074123705</v>
      </c>
      <c r="O12" s="315">
        <f>1/(1+'[93]Asumsi I'!$C$3)^(KKF!A12)</f>
        <v>0.56742685571859919</v>
      </c>
      <c r="P12" s="316">
        <f t="shared" ca="1" si="7"/>
        <v>2.3032348642188487</v>
      </c>
      <c r="Q12" s="316">
        <f t="shared" ca="1" si="9"/>
        <v>-29.877016391983208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16752</v>
      </c>
      <c r="D13" s="316">
        <f t="shared" si="5"/>
        <v>2792</v>
      </c>
      <c r="E13" s="316">
        <f t="shared" si="0"/>
        <v>13960</v>
      </c>
      <c r="F13" s="314"/>
      <c r="G13" s="318">
        <f ca="1">DATA!$D$11/1000000</f>
        <v>1.5726364116</v>
      </c>
      <c r="H13" s="318">
        <f>C13*DATA!$D$5/1000000</f>
        <v>18.161262768692058</v>
      </c>
      <c r="I13" s="318">
        <f>(C13*DATA!$D$5*DATA!$D$7)/1000000</f>
        <v>0.40862841229557129</v>
      </c>
      <c r="J13" s="316">
        <f t="shared" ca="1" si="1"/>
        <v>20.14252759258763</v>
      </c>
      <c r="K13" s="314"/>
      <c r="L13" s="316">
        <f>((D13*DATA!$D$23)/1000000)+((E13*DATA!$D$24)/1000000)</f>
        <v>24.2016144</v>
      </c>
      <c r="M13" s="316">
        <f t="shared" si="2"/>
        <v>24.2016144</v>
      </c>
      <c r="N13" s="316">
        <f t="shared" ca="1" si="6"/>
        <v>4.0590868074123705</v>
      </c>
      <c r="O13" s="315">
        <f>1/(1+'[93]Asumsi I'!$C$3)^(KKF!A13)</f>
        <v>0.50663112117732068</v>
      </c>
      <c r="P13" s="316">
        <f t="shared" ca="1" si="7"/>
        <v>2.0564597001954006</v>
      </c>
      <c r="Q13" s="316">
        <f t="shared" ca="1" si="9"/>
        <v>-27.820556691787807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16752</v>
      </c>
      <c r="D14" s="316">
        <f t="shared" si="5"/>
        <v>2792</v>
      </c>
      <c r="E14" s="316">
        <f t="shared" si="0"/>
        <v>13960</v>
      </c>
      <c r="F14" s="314"/>
      <c r="G14" s="318">
        <f ca="1">DATA!$D$11/1000000</f>
        <v>1.5726364116</v>
      </c>
      <c r="H14" s="318">
        <f>C14*DATA!$D$5/1000000</f>
        <v>18.161262768692058</v>
      </c>
      <c r="I14" s="318">
        <f>(C14*DATA!$D$5*DATA!$D$7)/1000000</f>
        <v>0.40862841229557129</v>
      </c>
      <c r="J14" s="316">
        <f t="shared" ca="1" si="1"/>
        <v>20.14252759258763</v>
      </c>
      <c r="K14" s="314"/>
      <c r="L14" s="316">
        <f>((D14*DATA!$D$23)/1000000)+((E14*DATA!$D$24)/1000000)</f>
        <v>24.2016144</v>
      </c>
      <c r="M14" s="316">
        <f t="shared" si="2"/>
        <v>24.2016144</v>
      </c>
      <c r="N14" s="316">
        <f t="shared" ca="1" si="6"/>
        <v>4.0590868074123705</v>
      </c>
      <c r="O14" s="315">
        <f>1/(1+'[93]Asumsi I'!$C$3)^(KKF!A14)</f>
        <v>0.45234921533689343</v>
      </c>
      <c r="P14" s="316">
        <f t="shared" ca="1" si="7"/>
        <v>1.8361247323173215</v>
      </c>
      <c r="Q14" s="316">
        <f t="shared" ca="1" si="9"/>
        <v>-25.984431959470484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16752</v>
      </c>
      <c r="D15" s="316">
        <f t="shared" si="5"/>
        <v>2792</v>
      </c>
      <c r="E15" s="316">
        <f t="shared" si="0"/>
        <v>13960</v>
      </c>
      <c r="F15" s="314"/>
      <c r="G15" s="318">
        <f ca="1">DATA!$D$11/1000000</f>
        <v>1.5726364116</v>
      </c>
      <c r="H15" s="318">
        <f>C15*DATA!$D$5/1000000</f>
        <v>18.161262768692058</v>
      </c>
      <c r="I15" s="318">
        <f>(C15*DATA!$D$5*DATA!$D$7)/1000000</f>
        <v>0.40862841229557129</v>
      </c>
      <c r="J15" s="316">
        <f t="shared" ca="1" si="1"/>
        <v>20.14252759258763</v>
      </c>
      <c r="K15" s="314"/>
      <c r="L15" s="316">
        <f>((D15*DATA!$D$23)/1000000)+((E15*DATA!$D$24)/1000000)</f>
        <v>24.2016144</v>
      </c>
      <c r="M15" s="316">
        <f t="shared" si="2"/>
        <v>24.2016144</v>
      </c>
      <c r="N15" s="316">
        <f t="shared" ca="1" si="6"/>
        <v>4.0590868074123705</v>
      </c>
      <c r="O15" s="315">
        <f>1/(1+'[93]Asumsi I'!$C$3)^(KKF!A15)</f>
        <v>0.4038832279793691</v>
      </c>
      <c r="P15" s="316">
        <f t="shared" ca="1" si="7"/>
        <v>1.6393970824261799</v>
      </c>
      <c r="Q15" s="316">
        <f t="shared" ca="1" si="9"/>
        <v>-24.345034877044306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16752</v>
      </c>
      <c r="D16" s="316">
        <f t="shared" si="5"/>
        <v>2792</v>
      </c>
      <c r="E16" s="316">
        <f t="shared" si="0"/>
        <v>13960</v>
      </c>
      <c r="F16" s="314"/>
      <c r="G16" s="318">
        <f ca="1">DATA!$D$11/1000000</f>
        <v>1.5726364116</v>
      </c>
      <c r="H16" s="318">
        <f>C16*DATA!$D$5/1000000</f>
        <v>18.161262768692058</v>
      </c>
      <c r="I16" s="318">
        <f>(C16*DATA!$D$5*DATA!$D$7)/1000000</f>
        <v>0.40862841229557129</v>
      </c>
      <c r="J16" s="316">
        <f t="shared" ca="1" si="1"/>
        <v>20.14252759258763</v>
      </c>
      <c r="K16" s="314"/>
      <c r="L16" s="316">
        <f>((D16*DATA!$D$23)/1000000)+((E16*DATA!$D$24)/1000000)</f>
        <v>24.2016144</v>
      </c>
      <c r="M16" s="316">
        <f t="shared" si="2"/>
        <v>24.2016144</v>
      </c>
      <c r="N16" s="316">
        <f t="shared" ca="1" si="6"/>
        <v>4.0590868074123705</v>
      </c>
      <c r="O16" s="315">
        <f>1/(1+'[93]Asumsi I'!$C$3)^(KKF!A16)</f>
        <v>0.36061002498157957</v>
      </c>
      <c r="P16" s="316">
        <f t="shared" ca="1" si="7"/>
        <v>1.463747395023375</v>
      </c>
      <c r="Q16" s="316">
        <f t="shared" ca="1" si="9"/>
        <v>-22.88128748202093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16752</v>
      </c>
      <c r="D17" s="316">
        <f t="shared" si="5"/>
        <v>2792</v>
      </c>
      <c r="E17" s="316">
        <f t="shared" si="0"/>
        <v>13960</v>
      </c>
      <c r="F17" s="314"/>
      <c r="G17" s="318">
        <f ca="1">DATA!$D$11/1000000</f>
        <v>1.5726364116</v>
      </c>
      <c r="H17" s="318">
        <f>C17*DATA!$D$5/1000000</f>
        <v>18.161262768692058</v>
      </c>
      <c r="I17" s="318">
        <f>(C17*DATA!$D$5*DATA!$D$7)/1000000</f>
        <v>0.40862841229557129</v>
      </c>
      <c r="J17" s="316">
        <f t="shared" ca="1" si="1"/>
        <v>20.14252759258763</v>
      </c>
      <c r="K17" s="314"/>
      <c r="L17" s="316">
        <f>((D17*DATA!$D$23)/1000000)+((E17*DATA!$D$24)/1000000)</f>
        <v>24.2016144</v>
      </c>
      <c r="M17" s="316">
        <f t="shared" si="2"/>
        <v>24.2016144</v>
      </c>
      <c r="N17" s="316">
        <f t="shared" ca="1" si="6"/>
        <v>4.0590868074123705</v>
      </c>
      <c r="O17" s="315">
        <f>1/(1+'[93]Asumsi I'!$C$3)^(KKF!A17)</f>
        <v>0.32197323659069599</v>
      </c>
      <c r="P17" s="316">
        <f t="shared" ca="1" si="7"/>
        <v>1.306917316985156</v>
      </c>
      <c r="Q17" s="316">
        <f t="shared" ca="1" si="9"/>
        <v>-21.574370165035774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16752</v>
      </c>
      <c r="D18" s="316">
        <f t="shared" si="5"/>
        <v>2792</v>
      </c>
      <c r="E18" s="316">
        <f t="shared" si="0"/>
        <v>13960</v>
      </c>
      <c r="F18" s="314"/>
      <c r="G18" s="318">
        <f ca="1">DATA!$D$11/1000000</f>
        <v>1.5726364116</v>
      </c>
      <c r="H18" s="318">
        <f>C18*DATA!$D$5/1000000</f>
        <v>18.161262768692058</v>
      </c>
      <c r="I18" s="318">
        <f>(C18*DATA!$D$5*DATA!$D$7)/1000000</f>
        <v>0.40862841229557129</v>
      </c>
      <c r="J18" s="316">
        <f t="shared" ca="1" si="1"/>
        <v>20.14252759258763</v>
      </c>
      <c r="K18" s="314"/>
      <c r="L18" s="316">
        <f>((D18*DATA!$D$23)/1000000)+((E18*DATA!$D$24)/1000000)</f>
        <v>24.2016144</v>
      </c>
      <c r="M18" s="316">
        <f t="shared" si="2"/>
        <v>24.2016144</v>
      </c>
      <c r="N18" s="316">
        <f t="shared" ca="1" si="6"/>
        <v>4.0590868074123705</v>
      </c>
      <c r="O18" s="315">
        <f>1/(1+'[93]Asumsi I'!$C$3)^(KKF!A18)</f>
        <v>0.28747610409883567</v>
      </c>
      <c r="P18" s="316">
        <f t="shared" ca="1" si="7"/>
        <v>1.1668904615938891</v>
      </c>
      <c r="Q18" s="316">
        <f t="shared" ca="1" si="9"/>
        <v>-20.407479703441883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16752</v>
      </c>
      <c r="D19" s="316">
        <f t="shared" si="5"/>
        <v>2792</v>
      </c>
      <c r="E19" s="316">
        <f t="shared" si="0"/>
        <v>13960</v>
      </c>
      <c r="F19" s="314"/>
      <c r="G19" s="318">
        <f ca="1">DATA!$D$11/1000000</f>
        <v>1.5726364116</v>
      </c>
      <c r="H19" s="318">
        <f>C19*DATA!$D$5/1000000</f>
        <v>18.161262768692058</v>
      </c>
      <c r="I19" s="318">
        <f>(C19*DATA!$D$5*DATA!$D$7)/1000000</f>
        <v>0.40862841229557129</v>
      </c>
      <c r="J19" s="316">
        <f t="shared" ca="1" si="1"/>
        <v>20.14252759258763</v>
      </c>
      <c r="K19" s="314"/>
      <c r="L19" s="316">
        <f>((D19*DATA!$D$23)/1000000)+((E19*DATA!$D$24)/1000000)</f>
        <v>24.2016144</v>
      </c>
      <c r="M19" s="316">
        <f t="shared" si="2"/>
        <v>24.2016144</v>
      </c>
      <c r="N19" s="316">
        <f t="shared" ca="1" si="6"/>
        <v>4.0590868074123705</v>
      </c>
      <c r="O19" s="315">
        <f>1/(1+'[93]Asumsi I'!$C$3)^(KKF!A19)</f>
        <v>0.25667509294538904</v>
      </c>
      <c r="P19" s="316">
        <f t="shared" ca="1" si="7"/>
        <v>1.0418664835659726</v>
      </c>
      <c r="Q19" s="316">
        <f t="shared" ca="1" si="9"/>
        <v>-19.365613219875911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16752</v>
      </c>
      <c r="D20" s="316">
        <f t="shared" si="5"/>
        <v>2792</v>
      </c>
      <c r="E20" s="316">
        <f t="shared" si="0"/>
        <v>13960</v>
      </c>
      <c r="F20" s="314"/>
      <c r="G20" s="318">
        <f ca="1">DATA!$D$11/1000000</f>
        <v>1.5726364116</v>
      </c>
      <c r="H20" s="318">
        <f>C20*DATA!$D$5/1000000</f>
        <v>18.161262768692058</v>
      </c>
      <c r="I20" s="318">
        <f>(C20*DATA!$D$5*DATA!$D$7)/1000000</f>
        <v>0.40862841229557129</v>
      </c>
      <c r="J20" s="316">
        <f t="shared" ca="1" si="1"/>
        <v>20.14252759258763</v>
      </c>
      <c r="K20" s="314"/>
      <c r="L20" s="316">
        <f>((D20*DATA!$D$23)/1000000)+((E20*DATA!$D$24)/1000000)</f>
        <v>24.2016144</v>
      </c>
      <c r="M20" s="316">
        <f t="shared" si="2"/>
        <v>24.2016144</v>
      </c>
      <c r="N20" s="316">
        <f t="shared" ca="1" si="6"/>
        <v>4.0590868074123705</v>
      </c>
      <c r="O20" s="315">
        <f>1/(1+'[93]Asumsi I'!$C$3)^(KKF!A20)</f>
        <v>0.22917419012981158</v>
      </c>
      <c r="P20" s="316">
        <f t="shared" ca="1" si="7"/>
        <v>0.93023793175533243</v>
      </c>
      <c r="Q20" s="316">
        <f t="shared" ca="1" si="9"/>
        <v>-18.435375288120579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16752</v>
      </c>
      <c r="D21" s="316">
        <f t="shared" si="5"/>
        <v>2792</v>
      </c>
      <c r="E21" s="316">
        <f t="shared" si="0"/>
        <v>13960</v>
      </c>
      <c r="F21" s="314"/>
      <c r="G21" s="318">
        <f ca="1">DATA!$D$11/1000000</f>
        <v>1.5726364116</v>
      </c>
      <c r="H21" s="318">
        <f>C21*DATA!$D$5/1000000</f>
        <v>18.161262768692058</v>
      </c>
      <c r="I21" s="318">
        <f>(C21*DATA!$D$5*DATA!$D$7)/1000000</f>
        <v>0.40862841229557129</v>
      </c>
      <c r="J21" s="316">
        <f t="shared" ca="1" si="1"/>
        <v>20.14252759258763</v>
      </c>
      <c r="K21" s="314"/>
      <c r="L21" s="316">
        <f>((D21*DATA!$D$23)/1000000)+((E21*DATA!$D$24)/1000000)</f>
        <v>24.2016144</v>
      </c>
      <c r="M21" s="316">
        <f t="shared" si="2"/>
        <v>24.2016144</v>
      </c>
      <c r="N21" s="316">
        <f t="shared" ca="1" si="6"/>
        <v>4.0590868074123705</v>
      </c>
      <c r="O21" s="315">
        <f>1/(1+'[93]Asumsi I'!$C$3)^(KKF!A21)</f>
        <v>0.20461981261590317</v>
      </c>
      <c r="P21" s="316">
        <f t="shared" ca="1" si="7"/>
        <v>0.83056958192440389</v>
      </c>
      <c r="Q21" s="316">
        <f t="shared" ca="1" si="9"/>
        <v>-17.604805706196174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16752</v>
      </c>
      <c r="D22" s="316">
        <f t="shared" si="5"/>
        <v>2792</v>
      </c>
      <c r="E22" s="316">
        <f t="shared" si="0"/>
        <v>13960</v>
      </c>
      <c r="F22" s="314"/>
      <c r="G22" s="318">
        <f ca="1">DATA!$D$11/1000000</f>
        <v>1.5726364116</v>
      </c>
      <c r="H22" s="318">
        <f>C22*DATA!$D$5/1000000</f>
        <v>18.161262768692058</v>
      </c>
      <c r="I22" s="318">
        <f>(C22*DATA!$D$5*DATA!$D$7)/1000000</f>
        <v>0.40862841229557129</v>
      </c>
      <c r="J22" s="316">
        <f t="shared" ca="1" si="1"/>
        <v>20.14252759258763</v>
      </c>
      <c r="K22" s="314"/>
      <c r="L22" s="316">
        <f>((D22*DATA!$D$23)/1000000)+((E22*DATA!$D$24)/1000000)</f>
        <v>24.2016144</v>
      </c>
      <c r="M22" s="316">
        <f t="shared" si="2"/>
        <v>24.2016144</v>
      </c>
      <c r="N22" s="316">
        <f t="shared" ca="1" si="6"/>
        <v>4.0590868074123705</v>
      </c>
      <c r="O22" s="315">
        <f>1/(1+'[93]Asumsi I'!$C$3)^(KKF!A22)</f>
        <v>0.18269626126419927</v>
      </c>
      <c r="P22" s="316">
        <f t="shared" ca="1" si="7"/>
        <v>0.74157998386107493</v>
      </c>
      <c r="Q22" s="316">
        <f t="shared" ca="1" si="9"/>
        <v>-16.863225722335098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16752</v>
      </c>
      <c r="D23" s="316">
        <f t="shared" si="5"/>
        <v>2792</v>
      </c>
      <c r="E23" s="316">
        <f t="shared" si="0"/>
        <v>13960</v>
      </c>
      <c r="F23" s="314"/>
      <c r="G23" s="318">
        <f ca="1">DATA!$D$11/1000000</f>
        <v>1.5726364116</v>
      </c>
      <c r="H23" s="318">
        <f>C23*DATA!$D$5/1000000</f>
        <v>18.161262768692058</v>
      </c>
      <c r="I23" s="318">
        <f>(C23*DATA!$D$5*DATA!$D$7)/1000000</f>
        <v>0.40862841229557129</v>
      </c>
      <c r="J23" s="316">
        <f t="shared" ca="1" si="1"/>
        <v>20.14252759258763</v>
      </c>
      <c r="K23" s="314"/>
      <c r="L23" s="316">
        <f>((D23*DATA!$D$23)/1000000)+((E23*DATA!$D$24)/1000000)</f>
        <v>24.2016144</v>
      </c>
      <c r="M23" s="316">
        <f t="shared" si="2"/>
        <v>24.2016144</v>
      </c>
      <c r="N23" s="316">
        <f t="shared" ca="1" si="6"/>
        <v>4.0590868074123705</v>
      </c>
      <c r="O23" s="315">
        <f>1/(1+'[93]Asumsi I'!$C$3)^(KKF!A23)</f>
        <v>0.16312166184303503</v>
      </c>
      <c r="P23" s="316">
        <f t="shared" ca="1" si="7"/>
        <v>0.66212498559024535</v>
      </c>
      <c r="Q23" s="316">
        <f t="shared" ca="1" si="9"/>
        <v>-16.201100736744852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16752</v>
      </c>
      <c r="D24" s="316">
        <f t="shared" si="5"/>
        <v>2792</v>
      </c>
      <c r="E24" s="316">
        <f t="shared" si="0"/>
        <v>13960</v>
      </c>
      <c r="F24" s="314"/>
      <c r="G24" s="318">
        <f ca="1">DATA!$D$11/1000000</f>
        <v>1.5726364116</v>
      </c>
      <c r="H24" s="318">
        <f>C24*DATA!$D$5/1000000</f>
        <v>18.161262768692058</v>
      </c>
      <c r="I24" s="318">
        <f>(C24*DATA!$D$5*DATA!$D$7)/1000000</f>
        <v>0.40862841229557129</v>
      </c>
      <c r="J24" s="316">
        <f t="shared" ca="1" si="1"/>
        <v>20.14252759258763</v>
      </c>
      <c r="K24" s="314"/>
      <c r="L24" s="316">
        <f>((D24*DATA!$D$23)/1000000)+((E24*DATA!$D$24)/1000000)</f>
        <v>24.2016144</v>
      </c>
      <c r="M24" s="316">
        <f t="shared" si="2"/>
        <v>24.2016144</v>
      </c>
      <c r="N24" s="316">
        <f t="shared" ca="1" si="6"/>
        <v>4.0590868074123705</v>
      </c>
      <c r="O24" s="315">
        <f>1/(1+'[93]Asumsi I'!$C$3)^(KKF!A24)</f>
        <v>0.14564434093128129</v>
      </c>
      <c r="P24" s="316">
        <f t="shared" ca="1" si="7"/>
        <v>0.59118302284843338</v>
      </c>
      <c r="Q24" s="316">
        <f t="shared" ca="1" si="9"/>
        <v>-15.609917713896419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16752</v>
      </c>
      <c r="D25" s="316">
        <f t="shared" si="5"/>
        <v>2792</v>
      </c>
      <c r="E25" s="316">
        <f t="shared" si="0"/>
        <v>13960</v>
      </c>
      <c r="F25" s="314"/>
      <c r="G25" s="318">
        <f ca="1">DATA!$D$11/1000000</f>
        <v>1.5726364116</v>
      </c>
      <c r="H25" s="318">
        <f>C25*DATA!$D$5/1000000</f>
        <v>18.161262768692058</v>
      </c>
      <c r="I25" s="318">
        <f>(C25*DATA!$D$5*DATA!$D$7)/1000000</f>
        <v>0.40862841229557129</v>
      </c>
      <c r="J25" s="316">
        <f t="shared" ca="1" si="1"/>
        <v>20.14252759258763</v>
      </c>
      <c r="K25" s="314"/>
      <c r="L25" s="316">
        <f>((D25*DATA!$D$23)/1000000)+((E25*DATA!$D$24)/1000000)</f>
        <v>24.2016144</v>
      </c>
      <c r="M25" s="316">
        <f t="shared" si="2"/>
        <v>24.2016144</v>
      </c>
      <c r="N25" s="316">
        <f t="shared" ca="1" si="6"/>
        <v>4.0590868074123705</v>
      </c>
      <c r="O25" s="315">
        <f>1/(1+'[93]Asumsi I'!$C$3)^(KKF!A25)</f>
        <v>0.13003959011721541</v>
      </c>
      <c r="P25" s="316">
        <f t="shared" ca="1" si="7"/>
        <v>0.52784198468610111</v>
      </c>
      <c r="Q25" s="316">
        <f t="shared" ca="1" si="9"/>
        <v>-15.082075729210317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16752</v>
      </c>
      <c r="D26" s="316">
        <f t="shared" si="5"/>
        <v>2792</v>
      </c>
      <c r="E26" s="316">
        <f t="shared" si="0"/>
        <v>13960</v>
      </c>
      <c r="F26" s="314"/>
      <c r="G26" s="318">
        <f ca="1">DATA!$D$11/1000000</f>
        <v>1.5726364116</v>
      </c>
      <c r="H26" s="318">
        <f>C26*DATA!$D$5/1000000</f>
        <v>18.161262768692058</v>
      </c>
      <c r="I26" s="318">
        <f>(C26*DATA!$D$5*DATA!$D$7)/1000000</f>
        <v>0.40862841229557129</v>
      </c>
      <c r="J26" s="316">
        <f t="shared" ca="1" si="1"/>
        <v>20.14252759258763</v>
      </c>
      <c r="K26" s="314"/>
      <c r="L26" s="316">
        <f>((D26*DATA!$D$23)/1000000)+((E26*DATA!$D$24)/1000000)</f>
        <v>24.2016144</v>
      </c>
      <c r="M26" s="316">
        <f t="shared" si="2"/>
        <v>24.2016144</v>
      </c>
      <c r="N26" s="316">
        <f t="shared" ca="1" si="6"/>
        <v>4.0590868074123705</v>
      </c>
      <c r="O26" s="315">
        <f>1/(1+'[93]Asumsi I'!$C$3)^(KKF!A26)</f>
        <v>0.1161067768903709</v>
      </c>
      <c r="P26" s="316">
        <f t="shared" ca="1" si="7"/>
        <v>0.471287486326876</v>
      </c>
      <c r="Q26" s="316">
        <f t="shared" ca="1" si="9"/>
        <v>-14.610788242883441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16752</v>
      </c>
      <c r="D27" s="316">
        <f t="shared" si="5"/>
        <v>2792</v>
      </c>
      <c r="E27" s="316">
        <f t="shared" si="0"/>
        <v>13960</v>
      </c>
      <c r="F27" s="314"/>
      <c r="G27" s="318">
        <f ca="1">DATA!$D$11/1000000</f>
        <v>1.5726364116</v>
      </c>
      <c r="H27" s="318">
        <f>C27*DATA!$D$5/1000000</f>
        <v>18.161262768692058</v>
      </c>
      <c r="I27" s="318">
        <f>(C27*DATA!$D$5*DATA!$D$7)/1000000</f>
        <v>0.40862841229557129</v>
      </c>
      <c r="J27" s="316">
        <f t="shared" ca="1" si="1"/>
        <v>20.14252759258763</v>
      </c>
      <c r="K27" s="314"/>
      <c r="L27" s="316">
        <f>((D27*DATA!$D$23)/1000000)+((E27*DATA!$D$24)/1000000)</f>
        <v>24.2016144</v>
      </c>
      <c r="M27" s="316">
        <f t="shared" si="2"/>
        <v>24.2016144</v>
      </c>
      <c r="N27" s="316">
        <f t="shared" ca="1" si="6"/>
        <v>4.0590868074123705</v>
      </c>
      <c r="O27" s="315">
        <f>1/(1+'[93]Asumsi I'!$C$3)^(KKF!A27)</f>
        <v>0.1036667650806883</v>
      </c>
      <c r="P27" s="316">
        <f t="shared" ca="1" si="7"/>
        <v>0.42079239850613925</v>
      </c>
      <c r="Q27" s="316">
        <f t="shared" ca="1" si="9"/>
        <v>-14.189995844377302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16752</v>
      </c>
      <c r="D28" s="316">
        <f t="shared" si="5"/>
        <v>2792</v>
      </c>
      <c r="E28" s="316">
        <f t="shared" si="0"/>
        <v>13960</v>
      </c>
      <c r="F28" s="314"/>
      <c r="G28" s="318">
        <f ca="1">DATA!$D$11/1000000</f>
        <v>1.5726364116</v>
      </c>
      <c r="H28" s="318">
        <f>C28*DATA!$D$5/1000000</f>
        <v>18.161262768692058</v>
      </c>
      <c r="I28" s="318">
        <f>(C28*DATA!$D$5*DATA!$D$7)/1000000</f>
        <v>0.40862841229557129</v>
      </c>
      <c r="J28" s="316">
        <f t="shared" ca="1" si="1"/>
        <v>20.14252759258763</v>
      </c>
      <c r="K28" s="314"/>
      <c r="L28" s="316">
        <f>((D28*DATA!$D$23)/1000000)+((E28*DATA!$D$24)/1000000)</f>
        <v>24.2016144</v>
      </c>
      <c r="M28" s="316">
        <f t="shared" si="2"/>
        <v>24.2016144</v>
      </c>
      <c r="N28" s="316">
        <f t="shared" ca="1" si="6"/>
        <v>4.0590868074123705</v>
      </c>
      <c r="O28" s="315">
        <f>1/(1+'[93]Asumsi I'!$C$3)^(KKF!A28)</f>
        <v>9.2559611679185971E-2</v>
      </c>
      <c r="P28" s="316">
        <f t="shared" ca="1" si="7"/>
        <v>0.37570749866619574</v>
      </c>
      <c r="Q28" s="316">
        <f t="shared" ca="1" si="9"/>
        <v>-13.814288345711105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16752</v>
      </c>
      <c r="D29" s="316">
        <f t="shared" si="5"/>
        <v>2792</v>
      </c>
      <c r="E29" s="316">
        <f t="shared" si="0"/>
        <v>13960</v>
      </c>
      <c r="F29" s="314"/>
      <c r="G29" s="318">
        <f ca="1">DATA!$D$11/1000000</f>
        <v>1.5726364116</v>
      </c>
      <c r="H29" s="318">
        <f>C29*DATA!$D$5/1000000</f>
        <v>18.161262768692058</v>
      </c>
      <c r="I29" s="318">
        <f>(C29*DATA!$D$5*DATA!$D$7)/1000000</f>
        <v>0.40862841229557129</v>
      </c>
      <c r="J29" s="316">
        <f t="shared" ca="1" si="1"/>
        <v>20.14252759258763</v>
      </c>
      <c r="K29" s="314"/>
      <c r="L29" s="316">
        <f>((D29*DATA!$D$23)/1000000)+((E29*DATA!$D$24)/1000000)</f>
        <v>24.2016144</v>
      </c>
      <c r="M29" s="316">
        <f t="shared" si="2"/>
        <v>24.2016144</v>
      </c>
      <c r="N29" s="316">
        <f t="shared" ca="1" si="6"/>
        <v>4.0590868074123705</v>
      </c>
      <c r="O29" s="315">
        <f>1/(1+'[93]Asumsi I'!$C$3)^(KKF!A29)</f>
        <v>8.2642510427844609E-2</v>
      </c>
      <c r="P29" s="316">
        <f t="shared" ca="1" si="7"/>
        <v>0.3354531238091033</v>
      </c>
      <c r="Q29" s="316">
        <f t="shared" ca="1" si="9"/>
        <v>-13.478835221902003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16752</v>
      </c>
      <c r="D30" s="316">
        <f t="shared" si="5"/>
        <v>2792</v>
      </c>
      <c r="E30" s="316">
        <f t="shared" si="0"/>
        <v>13960</v>
      </c>
      <c r="F30" s="314"/>
      <c r="G30" s="318">
        <f ca="1">DATA!$D$11/1000000</f>
        <v>1.5726364116</v>
      </c>
      <c r="H30" s="318">
        <f>C30*DATA!$D$5/1000000</f>
        <v>18.161262768692058</v>
      </c>
      <c r="I30" s="318">
        <f>(C30*DATA!$D$5*DATA!$D$7)/1000000</f>
        <v>0.40862841229557129</v>
      </c>
      <c r="J30" s="316">
        <f t="shared" ca="1" si="1"/>
        <v>20.14252759258763</v>
      </c>
      <c r="K30" s="314"/>
      <c r="L30" s="316">
        <f>((D30*DATA!$D$23)/1000000)+((E30*DATA!$D$24)/1000000)</f>
        <v>24.2016144</v>
      </c>
      <c r="M30" s="316">
        <f t="shared" si="2"/>
        <v>24.2016144</v>
      </c>
      <c r="N30" s="316">
        <f t="shared" ca="1" si="6"/>
        <v>4.0590868074123705</v>
      </c>
      <c r="O30" s="315">
        <f>1/(1+'[93]Asumsi I'!$C$3)^(KKF!A30)</f>
        <v>7.3787955739146982E-2</v>
      </c>
      <c r="P30" s="316">
        <f t="shared" ca="1" si="7"/>
        <v>0.29951171768669943</v>
      </c>
      <c r="Q30" s="316">
        <f t="shared" ca="1" si="9"/>
        <v>-13.179323504215303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16752</v>
      </c>
      <c r="D31" s="316">
        <f t="shared" si="5"/>
        <v>2792</v>
      </c>
      <c r="E31" s="316">
        <f t="shared" si="0"/>
        <v>13960</v>
      </c>
      <c r="F31" s="314"/>
      <c r="G31" s="318">
        <f ca="1">DATA!$D$11/1000000</f>
        <v>1.5726364116</v>
      </c>
      <c r="H31" s="318">
        <f>C31*DATA!$D$5/1000000</f>
        <v>18.161262768692058</v>
      </c>
      <c r="I31" s="318">
        <f>(C31*DATA!$D$5*DATA!$D$7)/1000000</f>
        <v>0.40862841229557129</v>
      </c>
      <c r="J31" s="316">
        <f t="shared" ca="1" si="1"/>
        <v>20.14252759258763</v>
      </c>
      <c r="K31" s="314"/>
      <c r="L31" s="316">
        <f>((D31*DATA!$D$23)/1000000)+((E31*DATA!$D$24)/1000000)</f>
        <v>24.2016144</v>
      </c>
      <c r="M31" s="316">
        <f t="shared" si="2"/>
        <v>24.2016144</v>
      </c>
      <c r="N31" s="316">
        <f t="shared" ca="1" si="6"/>
        <v>4.0590868074123705</v>
      </c>
      <c r="O31" s="315">
        <f>1/(1+'[93]Asumsi I'!$C$3)^(KKF!A31)</f>
        <v>6.5882103338524081E-2</v>
      </c>
      <c r="P31" s="316">
        <f t="shared" ca="1" si="7"/>
        <v>0.26742117650598157</v>
      </c>
      <c r="Q31" s="316">
        <f ca="1">Q30+P31</f>
        <v>-12.911902327709321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16752</v>
      </c>
      <c r="D32" s="316">
        <f t="shared" si="5"/>
        <v>2792</v>
      </c>
      <c r="E32" s="316">
        <f t="shared" si="0"/>
        <v>13960</v>
      </c>
      <c r="F32" s="314"/>
      <c r="G32" s="318">
        <f ca="1">DATA!$D$11/1000000</f>
        <v>1.5726364116</v>
      </c>
      <c r="H32" s="318">
        <f>C32*DATA!$D$5/1000000</f>
        <v>18.161262768692058</v>
      </c>
      <c r="I32" s="318">
        <f>(C32*DATA!$D$5*DATA!$D$7)/1000000</f>
        <v>0.40862841229557129</v>
      </c>
      <c r="J32" s="316">
        <f t="shared" ca="1" si="1"/>
        <v>20.14252759258763</v>
      </c>
      <c r="K32" s="314"/>
      <c r="L32" s="316">
        <f>((D32*DATA!$D$23)/1000000)+((E32*DATA!$D$24)/1000000)</f>
        <v>24.2016144</v>
      </c>
      <c r="M32" s="316">
        <f t="shared" si="2"/>
        <v>24.2016144</v>
      </c>
      <c r="N32" s="316">
        <f t="shared" ca="1" si="6"/>
        <v>4.0590868074123705</v>
      </c>
      <c r="O32" s="315">
        <f>1/(1+'[93]Asumsi I'!$C$3)^(KKF!A32)</f>
        <v>5.8823306552253637E-2</v>
      </c>
      <c r="P32" s="316">
        <f t="shared" ca="1" si="7"/>
        <v>0.23876890759462638</v>
      </c>
      <c r="Q32" s="316">
        <f ca="1">Q31+P32</f>
        <v>-12.673133420114695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3" t="s">
        <v>1374</v>
      </c>
      <c r="G33" s="613"/>
      <c r="H33" s="613"/>
      <c r="I33" s="324"/>
      <c r="J33" s="325">
        <f ca="1">SUM(J7:J32)</f>
        <v>589.95761053328647</v>
      </c>
      <c r="K33" s="613" t="s">
        <v>1375</v>
      </c>
      <c r="L33" s="613"/>
      <c r="M33" s="325">
        <f>SUM(M7:M32)</f>
        <v>646.92566480000005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21.284201303807915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1.0965629618969028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-11.315297696530985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7.6882365480801296E-2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8" priority="1" stopIfTrue="1" operator="greaterThanOrEqual">
      <formula>$F$7</formula>
    </cfRule>
    <cfRule type="cellIs" dxfId="17" priority="2" stopIfTrue="1" operator="lessThan">
      <formula>$F$7</formula>
    </cfRule>
  </conditionalFormatting>
  <conditionalFormatting sqref="Q7:Q32">
    <cfRule type="cellIs" dxfId="16" priority="3" operator="lessThan">
      <formula>0</formula>
    </cfRule>
    <cfRule type="cellIs" dxfId="15" priority="4" operator="lessThan">
      <formula>0</formula>
    </cfRule>
    <cfRule type="cellIs" dxfId="14" priority="5" operator="lessThan">
      <formula>-6395.81</formula>
    </cfRule>
    <cfRule type="cellIs" dxfId="1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90"/>
  <sheetViews>
    <sheetView showGridLines="0" tabSelected="1" zoomScale="70" zoomScaleNormal="70" zoomScaleSheetLayoutView="70" workbookViewId="0">
      <pane ySplit="13" topLeftCell="A14" activePane="bottomLeft" state="frozen"/>
      <selection activeCell="H1093" sqref="H1093"/>
      <selection pane="bottomLeft" activeCell="C22" sqref="C22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8" customWidth="1"/>
    <col min="4" max="4" width="13.7109375" style="408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6" t="s">
        <v>1036</v>
      </c>
      <c r="P3" s="616"/>
      <c r="Q3" s="346"/>
      <c r="T3" s="344"/>
      <c r="U3" s="345" t="s">
        <v>1041</v>
      </c>
      <c r="V3" s="344"/>
    </row>
    <row r="4" spans="1:22" ht="15.75" customHeight="1">
      <c r="B4" s="617" t="s">
        <v>1023</v>
      </c>
      <c r="C4" s="617"/>
      <c r="D4" s="617"/>
      <c r="E4" s="617"/>
      <c r="F4" s="617"/>
      <c r="G4" s="617"/>
      <c r="H4" s="617"/>
      <c r="I4" s="617"/>
      <c r="J4" s="617"/>
      <c r="K4" s="617"/>
      <c r="O4" s="616"/>
      <c r="P4" s="616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3" t="str">
        <f>DATA!D14</f>
        <v>POMPA AIR JATENG LAND</v>
      </c>
      <c r="H6" s="633"/>
      <c r="I6" s="633"/>
      <c r="J6" s="633"/>
      <c r="K6" s="633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1620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9" t="s">
        <v>0</v>
      </c>
      <c r="C11" s="621" t="s">
        <v>1</v>
      </c>
      <c r="D11" s="624" t="s">
        <v>42</v>
      </c>
      <c r="E11" s="624" t="s">
        <v>43</v>
      </c>
      <c r="F11" s="624" t="s">
        <v>2</v>
      </c>
      <c r="G11" s="626" t="s">
        <v>41</v>
      </c>
      <c r="H11" s="624" t="s">
        <v>3</v>
      </c>
      <c r="I11" s="624"/>
      <c r="J11" s="624"/>
      <c r="K11" s="643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0"/>
      <c r="C12" s="622"/>
      <c r="D12" s="625"/>
      <c r="E12" s="625"/>
      <c r="F12" s="625"/>
      <c r="G12" s="627"/>
      <c r="H12" s="629" t="s">
        <v>46</v>
      </c>
      <c r="I12" s="629" t="s">
        <v>5</v>
      </c>
      <c r="J12" s="625" t="s">
        <v>47</v>
      </c>
      <c r="K12" s="644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0"/>
      <c r="C13" s="623"/>
      <c r="D13" s="625"/>
      <c r="E13" s="625"/>
      <c r="F13" s="625"/>
      <c r="G13" s="628"/>
      <c r="H13" s="630"/>
      <c r="I13" s="630"/>
      <c r="J13" s="625"/>
      <c r="K13" s="644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1609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1610</v>
      </c>
      <c r="C17" s="367" t="s">
        <v>1611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:H56" ca="1" si="8">IF(OR(D17="MDU",D17="MDU-KD"),(IF($O$3="RAB NON MDU","PLN KD",G17*F17)),0)</f>
        <v>0</v>
      </c>
      <c r="I17" s="361">
        <f t="shared" ref="I17:I56" ca="1" si="9">IF(D17="HDW",G17*F17,0)</f>
        <v>0</v>
      </c>
      <c r="J17" s="361">
        <f t="shared" ref="J17:J56" ca="1" si="10">IF(D17="JASA",G17*F17,0)</f>
        <v>0</v>
      </c>
      <c r="K17" s="362">
        <f t="shared" ref="K17:K56" ca="1" si="11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>
      <c r="B18" s="493"/>
      <c r="C18" s="496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502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19" ca="1" si="12">IF(OR(D18="MDU",D18="MDU-KD"),(IF($O$3="RAB NON MDU","PLN KD",G18*F18)),0)</f>
        <v>0</v>
      </c>
      <c r="I18" s="361">
        <f t="shared" ref="I18:I19" ca="1" si="13">IF(D18="HDW",G18*F18,0)</f>
        <v>0</v>
      </c>
      <c r="J18" s="361">
        <f t="shared" ref="J18:J19" ca="1" si="14">IF(D18="JASA",G18*F18,0)</f>
        <v>0</v>
      </c>
      <c r="K18" s="362">
        <f t="shared" ref="K18:K19" ca="1" si="15">SUM(H18:J18)</f>
        <v>0</v>
      </c>
    </row>
    <row r="19" spans="1:22">
      <c r="B19" s="366" t="s">
        <v>1612</v>
      </c>
      <c r="C19" s="367" t="s">
        <v>1614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502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12"/>
        <v>0</v>
      </c>
      <c r="I19" s="361">
        <f t="shared" ca="1" si="13"/>
        <v>0</v>
      </c>
      <c r="J19" s="361">
        <f t="shared" ca="1" si="14"/>
        <v>0</v>
      </c>
      <c r="K19" s="362">
        <f t="shared" ca="1" si="15"/>
        <v>0</v>
      </c>
    </row>
    <row r="20" spans="1:22">
      <c r="B20" s="493"/>
      <c r="C20" s="496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502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:H40" ca="1" si="16">IF(OR(D20="MDU",D20="MDU-KD"),(IF($O$3="RAB NON MDU","PLN KD",G20*F20)),0)</f>
        <v>0</v>
      </c>
      <c r="I20" s="361">
        <f t="shared" ref="I20:I40" ca="1" si="17">IF(D20="HDW",G20*F20,0)</f>
        <v>0</v>
      </c>
      <c r="J20" s="361">
        <f t="shared" ref="J20:J40" ca="1" si="18">IF(D20="JASA",G20*F20,0)</f>
        <v>0</v>
      </c>
      <c r="K20" s="362">
        <f t="shared" ref="K20:K40" ca="1" si="19">SUM(H20:J20)</f>
        <v>0</v>
      </c>
    </row>
    <row r="21" spans="1:22">
      <c r="B21" s="497" t="s">
        <v>1035</v>
      </c>
      <c r="C21" s="517" t="s">
        <v>1628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501">
        <v>1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6"/>
        <v>0</v>
      </c>
      <c r="I21" s="361">
        <f t="shared" ca="1" si="17"/>
        <v>0</v>
      </c>
      <c r="J21" s="361">
        <f t="shared" ca="1" si="18"/>
        <v>0</v>
      </c>
      <c r="K21" s="362">
        <f t="shared" ca="1" si="19"/>
        <v>0</v>
      </c>
    </row>
    <row r="22" spans="1:22">
      <c r="B22" s="497">
        <v>1</v>
      </c>
      <c r="C22" s="109" t="s">
        <v>1147</v>
      </c>
      <c r="D22" s="358" t="str">
        <f ca="1">IF(ISERROR(OFFSET('HARGA SATUAN'!$D$6,MATCH(RAB!C22,'HARGA SATUAN'!$C$7:$C$1492,0),0)),"",OFFSET('HARGA SATUAN'!$D$6,MATCH(RAB!C22,'HARGA SATUAN'!$C$7:$C$1492,0),0))</f>
        <v>MDU-KD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501">
        <f>F21*1</f>
        <v>1</v>
      </c>
      <c r="G22" s="360">
        <f ca="1">IF(ISERROR(OFFSET('HARGA SATUAN'!$I$6,MATCH(RAB!C22,'HARGA SATUAN'!$C$7:$C$1492,0),0)),0,OFFSET('HARGA SATUAN'!$I$6,MATCH(RAB!C22,'HARGA SATUAN'!$C$7:$C$1492,0),0))</f>
        <v>56838600</v>
      </c>
      <c r="H22" s="361">
        <f t="shared" ca="1" si="16"/>
        <v>56838600</v>
      </c>
      <c r="I22" s="361">
        <f t="shared" ca="1" si="17"/>
        <v>0</v>
      </c>
      <c r="J22" s="361">
        <f t="shared" ca="1" si="18"/>
        <v>0</v>
      </c>
      <c r="K22" s="362">
        <f t="shared" ca="1" si="19"/>
        <v>56838600</v>
      </c>
    </row>
    <row r="23" spans="1:22">
      <c r="B23" s="503">
        <v>2</v>
      </c>
      <c r="C23" s="504" t="s">
        <v>1617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5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6"/>
        <v>0</v>
      </c>
      <c r="I23" s="361">
        <f t="shared" ca="1" si="17"/>
        <v>0</v>
      </c>
      <c r="J23" s="361">
        <f t="shared" ca="1" si="18"/>
        <v>0</v>
      </c>
      <c r="K23" s="362">
        <f t="shared" ca="1" si="19"/>
        <v>0</v>
      </c>
    </row>
    <row r="24" spans="1:22">
      <c r="B24" s="497"/>
      <c r="C24" s="504" t="s">
        <v>65</v>
      </c>
      <c r="D24" s="358" t="s">
        <v>1624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501">
        <f>F21*(3*3)</f>
        <v>9</v>
      </c>
      <c r="G24" s="360">
        <f ca="1">IF(ISERROR(OFFSET('HARGA SATUAN'!$I$6,MATCH(RAB!C24,'HARGA SATUAN'!$C$7:$C$1492,0),0)),0,OFFSET('HARGA SATUAN'!$I$6,MATCH(RAB!C24,'HARGA SATUAN'!$C$7:$C$1492,0),0))</f>
        <v>14200</v>
      </c>
      <c r="H24" s="361">
        <f t="shared" si="16"/>
        <v>0</v>
      </c>
      <c r="I24" s="361">
        <f t="shared" si="17"/>
        <v>0</v>
      </c>
      <c r="J24" s="361">
        <f t="shared" si="18"/>
        <v>0</v>
      </c>
      <c r="K24" s="362">
        <f t="shared" si="19"/>
        <v>0</v>
      </c>
    </row>
    <row r="25" spans="1:22">
      <c r="B25" s="497"/>
      <c r="C25" s="109" t="s">
        <v>1459</v>
      </c>
      <c r="D25" s="358" t="s">
        <v>1624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501">
        <f>F21*3</f>
        <v>3</v>
      </c>
      <c r="G25" s="360">
        <f ca="1">IF(ISERROR(OFFSET('HARGA SATUAN'!$I$6,MATCH(RAB!C25,'HARGA SATUAN'!$C$7:$C$1492,0),0)),0,OFFSET('HARGA SATUAN'!$I$6,MATCH(RAB!C25,'HARGA SATUAN'!$C$7:$C$1492,0),0))</f>
        <v>54500</v>
      </c>
      <c r="H25" s="361">
        <f t="shared" si="16"/>
        <v>0</v>
      </c>
      <c r="I25" s="361">
        <f t="shared" si="17"/>
        <v>0</v>
      </c>
      <c r="J25" s="361">
        <f t="shared" si="18"/>
        <v>0</v>
      </c>
      <c r="K25" s="362">
        <f t="shared" si="19"/>
        <v>0</v>
      </c>
    </row>
    <row r="26" spans="1:22">
      <c r="B26" s="497">
        <v>3</v>
      </c>
      <c r="C26" s="109" t="s">
        <v>559</v>
      </c>
      <c r="D26" s="358" t="s">
        <v>1624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F21*3</f>
        <v>3</v>
      </c>
      <c r="G26" s="360">
        <f ca="1">IF(ISERROR(OFFSET('HARGA SATUAN'!$I$6,MATCH(RAB!C26,'HARGA SATUAN'!$C$7:$C$1492,0),0)),0,OFFSET('HARGA SATUAN'!$I$6,MATCH(RAB!C26,'HARGA SATUAN'!$C$7:$C$1492,0),0))</f>
        <v>725900</v>
      </c>
      <c r="H26" s="361">
        <f t="shared" si="16"/>
        <v>0</v>
      </c>
      <c r="I26" s="361">
        <f t="shared" si="17"/>
        <v>0</v>
      </c>
      <c r="J26" s="361">
        <f t="shared" si="18"/>
        <v>0</v>
      </c>
      <c r="K26" s="362">
        <f t="shared" si="19"/>
        <v>0</v>
      </c>
    </row>
    <row r="27" spans="1:22">
      <c r="B27" s="497">
        <v>4</v>
      </c>
      <c r="C27" s="498" t="s">
        <v>535</v>
      </c>
      <c r="D27" s="358" t="s">
        <v>1624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F21*3</f>
        <v>3</v>
      </c>
      <c r="G27" s="360">
        <f ca="1">IF(ISERROR(OFFSET('HARGA SATUAN'!$I$6,MATCH(RAB!C27,'HARGA SATUAN'!$C$7:$C$1492,0),0)),0,OFFSET('HARGA SATUAN'!$I$6,MATCH(RAB!C27,'HARGA SATUAN'!$C$7:$C$1492,0),0))</f>
        <v>848250</v>
      </c>
      <c r="H27" s="361">
        <f t="shared" si="16"/>
        <v>0</v>
      </c>
      <c r="I27" s="361">
        <f t="shared" si="17"/>
        <v>0</v>
      </c>
      <c r="J27" s="361">
        <f t="shared" si="18"/>
        <v>0</v>
      </c>
      <c r="K27" s="362">
        <f t="shared" si="19"/>
        <v>0</v>
      </c>
    </row>
    <row r="28" spans="1:22">
      <c r="B28" s="497">
        <v>5</v>
      </c>
      <c r="C28" s="498" t="s">
        <v>55</v>
      </c>
      <c r="D28" s="358" t="s">
        <v>1624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01">
        <f>F21*3</f>
        <v>3</v>
      </c>
      <c r="G28" s="360">
        <f ca="1">IF(ISERROR(OFFSET('HARGA SATUAN'!$I$6,MATCH(RAB!C28,'HARGA SATUAN'!$C$7:$C$1492,0),0)),0,OFFSET('HARGA SATUAN'!$I$6,MATCH(RAB!C28,'HARGA SATUAN'!$C$7:$C$1492,0),0))</f>
        <v>18000</v>
      </c>
      <c r="H28" s="361">
        <f t="shared" si="16"/>
        <v>0</v>
      </c>
      <c r="I28" s="361">
        <f t="shared" si="17"/>
        <v>0</v>
      </c>
      <c r="J28" s="361">
        <f t="shared" si="18"/>
        <v>0</v>
      </c>
      <c r="K28" s="362">
        <f t="shared" si="19"/>
        <v>0</v>
      </c>
    </row>
    <row r="29" spans="1:22">
      <c r="B29" s="497">
        <v>6</v>
      </c>
      <c r="C29" s="109" t="s">
        <v>1564</v>
      </c>
      <c r="D29" s="358" t="s">
        <v>1624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1">
        <f>F21*13</f>
        <v>13</v>
      </c>
      <c r="G29" s="360">
        <f ca="1">IF(ISERROR(OFFSET('HARGA SATUAN'!$I$6,MATCH(RAB!C29,'HARGA SATUAN'!$C$7:$C$1492,0),0)),0,OFFSET('HARGA SATUAN'!$I$6,MATCH(RAB!C29,'HARGA SATUAN'!$C$7:$C$1492,0),0))</f>
        <v>49000</v>
      </c>
      <c r="H29" s="361">
        <f t="shared" si="16"/>
        <v>0</v>
      </c>
      <c r="I29" s="361">
        <f t="shared" si="17"/>
        <v>0</v>
      </c>
      <c r="J29" s="361">
        <f t="shared" si="18"/>
        <v>0</v>
      </c>
      <c r="K29" s="362">
        <f t="shared" si="19"/>
        <v>0</v>
      </c>
    </row>
    <row r="30" spans="1:22">
      <c r="B30" s="497">
        <v>7</v>
      </c>
      <c r="C30" s="498" t="s">
        <v>163</v>
      </c>
      <c r="D30" s="358" t="s">
        <v>1624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F21*28</f>
        <v>28</v>
      </c>
      <c r="G30" s="360">
        <f ca="1">IF(ISERROR(OFFSET('HARGA SATUAN'!$I$6,MATCH(RAB!C30,'HARGA SATUAN'!$C$7:$C$1492,0),0)),0,OFFSET('HARGA SATUAN'!$I$6,MATCH(RAB!C30,'HARGA SATUAN'!$C$7:$C$1492,0),0))</f>
        <v>7938</v>
      </c>
      <c r="H30" s="361">
        <f t="shared" si="16"/>
        <v>0</v>
      </c>
      <c r="I30" s="361">
        <f t="shared" si="17"/>
        <v>0</v>
      </c>
      <c r="J30" s="361">
        <f t="shared" si="18"/>
        <v>0</v>
      </c>
      <c r="K30" s="362">
        <f t="shared" si="19"/>
        <v>0</v>
      </c>
    </row>
    <row r="31" spans="1:22">
      <c r="B31" s="497">
        <v>8</v>
      </c>
      <c r="C31" s="498" t="s">
        <v>176</v>
      </c>
      <c r="D31" s="358" t="s">
        <v>1624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F21*2</f>
        <v>2</v>
      </c>
      <c r="G31" s="360">
        <f ca="1">IF(ISERROR(OFFSET('HARGA SATUAN'!$I$6,MATCH(RAB!C31,'HARGA SATUAN'!$C$7:$C$1492,0),0)),0,OFFSET('HARGA SATUAN'!$I$6,MATCH(RAB!C31,'HARGA SATUAN'!$C$7:$C$1492,0),0))</f>
        <v>404600</v>
      </c>
      <c r="H31" s="361">
        <f t="shared" si="16"/>
        <v>0</v>
      </c>
      <c r="I31" s="361">
        <f t="shared" si="17"/>
        <v>0</v>
      </c>
      <c r="J31" s="361">
        <f t="shared" si="18"/>
        <v>0</v>
      </c>
      <c r="K31" s="362">
        <f t="shared" si="19"/>
        <v>0</v>
      </c>
    </row>
    <row r="32" spans="1:22">
      <c r="B32" s="497">
        <v>9</v>
      </c>
      <c r="C32" s="498" t="s">
        <v>184</v>
      </c>
      <c r="D32" s="358" t="s">
        <v>1624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F21*3</f>
        <v>3</v>
      </c>
      <c r="G32" s="360">
        <f ca="1">IF(ISERROR(OFFSET('HARGA SATUAN'!$I$6,MATCH(RAB!C32,'HARGA SATUAN'!$C$7:$C$1492,0),0)),0,OFFSET('HARGA SATUAN'!$I$6,MATCH(RAB!C32,'HARGA SATUAN'!$C$7:$C$1492,0),0))</f>
        <v>15900</v>
      </c>
      <c r="H32" s="361">
        <f t="shared" si="16"/>
        <v>0</v>
      </c>
      <c r="I32" s="361">
        <f t="shared" si="17"/>
        <v>0</v>
      </c>
      <c r="J32" s="361">
        <f t="shared" si="18"/>
        <v>0</v>
      </c>
      <c r="K32" s="362">
        <f t="shared" si="19"/>
        <v>0</v>
      </c>
    </row>
    <row r="33" spans="2:11">
      <c r="B33" s="497">
        <v>10</v>
      </c>
      <c r="C33" s="498" t="s">
        <v>593</v>
      </c>
      <c r="D33" s="358" t="s">
        <v>1624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F21*5</f>
        <v>5</v>
      </c>
      <c r="G33" s="360">
        <f ca="1">IF(ISERROR(OFFSET('HARGA SATUAN'!$I$6,MATCH(RAB!C33,'HARGA SATUAN'!$C$7:$C$1492,0),0)),0,OFFSET('HARGA SATUAN'!$I$6,MATCH(RAB!C33,'HARGA SATUAN'!$C$7:$C$1492,0),0))</f>
        <v>380500</v>
      </c>
      <c r="H33" s="361">
        <f t="shared" si="16"/>
        <v>0</v>
      </c>
      <c r="I33" s="361">
        <f t="shared" si="17"/>
        <v>0</v>
      </c>
      <c r="J33" s="361">
        <f t="shared" si="18"/>
        <v>0</v>
      </c>
      <c r="K33" s="362">
        <f t="shared" si="19"/>
        <v>0</v>
      </c>
    </row>
    <row r="34" spans="2:11">
      <c r="B34" s="497">
        <v>11</v>
      </c>
      <c r="C34" s="498" t="s">
        <v>594</v>
      </c>
      <c r="D34" s="358" t="s">
        <v>1624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1">
        <f>F21*4</f>
        <v>4</v>
      </c>
      <c r="G34" s="360">
        <f ca="1">IF(ISERROR(OFFSET('HARGA SATUAN'!$I$6,MATCH(RAB!C34,'HARGA SATUAN'!$C$7:$C$1492,0),0)),0,OFFSET('HARGA SATUAN'!$I$6,MATCH(RAB!C34,'HARGA SATUAN'!$C$7:$C$1492,0),0))</f>
        <v>559200</v>
      </c>
      <c r="H34" s="361">
        <f t="shared" si="16"/>
        <v>0</v>
      </c>
      <c r="I34" s="361">
        <f t="shared" si="17"/>
        <v>0</v>
      </c>
      <c r="J34" s="361">
        <f t="shared" si="18"/>
        <v>0</v>
      </c>
      <c r="K34" s="362">
        <f t="shared" si="19"/>
        <v>0</v>
      </c>
    </row>
    <row r="35" spans="2:11">
      <c r="B35" s="497">
        <v>12</v>
      </c>
      <c r="C35" s="498" t="s">
        <v>208</v>
      </c>
      <c r="D35" s="358" t="s">
        <v>1624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1">
        <f>F21*3</f>
        <v>3</v>
      </c>
      <c r="G35" s="360">
        <f ca="1">IF(ISERROR(OFFSET('HARGA SATUAN'!$I$6,MATCH(RAB!C35,'HARGA SATUAN'!$C$7:$C$1492,0),0)),0,OFFSET('HARGA SATUAN'!$I$6,MATCH(RAB!C35,'HARGA SATUAN'!$C$7:$C$1492,0),0))</f>
        <v>173400</v>
      </c>
      <c r="H35" s="361">
        <f t="shared" si="16"/>
        <v>0</v>
      </c>
      <c r="I35" s="361">
        <f t="shared" si="17"/>
        <v>0</v>
      </c>
      <c r="J35" s="361">
        <f t="shared" si="18"/>
        <v>0</v>
      </c>
      <c r="K35" s="362">
        <f t="shared" si="19"/>
        <v>0</v>
      </c>
    </row>
    <row r="36" spans="2:11">
      <c r="B36" s="497">
        <v>13</v>
      </c>
      <c r="C36" s="498" t="s">
        <v>247</v>
      </c>
      <c r="D36" s="358" t="s">
        <v>1624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501">
        <f>F21*2</f>
        <v>2</v>
      </c>
      <c r="G36" s="360">
        <f ca="1">IF(ISERROR(OFFSET('HARGA SATUAN'!$I$6,MATCH(RAB!C36,'HARGA SATUAN'!$C$7:$C$1492,0),0)),0,OFFSET('HARGA SATUAN'!$I$6,MATCH(RAB!C36,'HARGA SATUAN'!$C$7:$C$1492,0),0))</f>
        <v>57690</v>
      </c>
      <c r="H36" s="361">
        <f t="shared" si="16"/>
        <v>0</v>
      </c>
      <c r="I36" s="361">
        <f t="shared" si="17"/>
        <v>0</v>
      </c>
      <c r="J36" s="361">
        <f t="shared" si="18"/>
        <v>0</v>
      </c>
      <c r="K36" s="362">
        <f t="shared" si="19"/>
        <v>0</v>
      </c>
    </row>
    <row r="37" spans="2:11">
      <c r="B37" s="497">
        <v>14</v>
      </c>
      <c r="C37" s="498" t="s">
        <v>248</v>
      </c>
      <c r="D37" s="358" t="s">
        <v>1624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f>F21*2</f>
        <v>2</v>
      </c>
      <c r="G37" s="360">
        <f ca="1">IF(ISERROR(OFFSET('HARGA SATUAN'!$I$6,MATCH(RAB!C37,'HARGA SATUAN'!$C$7:$C$1492,0),0)),0,OFFSET('HARGA SATUAN'!$I$6,MATCH(RAB!C37,'HARGA SATUAN'!$C$7:$C$1492,0),0))</f>
        <v>60300</v>
      </c>
      <c r="H37" s="361">
        <f t="shared" si="16"/>
        <v>0</v>
      </c>
      <c r="I37" s="361">
        <f t="shared" si="17"/>
        <v>0</v>
      </c>
      <c r="J37" s="361">
        <f t="shared" si="18"/>
        <v>0</v>
      </c>
      <c r="K37" s="362">
        <f t="shared" si="19"/>
        <v>0</v>
      </c>
    </row>
    <row r="38" spans="2:11">
      <c r="B38" s="497">
        <v>15</v>
      </c>
      <c r="C38" s="498" t="s">
        <v>267</v>
      </c>
      <c r="D38" s="358" t="s">
        <v>1624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F21*4</f>
        <v>4</v>
      </c>
      <c r="G38" s="360">
        <f ca="1">IF(ISERROR(OFFSET('HARGA SATUAN'!$I$6,MATCH(RAB!C38,'HARGA SATUAN'!$C$7:$C$1492,0),0)),0,OFFSET('HARGA SATUAN'!$I$6,MATCH(RAB!C38,'HARGA SATUAN'!$C$7:$C$1492,0),0))</f>
        <v>129000</v>
      </c>
      <c r="H38" s="361">
        <f t="shared" si="16"/>
        <v>0</v>
      </c>
      <c r="I38" s="361">
        <f t="shared" si="17"/>
        <v>0</v>
      </c>
      <c r="J38" s="361">
        <f t="shared" si="18"/>
        <v>0</v>
      </c>
      <c r="K38" s="362">
        <f t="shared" si="19"/>
        <v>0</v>
      </c>
    </row>
    <row r="39" spans="2:11" ht="26.25">
      <c r="B39" s="497">
        <v>16</v>
      </c>
      <c r="C39" s="512" t="s">
        <v>1626</v>
      </c>
      <c r="D39" s="513" t="s">
        <v>47</v>
      </c>
      <c r="E39" s="514" t="s">
        <v>14</v>
      </c>
      <c r="F39" s="514">
        <v>1</v>
      </c>
      <c r="G39" s="515">
        <v>398500</v>
      </c>
      <c r="H39" s="361">
        <f t="shared" si="16"/>
        <v>0</v>
      </c>
      <c r="I39" s="361">
        <f t="shared" si="17"/>
        <v>0</v>
      </c>
      <c r="J39" s="361">
        <f t="shared" si="18"/>
        <v>398500</v>
      </c>
      <c r="K39" s="362">
        <f t="shared" si="19"/>
        <v>398500</v>
      </c>
    </row>
    <row r="40" spans="2:11" ht="25.5">
      <c r="B40" s="493"/>
      <c r="C40" s="516" t="s">
        <v>1627</v>
      </c>
      <c r="D40" s="513" t="s">
        <v>47</v>
      </c>
      <c r="E40" s="514" t="s">
        <v>14</v>
      </c>
      <c r="F40" s="514">
        <v>1</v>
      </c>
      <c r="G40" s="515">
        <v>560800</v>
      </c>
      <c r="H40" s="361">
        <f t="shared" si="16"/>
        <v>0</v>
      </c>
      <c r="I40" s="361">
        <f t="shared" si="17"/>
        <v>0</v>
      </c>
      <c r="J40" s="361">
        <f t="shared" si="18"/>
        <v>560800</v>
      </c>
      <c r="K40" s="362">
        <f t="shared" si="19"/>
        <v>560800</v>
      </c>
    </row>
    <row r="41" spans="2:11">
      <c r="B41" s="493"/>
      <c r="C41" s="496"/>
      <c r="D41" s="358"/>
      <c r="E41" s="359"/>
      <c r="F41" s="502"/>
      <c r="G41" s="360"/>
      <c r="H41" s="361"/>
      <c r="I41" s="361"/>
      <c r="J41" s="361"/>
      <c r="K41" s="362"/>
    </row>
    <row r="42" spans="2:11">
      <c r="B42" s="494" t="s">
        <v>1613</v>
      </c>
      <c r="C42" s="500" t="s">
        <v>1621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368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8"/>
        <v>0</v>
      </c>
      <c r="I42" s="361">
        <f t="shared" ca="1" si="9"/>
        <v>0</v>
      </c>
      <c r="J42" s="361">
        <f t="shared" ca="1" si="10"/>
        <v>0</v>
      </c>
      <c r="K42" s="362">
        <f t="shared" ca="1" si="11"/>
        <v>0</v>
      </c>
    </row>
    <row r="43" spans="2:11">
      <c r="B43" s="494" t="s">
        <v>1035</v>
      </c>
      <c r="C43" s="495" t="s">
        <v>1625</v>
      </c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499">
        <v>1</v>
      </c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8"/>
        <v>0</v>
      </c>
      <c r="I43" s="361">
        <f t="shared" ca="1" si="9"/>
        <v>0</v>
      </c>
      <c r="J43" s="361">
        <f t="shared" ca="1" si="10"/>
        <v>0</v>
      </c>
      <c r="K43" s="362">
        <f t="shared" ca="1" si="11"/>
        <v>0</v>
      </c>
    </row>
    <row r="44" spans="2:11" ht="30">
      <c r="B44" s="510">
        <v>1</v>
      </c>
      <c r="C44" s="109" t="s">
        <v>1197</v>
      </c>
      <c r="D44" s="358" t="str">
        <f ca="1">IF(ISERROR(OFFSET('HARGA SATUAN'!$D$6,MATCH(RAB!C44,'HARGA SATUAN'!$C$7:$C$1492,0),0)),"",OFFSET('HARGA SATUAN'!$D$6,MATCH(RAB!C44,'HARGA SATUAN'!$C$7:$C$1492,0),0))</f>
        <v>MDU-KD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99">
        <f>F43*1</f>
        <v>1</v>
      </c>
      <c r="G44" s="360">
        <f ca="1">IF(ISERROR(OFFSET('HARGA SATUAN'!$I$6,MATCH(RAB!C44,'HARGA SATUAN'!$C$7:$C$1492,0),0)),0,OFFSET('HARGA SATUAN'!$I$6,MATCH(RAB!C44,'HARGA SATUAN'!$C$7:$C$1492,0),0))</f>
        <v>1427400</v>
      </c>
      <c r="H44" s="361">
        <f t="shared" ca="1" si="8"/>
        <v>1427400</v>
      </c>
      <c r="I44" s="361">
        <f t="shared" ca="1" si="9"/>
        <v>0</v>
      </c>
      <c r="J44" s="361">
        <f t="shared" ca="1" si="10"/>
        <v>0</v>
      </c>
      <c r="K44" s="362">
        <f t="shared" ca="1" si="11"/>
        <v>1427400</v>
      </c>
    </row>
    <row r="45" spans="2:11">
      <c r="B45" s="510">
        <v>2</v>
      </c>
      <c r="C45" s="511" t="s">
        <v>514</v>
      </c>
      <c r="D45" s="358" t="str">
        <f ca="1">IF(ISERROR(OFFSET('HARGA SATUAN'!$D$6,MATCH(RAB!C45,'HARGA SATUAN'!$C$7:$C$1492,0),0)),"",OFFSET('HARGA SATUAN'!$D$6,MATCH(RAB!C45,'HARGA SATUAN'!$C$7:$C$1492,0),0))</f>
        <v>MDU-KD</v>
      </c>
      <c r="E45" s="359" t="str">
        <f ca="1">IF(B45="+","Unit",IF(ISERROR(OFFSET('HARGA SATUAN'!$E$6,MATCH(RAB!C45,'HARGA SATUAN'!$C$7:$C$1492,0),0)),"",OFFSET('HARGA SATUAN'!$E$6,MATCH(RAB!C45,'HARGA SATUAN'!$C$7:$C$1492,0),0)))</f>
        <v>Unit</v>
      </c>
      <c r="F45" s="499">
        <f>F43*1</f>
        <v>1</v>
      </c>
      <c r="G45" s="360">
        <f ca="1">IF(ISERROR(OFFSET('HARGA SATUAN'!$I$6,MATCH(RAB!C45,'HARGA SATUAN'!$C$7:$C$1492,0),0)),0,OFFSET('HARGA SATUAN'!$I$6,MATCH(RAB!C45,'HARGA SATUAN'!$C$7:$C$1492,0),0))</f>
        <v>3564900</v>
      </c>
      <c r="H45" s="361">
        <f t="shared" ca="1" si="8"/>
        <v>3564900</v>
      </c>
      <c r="I45" s="361">
        <f t="shared" ca="1" si="9"/>
        <v>0</v>
      </c>
      <c r="J45" s="361">
        <f t="shared" ca="1" si="10"/>
        <v>0</v>
      </c>
      <c r="K45" s="362">
        <f t="shared" ca="1" si="11"/>
        <v>3564900</v>
      </c>
    </row>
    <row r="46" spans="2:11">
      <c r="B46" s="510">
        <v>3</v>
      </c>
      <c r="C46" s="511" t="s">
        <v>1142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Unit</v>
      </c>
      <c r="F46" s="499">
        <f>F43*1</f>
        <v>1</v>
      </c>
      <c r="G46" s="360">
        <f ca="1">IF(ISERROR(OFFSET('HARGA SATUAN'!$I$6,MATCH(RAB!C46,'HARGA SATUAN'!$C$7:$C$1492,0),0)),0,OFFSET('HARGA SATUAN'!$I$6,MATCH(RAB!C46,'HARGA SATUAN'!$C$7:$C$1492,0),0))</f>
        <v>1113900</v>
      </c>
      <c r="H46" s="361">
        <f t="shared" ca="1" si="8"/>
        <v>0</v>
      </c>
      <c r="I46" s="361">
        <f t="shared" ca="1" si="9"/>
        <v>1113900</v>
      </c>
      <c r="J46" s="361">
        <f t="shared" ca="1" si="10"/>
        <v>0</v>
      </c>
      <c r="K46" s="362">
        <f t="shared" ca="1" si="11"/>
        <v>1113900</v>
      </c>
    </row>
    <row r="47" spans="2:11">
      <c r="B47" s="510">
        <v>4</v>
      </c>
      <c r="C47" s="511" t="s">
        <v>573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Mtr</v>
      </c>
      <c r="F47" s="499">
        <f>F43*35</f>
        <v>35</v>
      </c>
      <c r="G47" s="360">
        <f ca="1">IF(ISERROR(OFFSET('HARGA SATUAN'!$I$6,MATCH(RAB!C47,'HARGA SATUAN'!$C$7:$C$1492,0),0)),0,OFFSET('HARGA SATUAN'!$I$6,MATCH(RAB!C47,'HARGA SATUAN'!$C$7:$C$1492,0),0))</f>
        <v>164883</v>
      </c>
      <c r="H47" s="361">
        <f t="shared" ca="1" si="8"/>
        <v>0</v>
      </c>
      <c r="I47" s="361">
        <f t="shared" ca="1" si="9"/>
        <v>5770905</v>
      </c>
      <c r="J47" s="361">
        <f t="shared" ca="1" si="10"/>
        <v>0</v>
      </c>
      <c r="K47" s="362">
        <f t="shared" ca="1" si="11"/>
        <v>5770905</v>
      </c>
    </row>
    <row r="48" spans="2:11">
      <c r="B48" s="510">
        <v>5</v>
      </c>
      <c r="C48" s="511" t="s">
        <v>799</v>
      </c>
      <c r="D48" s="358" t="str">
        <f ca="1">IF(ISERROR(OFFSET('HARGA SATUAN'!$D$6,MATCH(RAB!C48,'HARGA SATUAN'!$C$7:$C$1492,0),0)),"",OFFSET('HARGA SATUAN'!$D$6,MATCH(RAB!C48,'HARGA SATUAN'!$C$7:$C$1492,0),0))</f>
        <v>JASA</v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499">
        <f>F43*1</f>
        <v>1</v>
      </c>
      <c r="G48" s="360">
        <f ca="1">IF(ISERROR(OFFSET('HARGA SATUAN'!$I$6,MATCH(RAB!C48,'HARGA SATUAN'!$C$7:$C$1492,0),0)),0,OFFSET('HARGA SATUAN'!$I$6,MATCH(RAB!C48,'HARGA SATUAN'!$C$7:$C$1492,0),0))</f>
        <v>106400</v>
      </c>
      <c r="H48" s="361">
        <f t="shared" ca="1" si="8"/>
        <v>0</v>
      </c>
      <c r="I48" s="361">
        <f t="shared" ca="1" si="9"/>
        <v>0</v>
      </c>
      <c r="J48" s="361">
        <f t="shared" ca="1" si="10"/>
        <v>106400</v>
      </c>
      <c r="K48" s="362">
        <f t="shared" ca="1" si="11"/>
        <v>106400</v>
      </c>
    </row>
    <row r="49" spans="2:11">
      <c r="B49" s="374">
        <v>6</v>
      </c>
      <c r="C49" s="511" t="s">
        <v>982</v>
      </c>
      <c r="D49" s="358" t="str">
        <f ca="1">IF(ISERROR(OFFSET('HARGA SATUAN'!$D$6,MATCH(RAB!C49,'HARGA SATUAN'!$C$7:$C$1492,0),0)),"",OFFSET('HARGA SATUAN'!$D$6,MATCH(RAB!C49,'HARGA SATUAN'!$C$7:$C$1492,0),0))</f>
        <v>JASA</v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368">
        <f>F43</f>
        <v>1</v>
      </c>
      <c r="G49" s="360">
        <f ca="1">IF(ISERROR(OFFSET('HARGA SATUAN'!$I$6,MATCH(RAB!C49,'HARGA SATUAN'!$C$7:$C$1492,0),0)),0,OFFSET('HARGA SATUAN'!$I$6,MATCH(RAB!C49,'HARGA SATUAN'!$C$7:$C$1492,0),0))</f>
        <v>63840</v>
      </c>
      <c r="H49" s="361">
        <f t="shared" ca="1" si="8"/>
        <v>0</v>
      </c>
      <c r="I49" s="361">
        <f t="shared" ca="1" si="9"/>
        <v>0</v>
      </c>
      <c r="J49" s="361">
        <f t="shared" ca="1" si="10"/>
        <v>63840</v>
      </c>
      <c r="K49" s="362">
        <f t="shared" ca="1" si="11"/>
        <v>63840</v>
      </c>
    </row>
    <row r="50" spans="2:11">
      <c r="B50" s="374"/>
      <c r="C50" s="511"/>
      <c r="D50" s="358"/>
      <c r="E50" s="359"/>
      <c r="F50" s="368"/>
      <c r="G50" s="360"/>
      <c r="H50" s="361"/>
      <c r="I50" s="361"/>
      <c r="J50" s="361"/>
      <c r="K50" s="362"/>
    </row>
    <row r="51" spans="2:11">
      <c r="B51" s="497" t="s">
        <v>1035</v>
      </c>
      <c r="C51" s="498" t="s">
        <v>1616</v>
      </c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501">
        <v>1</v>
      </c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ca="1" si="8"/>
        <v>0</v>
      </c>
      <c r="I51" s="361">
        <f t="shared" ca="1" si="9"/>
        <v>0</v>
      </c>
      <c r="J51" s="361">
        <f t="shared" ca="1" si="10"/>
        <v>0</v>
      </c>
      <c r="K51" s="362">
        <f t="shared" ca="1" si="11"/>
        <v>0</v>
      </c>
    </row>
    <row r="52" spans="2:11">
      <c r="B52" s="497">
        <v>1</v>
      </c>
      <c r="C52" s="498" t="s">
        <v>29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F51*1</f>
        <v>1</v>
      </c>
      <c r="G52" s="360">
        <f ca="1">IF(ISERROR(OFFSET('HARGA SATUAN'!$I$6,MATCH(RAB!C52,'HARGA SATUAN'!$C$7:$C$1492,0),0)),0,OFFSET('HARGA SATUAN'!$I$6,MATCH(RAB!C52,'HARGA SATUAN'!$C$7:$C$1492,0),0))</f>
        <v>185200</v>
      </c>
      <c r="H52" s="361">
        <f t="shared" ca="1" si="8"/>
        <v>0</v>
      </c>
      <c r="I52" s="361">
        <f t="shared" ca="1" si="9"/>
        <v>185200</v>
      </c>
      <c r="J52" s="361">
        <f t="shared" ca="1" si="10"/>
        <v>0</v>
      </c>
      <c r="K52" s="362">
        <f t="shared" ca="1" si="11"/>
        <v>185200</v>
      </c>
    </row>
    <row r="53" spans="2:11">
      <c r="B53" s="497">
        <v>2</v>
      </c>
      <c r="C53" s="498" t="s">
        <v>30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1">
        <f>F51*1</f>
        <v>1</v>
      </c>
      <c r="G53" s="360">
        <f ca="1">IF(ISERROR(OFFSET('HARGA SATUAN'!$I$6,MATCH(RAB!C53,'HARGA SATUAN'!$C$7:$C$1492,0),0)),0,OFFSET('HARGA SATUAN'!$I$6,MATCH(RAB!C53,'HARGA SATUAN'!$C$7:$C$1492,0),0))</f>
        <v>47459</v>
      </c>
      <c r="H53" s="361">
        <f t="shared" ca="1" si="8"/>
        <v>0</v>
      </c>
      <c r="I53" s="361">
        <f t="shared" ca="1" si="9"/>
        <v>47459</v>
      </c>
      <c r="J53" s="361">
        <f t="shared" ca="1" si="10"/>
        <v>0</v>
      </c>
      <c r="K53" s="362">
        <f t="shared" ca="1" si="11"/>
        <v>47459</v>
      </c>
    </row>
    <row r="54" spans="2:11">
      <c r="B54" s="497">
        <v>3</v>
      </c>
      <c r="C54" s="498" t="s">
        <v>32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Mtr</v>
      </c>
      <c r="F54" s="501">
        <f>F51*1.5</f>
        <v>1.5</v>
      </c>
      <c r="G54" s="360">
        <f ca="1">IF(ISERROR(OFFSET('HARGA SATUAN'!$I$6,MATCH(RAB!C54,'HARGA SATUAN'!$C$7:$C$1492,0),0)),0,OFFSET('HARGA SATUAN'!$I$6,MATCH(RAB!C54,'HARGA SATUAN'!$C$7:$C$1492,0),0))</f>
        <v>30000</v>
      </c>
      <c r="H54" s="361">
        <f t="shared" ca="1" si="8"/>
        <v>0</v>
      </c>
      <c r="I54" s="361">
        <f t="shared" ca="1" si="9"/>
        <v>45000</v>
      </c>
      <c r="J54" s="361">
        <f t="shared" ca="1" si="10"/>
        <v>0</v>
      </c>
      <c r="K54" s="362">
        <f t="shared" ca="1" si="11"/>
        <v>45000</v>
      </c>
    </row>
    <row r="55" spans="2:11">
      <c r="B55" s="497">
        <v>4</v>
      </c>
      <c r="C55" s="498" t="s">
        <v>33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1">
        <f>F51*2</f>
        <v>2</v>
      </c>
      <c r="G55" s="360">
        <f ca="1">IF(ISERROR(OFFSET('HARGA SATUAN'!$I$6,MATCH(RAB!C55,'HARGA SATUAN'!$C$7:$C$1492,0),0)),0,OFFSET('HARGA SATUAN'!$I$6,MATCH(RAB!C55,'HARGA SATUAN'!$C$7:$C$1492,0),0))</f>
        <v>9500</v>
      </c>
      <c r="H55" s="361">
        <f t="shared" ca="1" si="8"/>
        <v>0</v>
      </c>
      <c r="I55" s="361">
        <f t="shared" ca="1" si="9"/>
        <v>19000</v>
      </c>
      <c r="J55" s="361">
        <f t="shared" ca="1" si="10"/>
        <v>0</v>
      </c>
      <c r="K55" s="362">
        <f t="shared" ca="1" si="11"/>
        <v>19000</v>
      </c>
    </row>
    <row r="56" spans="2:11">
      <c r="B56" s="497">
        <v>5</v>
      </c>
      <c r="C56" s="498" t="s">
        <v>735</v>
      </c>
      <c r="D56" s="358" t="str">
        <f ca="1">IF(ISERROR(OFFSET('HARGA SATUAN'!$D$6,MATCH(RAB!C56,'HARGA SATUAN'!$C$7:$C$1492,0),0)),"",OFFSET('HARGA SATUAN'!$D$6,MATCH(RAB!C56,'HARGA SATUAN'!$C$7:$C$1492,0),0))</f>
        <v>JASA</v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01">
        <f>F51*1</f>
        <v>1</v>
      </c>
      <c r="G56" s="360">
        <f ca="1">IF(ISERROR(OFFSET('HARGA SATUAN'!$I$6,MATCH(RAB!C56,'HARGA SATUAN'!$C$7:$C$1492,0),0)),0,OFFSET('HARGA SATUAN'!$I$6,MATCH(RAB!C56,'HARGA SATUAN'!$C$7:$C$1492,0),0))</f>
        <v>56400</v>
      </c>
      <c r="H56" s="361">
        <f t="shared" ca="1" si="8"/>
        <v>0</v>
      </c>
      <c r="I56" s="361">
        <f t="shared" ca="1" si="9"/>
        <v>0</v>
      </c>
      <c r="J56" s="361">
        <f t="shared" ca="1" si="10"/>
        <v>56400</v>
      </c>
      <c r="K56" s="362">
        <f t="shared" ca="1" si="11"/>
        <v>56400</v>
      </c>
    </row>
    <row r="57" spans="2:11">
      <c r="B57" s="374"/>
      <c r="C57" s="373"/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/>
      </c>
      <c r="F57" s="368"/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ref="H57:H69" ca="1" si="20">IF(OR(D57="MDU",D57="MDU-KD"),(IF($O$3="RAB NON MDU","PLN KD",G57*F57)),0)</f>
        <v>0</v>
      </c>
      <c r="I57" s="361">
        <f t="shared" ref="I57:I69" ca="1" si="21">IF(D57="HDW",G57*F57,0)</f>
        <v>0</v>
      </c>
      <c r="J57" s="361">
        <f t="shared" ref="J57:J69" ca="1" si="22">IF(D57="JASA",G57*F57,0)</f>
        <v>0</v>
      </c>
      <c r="K57" s="362">
        <f t="shared" ref="K57:K69" ca="1" si="23">SUM(H57:J57)</f>
        <v>0</v>
      </c>
    </row>
    <row r="58" spans="2:11">
      <c r="B58" s="506" t="s">
        <v>1035</v>
      </c>
      <c r="C58" s="509" t="s">
        <v>1619</v>
      </c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508">
        <v>1</v>
      </c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ref="H58:H67" ca="1" si="24">IF(OR(D58="MDU",D58="MDU-KD"),(IF($O$3="RAB NON MDU","PLN KD",G58*F58)),0)</f>
        <v>0</v>
      </c>
      <c r="I58" s="361">
        <f t="shared" ref="I58:I67" ca="1" si="25">IF(D58="HDW",G58*F58,0)</f>
        <v>0</v>
      </c>
      <c r="J58" s="361">
        <f t="shared" ref="J58:J67" ca="1" si="26">IF(D58="JASA",G58*F58,0)</f>
        <v>0</v>
      </c>
      <c r="K58" s="362">
        <f t="shared" ref="K58:K67" ca="1" si="27">SUM(H58:J58)</f>
        <v>0</v>
      </c>
    </row>
    <row r="59" spans="2:11">
      <c r="B59" s="506">
        <v>1</v>
      </c>
      <c r="C59" s="509" t="s">
        <v>163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08">
        <f>F58*4</f>
        <v>4</v>
      </c>
      <c r="G59" s="360">
        <f ca="1">IF(ISERROR(OFFSET('HARGA SATUAN'!$I$6,MATCH(RAB!C59,'HARGA SATUAN'!$C$7:$C$1492,0),0)),0,OFFSET('HARGA SATUAN'!$I$6,MATCH(RAB!C59,'HARGA SATUAN'!$C$7:$C$1492,0),0))</f>
        <v>7938</v>
      </c>
      <c r="H59" s="361">
        <f t="shared" ca="1" si="24"/>
        <v>0</v>
      </c>
      <c r="I59" s="361">
        <f t="shared" ca="1" si="25"/>
        <v>31752</v>
      </c>
      <c r="J59" s="361">
        <f t="shared" ca="1" si="26"/>
        <v>0</v>
      </c>
      <c r="K59" s="362">
        <f t="shared" ca="1" si="27"/>
        <v>31752</v>
      </c>
    </row>
    <row r="60" spans="2:11">
      <c r="B60" s="506">
        <v>2</v>
      </c>
      <c r="C60" s="509" t="s">
        <v>593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08">
        <f>F58*1</f>
        <v>1</v>
      </c>
      <c r="G60" s="360">
        <f ca="1">IF(ISERROR(OFFSET('HARGA SATUAN'!$I$6,MATCH(RAB!C60,'HARGA SATUAN'!$C$7:$C$1492,0),0)),0,OFFSET('HARGA SATUAN'!$I$6,MATCH(RAB!C60,'HARGA SATUAN'!$C$7:$C$1492,0),0))</f>
        <v>380500</v>
      </c>
      <c r="H60" s="361">
        <f t="shared" ca="1" si="24"/>
        <v>0</v>
      </c>
      <c r="I60" s="361">
        <f t="shared" ca="1" si="25"/>
        <v>380500</v>
      </c>
      <c r="J60" s="361">
        <f t="shared" ca="1" si="26"/>
        <v>0</v>
      </c>
      <c r="K60" s="362">
        <f t="shared" ca="1" si="27"/>
        <v>380500</v>
      </c>
    </row>
    <row r="61" spans="2:11">
      <c r="B61" s="506">
        <v>3</v>
      </c>
      <c r="C61" s="509" t="s">
        <v>248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08">
        <f>F58*2</f>
        <v>2</v>
      </c>
      <c r="G61" s="360">
        <f ca="1">IF(ISERROR(OFFSET('HARGA SATUAN'!$I$6,MATCH(RAB!C61,'HARGA SATUAN'!$C$7:$C$1492,0),0)),0,OFFSET('HARGA SATUAN'!$I$6,MATCH(RAB!C61,'HARGA SATUAN'!$C$7:$C$1492,0),0))</f>
        <v>60300</v>
      </c>
      <c r="H61" s="361">
        <f t="shared" ca="1" si="24"/>
        <v>0</v>
      </c>
      <c r="I61" s="361">
        <f t="shared" ca="1" si="25"/>
        <v>120600</v>
      </c>
      <c r="J61" s="361">
        <f t="shared" ca="1" si="26"/>
        <v>0</v>
      </c>
      <c r="K61" s="362">
        <f t="shared" ca="1" si="27"/>
        <v>120600</v>
      </c>
    </row>
    <row r="62" spans="2:11">
      <c r="B62" s="506">
        <v>4</v>
      </c>
      <c r="C62" s="507" t="s">
        <v>595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01">
        <f>F58*1</f>
        <v>1</v>
      </c>
      <c r="G62" s="360">
        <f ca="1">IF(ISERROR(OFFSET('HARGA SATUAN'!$I$6,MATCH(RAB!C62,'HARGA SATUAN'!$C$7:$C$1492,0),0)),0,OFFSET('HARGA SATUAN'!$I$6,MATCH(RAB!C62,'HARGA SATUAN'!$C$7:$C$1492,0),0))</f>
        <v>78500</v>
      </c>
      <c r="H62" s="361">
        <f t="shared" ca="1" si="24"/>
        <v>0</v>
      </c>
      <c r="I62" s="361">
        <f t="shared" ca="1" si="25"/>
        <v>78500</v>
      </c>
      <c r="J62" s="361">
        <f t="shared" ca="1" si="26"/>
        <v>0</v>
      </c>
      <c r="K62" s="362">
        <f t="shared" ca="1" si="27"/>
        <v>78500</v>
      </c>
    </row>
    <row r="63" spans="2:11">
      <c r="B63" s="506">
        <v>5</v>
      </c>
      <c r="C63" s="507" t="s">
        <v>229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01">
        <f>F58*1</f>
        <v>1</v>
      </c>
      <c r="G63" s="360">
        <f ca="1">IF(ISERROR(OFFSET('HARGA SATUAN'!$I$6,MATCH(RAB!C63,'HARGA SATUAN'!$C$7:$C$1492,0),0)),0,OFFSET('HARGA SATUAN'!$I$6,MATCH(RAB!C63,'HARGA SATUAN'!$C$7:$C$1492,0),0))</f>
        <v>4212</v>
      </c>
      <c r="H63" s="361">
        <f t="shared" ca="1" si="24"/>
        <v>0</v>
      </c>
      <c r="I63" s="361">
        <f t="shared" ca="1" si="25"/>
        <v>4212</v>
      </c>
      <c r="J63" s="361">
        <f t="shared" ca="1" si="26"/>
        <v>0</v>
      </c>
      <c r="K63" s="362">
        <f t="shared" ca="1" si="27"/>
        <v>4212</v>
      </c>
    </row>
    <row r="64" spans="2:11">
      <c r="B64" s="506">
        <v>6</v>
      </c>
      <c r="C64" s="507" t="s">
        <v>266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Mtr</v>
      </c>
      <c r="F64" s="501">
        <f>F58*1</f>
        <v>1</v>
      </c>
      <c r="G64" s="360">
        <f ca="1">IF(ISERROR(OFFSET('HARGA SATUAN'!$I$6,MATCH(RAB!C64,'HARGA SATUAN'!$C$7:$C$1492,0),0)),0,OFFSET('HARGA SATUAN'!$I$6,MATCH(RAB!C64,'HARGA SATUAN'!$C$7:$C$1492,0),0))</f>
        <v>23310</v>
      </c>
      <c r="H64" s="361">
        <f t="shared" ca="1" si="24"/>
        <v>0</v>
      </c>
      <c r="I64" s="361">
        <f t="shared" ca="1" si="25"/>
        <v>23310</v>
      </c>
      <c r="J64" s="361">
        <f t="shared" ca="1" si="26"/>
        <v>0</v>
      </c>
      <c r="K64" s="362">
        <f t="shared" ca="1" si="27"/>
        <v>23310</v>
      </c>
    </row>
    <row r="65" spans="2:13">
      <c r="B65" s="506">
        <v>7</v>
      </c>
      <c r="C65" s="507" t="s">
        <v>35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1">
        <f>F58*1</f>
        <v>1</v>
      </c>
      <c r="G65" s="360">
        <f ca="1">IF(ISERROR(OFFSET('HARGA SATUAN'!$I$6,MATCH(RAB!C65,'HARGA SATUAN'!$C$7:$C$1492,0),0)),0,OFFSET('HARGA SATUAN'!$I$6,MATCH(RAB!C65,'HARGA SATUAN'!$C$7:$C$1492,0),0))</f>
        <v>2300</v>
      </c>
      <c r="H65" s="361">
        <f t="shared" ca="1" si="24"/>
        <v>0</v>
      </c>
      <c r="I65" s="361">
        <f t="shared" ca="1" si="25"/>
        <v>2300</v>
      </c>
      <c r="J65" s="361">
        <f t="shared" ca="1" si="26"/>
        <v>0</v>
      </c>
      <c r="K65" s="362">
        <f t="shared" ca="1" si="27"/>
        <v>2300</v>
      </c>
    </row>
    <row r="66" spans="2:13">
      <c r="B66" s="374"/>
      <c r="C66" s="373"/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IF(B66="+","Unit",IF(ISERROR(OFFSET('HARGA SATUAN'!$E$6,MATCH(RAB!C66,'HARGA SATUAN'!$C$7:$C$1492,0),0)),"",OFFSET('HARGA SATUAN'!$E$6,MATCH(RAB!C66,'HARGA SATUAN'!$C$7:$C$1492,0),0)))</f>
        <v/>
      </c>
      <c r="F66" s="368"/>
      <c r="G66" s="360">
        <f ca="1">IF(ISERROR(OFFSET('HARGA SATUAN'!$I$6,MATCH(RAB!C66,'HARGA SATUAN'!$C$7:$C$1492,0),0)),0,OFFSET('HARGA SATUAN'!$I$6,MATCH(RAB!C66,'HARGA SATUAN'!$C$7:$C$1492,0),0))</f>
        <v>0</v>
      </c>
      <c r="H66" s="361">
        <f t="shared" ca="1" si="24"/>
        <v>0</v>
      </c>
      <c r="I66" s="361">
        <f t="shared" ca="1" si="25"/>
        <v>0</v>
      </c>
      <c r="J66" s="361">
        <f t="shared" ca="1" si="26"/>
        <v>0</v>
      </c>
      <c r="K66" s="362">
        <f t="shared" ca="1" si="27"/>
        <v>0</v>
      </c>
    </row>
    <row r="67" spans="2:13">
      <c r="B67" s="366" t="s">
        <v>22</v>
      </c>
      <c r="C67" s="367" t="s">
        <v>1615</v>
      </c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368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ca="1" si="24"/>
        <v>0</v>
      </c>
      <c r="I67" s="361">
        <f t="shared" ca="1" si="25"/>
        <v>0</v>
      </c>
      <c r="J67" s="361">
        <f t="shared" ca="1" si="26"/>
        <v>0</v>
      </c>
      <c r="K67" s="362">
        <f t="shared" ca="1" si="27"/>
        <v>0</v>
      </c>
    </row>
    <row r="68" spans="2:13">
      <c r="B68" s="374"/>
      <c r="C68" s="373"/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368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20"/>
        <v>0</v>
      </c>
      <c r="I68" s="361">
        <f t="shared" ca="1" si="21"/>
        <v>0</v>
      </c>
      <c r="J68" s="361">
        <f t="shared" ca="1" si="22"/>
        <v>0</v>
      </c>
      <c r="K68" s="362">
        <f t="shared" ca="1" si="23"/>
        <v>0</v>
      </c>
    </row>
    <row r="69" spans="2:13">
      <c r="B69" s="375"/>
      <c r="C69" s="376" t="s">
        <v>475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368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ca="1" si="20"/>
        <v>0</v>
      </c>
      <c r="I69" s="361">
        <f t="shared" ca="1" si="21"/>
        <v>0</v>
      </c>
      <c r="J69" s="361">
        <f t="shared" ca="1" si="22"/>
        <v>0</v>
      </c>
      <c r="K69" s="362">
        <f t="shared" ca="1" si="23"/>
        <v>0</v>
      </c>
    </row>
    <row r="70" spans="2:13">
      <c r="B70" s="378">
        <v>1</v>
      </c>
      <c r="C70" s="379" t="s">
        <v>1091</v>
      </c>
      <c r="D70" s="380" t="str">
        <f ca="1">IF(ISERROR(OFFSET('HARGA SATUAN'!$D$6,MATCH(RAB!C70,'HARGA SATUAN'!$C$7:$C$1492,0),0)),"",OFFSET('HARGA SATUAN'!$D$6,MATCH(RAB!C70,'HARGA SATUAN'!$C$7:$C$1492,0),0))</f>
        <v>JASA</v>
      </c>
      <c r="E70" s="381" t="str">
        <f ca="1">IF(ISERROR(OFFSET('HARGA SATUAN'!$E$6,MATCH(RAB!C70,'HARGA SATUAN'!$C$7:$C$1492,0),0)),"",OFFSET('HARGA SATUAN'!$E$6,MATCH(RAB!C70,'HARGA SATUAN'!$C$7:$C$1492,0),0))</f>
        <v>Lot</v>
      </c>
      <c r="F70" s="382">
        <v>1</v>
      </c>
      <c r="G70" s="383">
        <f ca="1">IF(ISERROR(OFFSET('HARGA SATUAN'!$I$6,MATCH(RAB!C70,'HARGA SATUAN'!$C$7:$C$1492,0),0)),0,OFFSET('HARGA SATUAN'!$I$6,MATCH(RAB!C70,'HARGA SATUAN'!$C$7:$C$1492,0),0))</f>
        <v>2.5000000000000001E-2</v>
      </c>
      <c r="H70" s="384"/>
      <c r="I70" s="384"/>
      <c r="J70" s="384">
        <f ca="1">SUM(K15:K17)*G70</f>
        <v>0</v>
      </c>
      <c r="K70" s="385">
        <f ca="1">SUM(H70:J70)</f>
        <v>0</v>
      </c>
    </row>
    <row r="71" spans="2:13">
      <c r="B71" s="386"/>
      <c r="C71" s="387"/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IF(ISERROR(OFFSET('HARGA SATUAN'!$E$6,MATCH(RAB!C71,'HARGA SATUAN'!$C$7:$C$1492,0),0)),"",OFFSET('HARGA SATUAN'!$E$6,MATCH(RAB!C71,'HARGA SATUAN'!$C$7:$C$1492,0),0))</f>
        <v/>
      </c>
      <c r="F71" s="377"/>
      <c r="G71" s="360" t="str">
        <f ca="1">IF(ISERROR(OFFSET('HARGA SATUAN'!$I$6,MATCH(RAB!C71,'HARGA SATUAN'!$C$7:$C$1492,0),0)),"",OFFSET('HARGA SATUAN'!$I$6,MATCH(RAB!C71,'HARGA SATUAN'!$C$7:$C$1492,0),0))</f>
        <v/>
      </c>
      <c r="H71" s="361">
        <f ca="1">IF(OR(D71="MDU",D71="MDU-KD"),IF(G71="PLN",0,G71*F71),0)</f>
        <v>0</v>
      </c>
      <c r="I71" s="361">
        <f ca="1">IF(D71="HDW",IF(G71="PLN",0,G71*F71),0)</f>
        <v>0</v>
      </c>
      <c r="J71" s="361">
        <f ca="1">IF(D71="JASA",IF(G71="PLN",0,G71*F71),0)</f>
        <v>0</v>
      </c>
      <c r="K71" s="362">
        <f ca="1">SUM(H71:J71)</f>
        <v>0</v>
      </c>
    </row>
    <row r="72" spans="2:13" ht="15.75" thickBot="1">
      <c r="B72" s="388"/>
      <c r="C72" s="389"/>
      <c r="D72" s="390"/>
      <c r="E72" s="391"/>
      <c r="F72" s="391"/>
      <c r="G72" s="391"/>
      <c r="H72" s="392"/>
      <c r="I72" s="392"/>
      <c r="J72" s="392"/>
      <c r="K72" s="393"/>
    </row>
    <row r="73" spans="2:13">
      <c r="B73" s="394"/>
      <c r="C73" s="618" t="s">
        <v>1008</v>
      </c>
      <c r="D73" s="618"/>
      <c r="E73" s="618"/>
      <c r="F73" s="618"/>
      <c r="G73" s="395" t="s">
        <v>9</v>
      </c>
      <c r="H73" s="396">
        <f ca="1">SUM(H14:H71)</f>
        <v>61830900</v>
      </c>
      <c r="I73" s="396">
        <f ca="1">SUM(I14:I71)</f>
        <v>7822638</v>
      </c>
      <c r="J73" s="396">
        <f ca="1">SUM(J14:J71)</f>
        <v>1185940</v>
      </c>
      <c r="K73" s="396">
        <f ca="1">SUM(K14:K71)</f>
        <v>70839478</v>
      </c>
    </row>
    <row r="74" spans="2:13">
      <c r="B74" s="397"/>
      <c r="C74" s="634" t="s">
        <v>1457</v>
      </c>
      <c r="D74" s="634"/>
      <c r="E74" s="634"/>
      <c r="F74" s="634"/>
      <c r="G74" s="398" t="s">
        <v>9</v>
      </c>
      <c r="H74" s="399">
        <f ca="1">H73*0.11</f>
        <v>6801399</v>
      </c>
      <c r="I74" s="399">
        <f ca="1">I73*0.11</f>
        <v>860490.18</v>
      </c>
      <c r="J74" s="399">
        <f ca="1">J73*0.11</f>
        <v>130453.4</v>
      </c>
      <c r="K74" s="399">
        <f ca="1">K73*0.11</f>
        <v>7792342.5800000001</v>
      </c>
    </row>
    <row r="75" spans="2:13" ht="15.75" thickBot="1">
      <c r="B75" s="397"/>
      <c r="C75" s="632" t="s">
        <v>463</v>
      </c>
      <c r="D75" s="632"/>
      <c r="E75" s="632"/>
      <c r="F75" s="632"/>
      <c r="G75" s="400" t="s">
        <v>9</v>
      </c>
      <c r="H75" s="401">
        <f ca="1">SUM(H73:H74)</f>
        <v>68632299</v>
      </c>
      <c r="I75" s="401">
        <f ca="1">SUM(I73:I74)</f>
        <v>8683128.1799999997</v>
      </c>
      <c r="J75" s="400">
        <f ca="1">SUM(J73:J74)</f>
        <v>1316393.3999999999</v>
      </c>
      <c r="K75" s="400">
        <f ca="1">SUM(K73:K74)</f>
        <v>78631820.579999998</v>
      </c>
      <c r="M75" s="483"/>
    </row>
    <row r="76" spans="2:13">
      <c r="B76" s="635" t="str">
        <f ca="1">"Terbilang : "&amp;PROPER(IF(K75=0,"nol",IF(K75&lt;0,"minus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IF(--MID(TEXT(ABS(K75),"000000000000000"),1,3)=0,"",MID(TEXT(ABS(K75),"000000000000000"),1,1)&amp;" ratus "&amp;MID(TEXT(ABS(K75),"000000000000000"),2,1)&amp;" puluh "&amp;MID(TEXT(ABS(K75),"000000000000000"),3,1)&amp;" trilyun ")&amp; IF(--MID(TEXT(ABS(K75),"000000000000000"),4,3)=0,"",MID(TEXT(ABS(K75),"000000000000000"),4,1)&amp;" ratus "&amp;MID(TEXT(ABS(K75),"000000000000000"),5,1)&amp;" puluh "&amp;MID(TEXT(ABS(K75),"000000000000000"),6,1)&amp;" milyar ")&amp; IF(--MID(TEXT(ABS(K75),"000000000000000"),7,3)=0,"",MID(TEXT(ABS(K75),"000000000000000"),7,1)&amp;" ratus "&amp;MID(TEXT(ABS(K75),"000000000000000"),8,1)&amp;" puluh "&amp;MID(TEXT(ABS(K75),"000000000000000"),9,1)&amp;" juta ")&amp; IF(--MID(TEXT(ABS(K75),"000000000000000"),10,3)=0,"",IF(--MID(TEXT(ABS(K75),"000000000000000"),10,3)=1,"*",MID(TEXT(ABS(K75),"000000000000000"),10,1)&amp;" ratus "&amp;MID(TEXT(ABS(K75),"000000000000000"),11,1)&amp;" puluh ")&amp;MID(TEXT(ABS(K75),"000000000000000"),12,1)&amp;" ribu ")&amp; IF(--MID(TEXT(ABS(K75),"000000000000000"),13,3)=0,"",MID(TEXT(ABS(K75),"000000000000000"),13,1)&amp;" ratus "&amp;MID(TEXT(ABS(K75),"000000000000000"),14,1)&amp;" puluh "&amp;MID(TEXT(ABS(K75),"000000000000000"),15,1)),1,"satu"),2,"dua"),3,"tiga"),4,"empat"),5,"lima"),6,"enam"),7,"tujuh"),8,"delapan"),9,"sembilan"),"0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Delapan Juta Enam Ratus Tiga Puluh Satu Ribu Delapan Ratus Dua Puluh Satu Rupiah</v>
      </c>
      <c r="C76" s="636"/>
      <c r="D76" s="636"/>
      <c r="E76" s="636"/>
      <c r="F76" s="636"/>
      <c r="G76" s="636"/>
      <c r="H76" s="636"/>
      <c r="I76" s="636"/>
      <c r="J76" s="636"/>
      <c r="K76" s="637"/>
    </row>
    <row r="77" spans="2:13">
      <c r="B77" s="638"/>
      <c r="C77" s="639"/>
      <c r="D77" s="639"/>
      <c r="E77" s="639"/>
      <c r="F77" s="639"/>
      <c r="G77" s="639"/>
      <c r="H77" s="639"/>
      <c r="I77" s="639"/>
      <c r="J77" s="639"/>
      <c r="K77" s="640"/>
    </row>
    <row r="78" spans="2:13" ht="15.75" thickBot="1">
      <c r="B78" s="402" t="str">
        <f>"Harga yang dipakai adalah "&amp;'HARGA SATUAN'!I5&amp;""</f>
        <v>Harga yang dipakai adalah RAB HSS 2023</v>
      </c>
      <c r="C78" s="403"/>
      <c r="D78" s="404"/>
      <c r="E78" s="404"/>
      <c r="F78" s="404"/>
      <c r="G78" s="405"/>
      <c r="H78" s="405"/>
      <c r="I78" s="405"/>
      <c r="J78" s="405"/>
      <c r="K78" s="406"/>
    </row>
    <row r="79" spans="2:13">
      <c r="C79" s="407"/>
      <c r="E79" s="409"/>
      <c r="F79" s="409"/>
      <c r="G79" s="409"/>
    </row>
    <row r="80" spans="2:13">
      <c r="C80" s="337"/>
      <c r="E80" s="409"/>
      <c r="F80" s="409"/>
      <c r="G80" s="409"/>
      <c r="H80" s="641"/>
      <c r="I80" s="641"/>
      <c r="J80" s="642"/>
      <c r="K80" s="642"/>
    </row>
    <row r="81" spans="3:11">
      <c r="C81" s="337"/>
      <c r="E81" s="409"/>
      <c r="F81" s="409"/>
      <c r="G81" s="409"/>
      <c r="H81" s="410"/>
      <c r="I81" s="631" t="s">
        <v>1629</v>
      </c>
      <c r="J81" s="631"/>
      <c r="K81" s="631"/>
    </row>
    <row r="82" spans="3:11">
      <c r="C82" s="337"/>
      <c r="E82" s="409"/>
      <c r="F82" s="409"/>
      <c r="G82" s="409"/>
      <c r="H82" s="410"/>
      <c r="I82" s="631" t="s">
        <v>1630</v>
      </c>
      <c r="J82" s="631"/>
      <c r="K82" s="631"/>
    </row>
    <row r="83" spans="3:11">
      <c r="C83" s="337"/>
      <c r="E83" s="409"/>
      <c r="F83" s="409"/>
      <c r="G83" s="409"/>
      <c r="H83" s="411"/>
      <c r="I83" s="412"/>
      <c r="J83" s="412"/>
      <c r="K83" s="412"/>
    </row>
    <row r="84" spans="3:11">
      <c r="C84" s="337"/>
      <c r="E84" s="409"/>
      <c r="F84" s="409"/>
      <c r="G84" s="409"/>
      <c r="H84" s="411"/>
      <c r="I84" s="411"/>
      <c r="J84" s="411"/>
      <c r="K84" s="411"/>
    </row>
    <row r="85" spans="3:11">
      <c r="C85" s="337"/>
      <c r="E85" s="409"/>
      <c r="F85" s="409"/>
      <c r="G85" s="409"/>
      <c r="H85" s="411"/>
      <c r="I85" s="411"/>
      <c r="J85" s="411"/>
      <c r="K85" s="411"/>
    </row>
    <row r="86" spans="3:11">
      <c r="C86" s="337"/>
      <c r="E86" s="409"/>
      <c r="F86" s="409"/>
      <c r="G86" s="409"/>
      <c r="H86" s="411"/>
      <c r="I86" s="411"/>
      <c r="J86" s="411"/>
      <c r="K86" s="411"/>
    </row>
    <row r="87" spans="3:11">
      <c r="C87" s="337"/>
      <c r="E87" s="409"/>
      <c r="F87" s="409"/>
      <c r="G87" s="409"/>
      <c r="H87" s="413"/>
      <c r="I87" s="631" t="s">
        <v>1631</v>
      </c>
      <c r="J87" s="631"/>
      <c r="K87" s="631"/>
    </row>
    <row r="88" spans="3:11">
      <c r="C88" s="407"/>
      <c r="E88" s="409"/>
      <c r="F88" s="409"/>
      <c r="G88" s="409"/>
      <c r="H88" s="411"/>
      <c r="I88" s="411"/>
      <c r="J88" s="411"/>
      <c r="K88" s="411"/>
    </row>
    <row r="89" spans="3:11">
      <c r="C89" s="407"/>
      <c r="E89" s="409"/>
      <c r="F89" s="409"/>
      <c r="G89" s="409"/>
      <c r="H89" s="411"/>
      <c r="I89" s="411"/>
      <c r="J89" s="411"/>
      <c r="K89" s="411"/>
    </row>
    <row r="90" spans="3:11">
      <c r="C90" s="407"/>
      <c r="E90" s="409"/>
      <c r="F90" s="409"/>
      <c r="G90" s="409"/>
      <c r="H90" s="411"/>
      <c r="I90" s="411"/>
      <c r="J90" s="411"/>
      <c r="K90" s="411"/>
    </row>
  </sheetData>
  <sheetProtection sort="0" autoFilter="0"/>
  <protectedRanges>
    <protectedRange sqref="B43:B66 B68" name="Range1_1"/>
    <protectedRange sqref="F14:F17 F42:F69" name="Range1_1_2_2"/>
    <protectedRange sqref="C68 C43:C46 C48:C66" name="Range1_1_1"/>
    <protectedRange sqref="B23:C24 B26:C28 B30:C38 B29 B18:C18 B25 B22 B20:C21 B41:C42 B39 B40" name="Range1_6_2"/>
    <protectedRange sqref="C47 C25" name="Range1_1_3_7"/>
    <protectedRange sqref="C29" name="Range1_1_3_11"/>
    <protectedRange sqref="G39" name="Range1_3_7"/>
    <protectedRange sqref="G40" name="Range1_3_7_1"/>
    <protectedRange sqref="C22" name="Range1_1_3_1"/>
  </protectedRanges>
  <mergeCells count="22">
    <mergeCell ref="I82:K82"/>
    <mergeCell ref="I87:K87"/>
    <mergeCell ref="C75:F75"/>
    <mergeCell ref="G6:K6"/>
    <mergeCell ref="I81:K81"/>
    <mergeCell ref="C74:F74"/>
    <mergeCell ref="B76:K77"/>
    <mergeCell ref="H80:K80"/>
    <mergeCell ref="H11:K11"/>
    <mergeCell ref="H12:H13"/>
    <mergeCell ref="J12:J13"/>
    <mergeCell ref="K12:K13"/>
    <mergeCell ref="O3:P4"/>
    <mergeCell ref="B4:K4"/>
    <mergeCell ref="C73:F73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C15">
    <cfRule type="cellIs" dxfId="12" priority="453" operator="equal">
      <formula>0</formula>
    </cfRule>
  </conditionalFormatting>
  <conditionalFormatting sqref="C17">
    <cfRule type="cellIs" dxfId="11" priority="80" operator="equal">
      <formula>0</formula>
    </cfRule>
  </conditionalFormatting>
  <conditionalFormatting sqref="C19">
    <cfRule type="cellIs" dxfId="10" priority="78" operator="equal">
      <formula>0</formula>
    </cfRule>
  </conditionalFormatting>
  <conditionalFormatting sqref="C25:C26">
    <cfRule type="cellIs" dxfId="8" priority="33" operator="equal">
      <formula>0</formula>
    </cfRule>
  </conditionalFormatting>
  <conditionalFormatting sqref="C29">
    <cfRule type="cellIs" dxfId="7" priority="32" operator="equal">
      <formula>0</formula>
    </cfRule>
  </conditionalFormatting>
  <conditionalFormatting sqref="C44">
    <cfRule type="cellIs" dxfId="6" priority="7" operator="equal">
      <formula>0</formula>
    </cfRule>
  </conditionalFormatting>
  <conditionalFormatting sqref="C67">
    <cfRule type="cellIs" dxfId="5" priority="76" operator="equal">
      <formula>0</formula>
    </cfRule>
  </conditionalFormatting>
  <conditionalFormatting sqref="C39:G40">
    <cfRule type="cellIs" dxfId="4" priority="3" operator="equal">
      <formula>0</formula>
    </cfRule>
  </conditionalFormatting>
  <conditionalFormatting sqref="E1:E3 G1:G13 E5:E13 H12:I12 O13 E70:G70 H70:K72 E71:H71 E72:F72">
    <cfRule type="cellIs" dxfId="3" priority="1033" stopIfTrue="1" operator="equal">
      <formula>0</formula>
    </cfRule>
  </conditionalFormatting>
  <conditionalFormatting sqref="G71:G65537 E76:E65537">
    <cfRule type="cellIs" dxfId="2" priority="167" stopIfTrue="1" operator="equal">
      <formula>0</formula>
    </cfRule>
  </conditionalFormatting>
  <conditionalFormatting sqref="S14:V17 E14:K38 H39:K40 E41:K69">
    <cfRule type="cellIs" dxfId="1" priority="23" stopIfTrue="1" operator="equal">
      <formula>0</formula>
    </cfRule>
  </conditionalFormatting>
  <conditionalFormatting sqref="C22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F51:F56 C23:C24 F62:F65 H14:K72 F18:F38 F4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39:D40" xr:uid="{DEB23348-F445-4DC7-9D51-FA1706CAED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37" zoomScale="130" zoomScaleNormal="115" zoomScaleSheetLayoutView="130" workbookViewId="0">
      <selection activeCell="Y56" sqref="Y56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5" t="s">
        <v>1439</v>
      </c>
      <c r="X2" s="646"/>
      <c r="Y2" s="646"/>
      <c r="Z2" s="646"/>
      <c r="AA2" s="646"/>
      <c r="AB2" s="646"/>
      <c r="AC2" s="646"/>
      <c r="AD2" s="647"/>
    </row>
    <row r="3" spans="3:30">
      <c r="C3" s="238"/>
      <c r="W3" s="648"/>
      <c r="X3" s="649"/>
      <c r="Y3" s="649"/>
      <c r="Z3" s="649"/>
      <c r="AA3" s="649"/>
      <c r="AB3" s="649"/>
      <c r="AC3" s="649"/>
      <c r="AD3" s="650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1" t="s">
        <v>990</v>
      </c>
      <c r="Y5" s="651"/>
      <c r="Z5" s="651"/>
      <c r="AA5" s="651" t="s">
        <v>988</v>
      </c>
      <c r="AB5" s="651"/>
      <c r="AC5" s="651" t="s">
        <v>989</v>
      </c>
      <c r="AD5" s="652"/>
    </row>
    <row r="6" spans="3:30">
      <c r="C6" s="238"/>
      <c r="W6" s="241">
        <v>1</v>
      </c>
      <c r="X6" s="651" t="s">
        <v>993</v>
      </c>
      <c r="Y6" s="651"/>
      <c r="Z6" s="651"/>
      <c r="AA6" s="651"/>
      <c r="AB6" s="651"/>
      <c r="AC6" s="651"/>
      <c r="AD6" s="652"/>
    </row>
    <row r="7" spans="3:30">
      <c r="C7" s="238"/>
      <c r="E7" s="489" t="s">
        <v>1607</v>
      </c>
      <c r="W7" s="241">
        <v>2</v>
      </c>
      <c r="X7" s="651" t="s">
        <v>994</v>
      </c>
      <c r="Y7" s="651"/>
      <c r="Z7" s="651"/>
      <c r="AA7" s="651"/>
      <c r="AB7" s="651"/>
      <c r="AC7" s="651"/>
      <c r="AD7" s="652"/>
    </row>
    <row r="8" spans="3:30">
      <c r="C8" s="238"/>
      <c r="W8" s="241">
        <v>3</v>
      </c>
      <c r="X8" s="651" t="s">
        <v>995</v>
      </c>
      <c r="Y8" s="651"/>
      <c r="Z8" s="651"/>
      <c r="AA8" s="651"/>
      <c r="AB8" s="651"/>
      <c r="AC8" s="651"/>
      <c r="AD8" s="652"/>
    </row>
    <row r="9" spans="3:30">
      <c r="C9" s="238"/>
      <c r="W9" s="241">
        <v>4</v>
      </c>
      <c r="X9" s="651" t="s">
        <v>996</v>
      </c>
      <c r="Y9" s="651"/>
      <c r="Z9" s="651"/>
      <c r="AA9" s="651"/>
      <c r="AB9" s="651"/>
      <c r="AC9" s="651"/>
      <c r="AD9" s="652"/>
    </row>
    <row r="10" spans="3:30">
      <c r="C10" s="238"/>
      <c r="W10" s="241">
        <v>5</v>
      </c>
      <c r="X10" s="651" t="s">
        <v>997</v>
      </c>
      <c r="Y10" s="651"/>
      <c r="Z10" s="651"/>
      <c r="AA10" s="651"/>
      <c r="AB10" s="651"/>
      <c r="AC10" s="651"/>
      <c r="AD10" s="652"/>
    </row>
    <row r="11" spans="3:30">
      <c r="C11" s="238"/>
      <c r="W11" s="241">
        <v>6</v>
      </c>
      <c r="X11" s="651" t="s">
        <v>998</v>
      </c>
      <c r="Y11" s="651"/>
      <c r="Z11" s="651"/>
      <c r="AA11" s="651"/>
      <c r="AB11" s="651"/>
      <c r="AC11" s="651"/>
      <c r="AD11" s="652"/>
    </row>
    <row r="12" spans="3:30">
      <c r="C12" s="238"/>
      <c r="W12" s="241">
        <v>7</v>
      </c>
      <c r="X12" s="651" t="s">
        <v>999</v>
      </c>
      <c r="Y12" s="651"/>
      <c r="Z12" s="651"/>
      <c r="AA12" s="651"/>
      <c r="AB12" s="651"/>
      <c r="AC12" s="651"/>
      <c r="AD12" s="652"/>
    </row>
    <row r="13" spans="3:30" ht="12.75" customHeight="1">
      <c r="C13" s="238"/>
      <c r="W13" s="241">
        <v>8</v>
      </c>
      <c r="X13" s="651" t="s">
        <v>1000</v>
      </c>
      <c r="Y13" s="651"/>
      <c r="Z13" s="651"/>
      <c r="AA13" s="651"/>
      <c r="AB13" s="651"/>
      <c r="AC13" s="651"/>
      <c r="AD13" s="652"/>
    </row>
    <row r="14" spans="3:30">
      <c r="C14" s="238"/>
      <c r="W14" s="241">
        <v>9</v>
      </c>
      <c r="X14" s="651" t="s">
        <v>1001</v>
      </c>
      <c r="Y14" s="651"/>
      <c r="Z14" s="651"/>
      <c r="AA14" s="651"/>
      <c r="AB14" s="651"/>
      <c r="AC14" s="651"/>
      <c r="AD14" s="652"/>
    </row>
    <row r="15" spans="3:30">
      <c r="C15" s="238"/>
      <c r="W15" s="241">
        <v>10</v>
      </c>
      <c r="X15" s="651" t="s">
        <v>1010</v>
      </c>
      <c r="Y15" s="651"/>
      <c r="Z15" s="651"/>
      <c r="AA15" s="651"/>
      <c r="AB15" s="651"/>
      <c r="AC15" s="651"/>
      <c r="AD15" s="652"/>
    </row>
    <row r="16" spans="3:30">
      <c r="C16" s="238"/>
      <c r="W16" s="241">
        <v>11</v>
      </c>
      <c r="X16" s="651" t="s">
        <v>1455</v>
      </c>
      <c r="Y16" s="651"/>
      <c r="Z16" s="651"/>
      <c r="AA16" s="651"/>
      <c r="AB16" s="651"/>
      <c r="AC16" s="651"/>
      <c r="AD16" s="652"/>
    </row>
    <row r="17" spans="3:30">
      <c r="C17" s="238"/>
      <c r="S17" s="242"/>
      <c r="W17" s="241">
        <v>12</v>
      </c>
      <c r="X17" s="651" t="s">
        <v>1011</v>
      </c>
      <c r="Y17" s="651"/>
      <c r="Z17" s="651"/>
      <c r="AA17" s="651"/>
      <c r="AB17" s="651"/>
      <c r="AC17" s="651"/>
      <c r="AD17" s="652"/>
    </row>
    <row r="18" spans="3:30">
      <c r="C18" s="243"/>
      <c r="D18" s="244"/>
      <c r="E18" s="244"/>
      <c r="W18" s="241">
        <v>13</v>
      </c>
      <c r="X18" s="651"/>
      <c r="Y18" s="651"/>
      <c r="Z18" s="651"/>
      <c r="AA18" s="651"/>
      <c r="AB18" s="651"/>
      <c r="AC18" s="651"/>
      <c r="AD18" s="652"/>
    </row>
    <row r="19" spans="3:30">
      <c r="C19" s="238"/>
      <c r="W19" s="245"/>
      <c r="X19" s="668"/>
      <c r="Y19" s="668"/>
      <c r="Z19" s="668"/>
      <c r="AA19" s="668"/>
      <c r="AB19" s="668"/>
      <c r="AC19" s="668"/>
      <c r="AD19" s="669"/>
    </row>
    <row r="20" spans="3:30">
      <c r="C20" s="238"/>
      <c r="W20" s="653" t="s">
        <v>992</v>
      </c>
      <c r="X20" s="654"/>
      <c r="Y20" s="654"/>
      <c r="Z20" s="654"/>
      <c r="AA20" s="654"/>
      <c r="AB20" s="654"/>
      <c r="AC20" s="654"/>
      <c r="AD20" s="655"/>
    </row>
    <row r="21" spans="3:30">
      <c r="C21" s="238"/>
      <c r="W21" s="656" t="s">
        <v>985</v>
      </c>
      <c r="X21" s="657"/>
      <c r="Y21" s="657"/>
      <c r="Z21" s="658"/>
      <c r="AA21" s="659" t="s">
        <v>986</v>
      </c>
      <c r="AB21" s="660"/>
      <c r="AC21" s="660"/>
      <c r="AD21" s="661"/>
    </row>
    <row r="22" spans="3:30">
      <c r="C22" s="238"/>
      <c r="W22" s="662"/>
      <c r="X22" s="663"/>
      <c r="Y22" s="491"/>
      <c r="Z22" s="492"/>
      <c r="AA22" s="664"/>
      <c r="AB22" s="665"/>
      <c r="AC22" s="248"/>
      <c r="AD22" s="249"/>
    </row>
    <row r="23" spans="3:30">
      <c r="C23" s="238"/>
      <c r="W23" s="662"/>
      <c r="X23" s="663"/>
      <c r="Y23" s="491"/>
      <c r="Z23" s="492"/>
      <c r="AA23" s="666"/>
      <c r="AB23" s="667"/>
      <c r="AC23" s="248"/>
      <c r="AD23" s="249"/>
    </row>
    <row r="24" spans="3:30">
      <c r="C24" s="238"/>
      <c r="W24" s="672"/>
      <c r="X24" s="673"/>
      <c r="Y24" s="246"/>
      <c r="Z24" s="247"/>
      <c r="AA24" s="674"/>
      <c r="AB24" s="675"/>
      <c r="AC24" s="248"/>
      <c r="AD24" s="249"/>
    </row>
    <row r="25" spans="3:30">
      <c r="C25" s="238"/>
      <c r="W25" s="672"/>
      <c r="X25" s="673"/>
      <c r="Y25" s="246"/>
      <c r="Z25" s="247"/>
      <c r="AA25" s="666"/>
      <c r="AB25" s="667"/>
      <c r="AC25" s="248"/>
      <c r="AD25" s="249"/>
    </row>
    <row r="26" spans="3:30">
      <c r="C26" s="238"/>
      <c r="W26" s="479"/>
      <c r="X26" s="480"/>
      <c r="Y26" s="246"/>
      <c r="Z26" s="247"/>
      <c r="AA26" s="666"/>
      <c r="AB26" s="667"/>
      <c r="AC26" s="248"/>
      <c r="AD26" s="249"/>
    </row>
    <row r="27" spans="3:30">
      <c r="C27" s="238"/>
      <c r="W27" s="479"/>
      <c r="X27" s="480"/>
      <c r="Y27" s="246"/>
      <c r="Z27" s="247"/>
      <c r="AA27" s="670"/>
      <c r="AB27" s="671"/>
      <c r="AC27" s="248"/>
      <c r="AD27" s="249"/>
    </row>
    <row r="28" spans="3:30">
      <c r="C28" s="238"/>
      <c r="W28" s="479"/>
      <c r="X28" s="480"/>
      <c r="Y28" s="246"/>
      <c r="Z28" s="247"/>
      <c r="AA28" s="670"/>
      <c r="AB28" s="671"/>
      <c r="AC28" s="248"/>
      <c r="AD28" s="249"/>
    </row>
    <row r="29" spans="3:30">
      <c r="C29" s="238"/>
      <c r="W29" s="479"/>
      <c r="X29" s="480"/>
      <c r="Y29" s="246"/>
      <c r="Z29" s="247"/>
      <c r="AA29" s="670"/>
      <c r="AB29" s="671"/>
      <c r="AC29" s="248"/>
      <c r="AD29" s="249"/>
    </row>
    <row r="30" spans="3:30" ht="11.25" customHeight="1">
      <c r="C30" s="238"/>
      <c r="W30" s="481"/>
      <c r="X30" s="482"/>
      <c r="Y30" s="246"/>
      <c r="Z30" s="247"/>
      <c r="AA30" s="670"/>
      <c r="AB30" s="671"/>
      <c r="AC30" s="248"/>
      <c r="AD30" s="249"/>
    </row>
    <row r="31" spans="3:30">
      <c r="C31" s="238"/>
      <c r="U31" s="250"/>
      <c r="W31" s="479"/>
      <c r="X31" s="480"/>
      <c r="Y31" s="246"/>
      <c r="Z31" s="247"/>
      <c r="AA31" s="670"/>
      <c r="AB31" s="671"/>
      <c r="AC31" s="248"/>
      <c r="AD31" s="249"/>
    </row>
    <row r="32" spans="3:30">
      <c r="C32" s="238"/>
      <c r="U32" s="250"/>
      <c r="W32" s="479"/>
      <c r="X32" s="480"/>
      <c r="Y32" s="246"/>
      <c r="Z32" s="247"/>
      <c r="AA32" s="670"/>
      <c r="AB32" s="671"/>
      <c r="AC32" s="248"/>
      <c r="AD32" s="249"/>
    </row>
    <row r="33" spans="3:30">
      <c r="C33" s="238"/>
      <c r="W33" s="479"/>
      <c r="X33" s="480"/>
      <c r="Y33" s="246"/>
      <c r="Z33" s="247"/>
      <c r="AA33" s="670"/>
      <c r="AB33" s="671"/>
      <c r="AC33" s="248"/>
      <c r="AD33" s="249"/>
    </row>
    <row r="34" spans="3:30">
      <c r="C34" s="238"/>
      <c r="W34" s="479"/>
      <c r="X34" s="480"/>
      <c r="Y34" s="246"/>
      <c r="Z34" s="247"/>
      <c r="AA34" s="670"/>
      <c r="AB34" s="671"/>
      <c r="AC34" s="248"/>
      <c r="AD34" s="249"/>
    </row>
    <row r="35" spans="3:30">
      <c r="C35" s="238"/>
      <c r="W35" s="672"/>
      <c r="X35" s="685"/>
      <c r="Y35" s="246"/>
      <c r="Z35" s="247"/>
      <c r="AA35" s="670"/>
      <c r="AB35" s="671"/>
      <c r="AC35" s="248"/>
      <c r="AD35" s="249"/>
    </row>
    <row r="36" spans="3:30">
      <c r="C36" s="238"/>
      <c r="W36" s="676"/>
      <c r="X36" s="677"/>
      <c r="Y36" s="246"/>
      <c r="Z36" s="251"/>
      <c r="AA36" s="678"/>
      <c r="AB36" s="671"/>
      <c r="AC36" s="248"/>
      <c r="AD36" s="249"/>
    </row>
    <row r="37" spans="3:30" ht="12.75" customHeight="1">
      <c r="C37" s="238"/>
      <c r="W37" s="679"/>
      <c r="X37" s="680"/>
      <c r="Y37" s="246"/>
      <c r="Z37" s="251"/>
      <c r="AA37" s="681"/>
      <c r="AB37" s="682"/>
      <c r="AC37" s="252"/>
      <c r="AD37" s="253"/>
    </row>
    <row r="38" spans="3:30" ht="12.75" customHeight="1">
      <c r="C38" s="238"/>
      <c r="W38" s="679"/>
      <c r="X38" s="680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9"/>
      <c r="X39" s="680"/>
      <c r="Y39" s="254"/>
      <c r="Z39" s="257"/>
      <c r="AA39" s="683"/>
      <c r="AB39" s="684"/>
      <c r="AC39" s="252"/>
      <c r="AD39" s="253"/>
    </row>
    <row r="40" spans="3:30" ht="12" customHeight="1">
      <c r="C40" s="238"/>
      <c r="W40" s="689"/>
      <c r="X40" s="690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1"/>
      <c r="X41" s="692"/>
      <c r="Y41" s="260"/>
      <c r="Z41" s="261"/>
      <c r="AA41" s="683"/>
      <c r="AB41" s="684"/>
      <c r="AC41" s="252"/>
      <c r="AD41" s="253"/>
    </row>
    <row r="42" spans="3:30" ht="12" customHeight="1">
      <c r="C42" s="238"/>
      <c r="W42" s="693" t="s">
        <v>1456</v>
      </c>
      <c r="X42" s="694"/>
      <c r="Y42" s="694"/>
      <c r="Z42" s="694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6" t="s">
        <v>11</v>
      </c>
      <c r="X44" s="687"/>
      <c r="Y44" s="651"/>
      <c r="Z44" s="651"/>
      <c r="AA44" s="651"/>
      <c r="AB44" s="651"/>
      <c r="AC44" s="651"/>
      <c r="AD44" s="652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6" t="s">
        <v>984</v>
      </c>
      <c r="X45" s="687"/>
      <c r="Y45" s="651">
        <v>1</v>
      </c>
      <c r="Z45" s="651"/>
      <c r="AA45" s="651"/>
      <c r="AB45" s="651" t="s">
        <v>12</v>
      </c>
      <c r="AC45" s="651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6" t="s">
        <v>15</v>
      </c>
      <c r="X46" s="687"/>
      <c r="Y46" s="688"/>
      <c r="Z46" s="688"/>
      <c r="AA46" s="688"/>
      <c r="AB46" s="651" t="s">
        <v>16</v>
      </c>
      <c r="AC46" s="651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9" t="s">
        <v>17</v>
      </c>
      <c r="X47" s="699"/>
      <c r="Y47" s="699"/>
      <c r="Z47" s="699"/>
      <c r="AA47" s="699"/>
      <c r="AB47" s="699"/>
      <c r="AC47" s="699"/>
      <c r="AD47" s="700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1" t="str">
        <f>RAB!G6</f>
        <v>POMPA AIR JATENG LAND</v>
      </c>
      <c r="X48" s="701"/>
      <c r="Y48" s="701"/>
      <c r="Z48" s="701"/>
      <c r="AA48" s="701"/>
      <c r="AB48" s="701"/>
      <c r="AC48" s="701"/>
      <c r="AD48" s="70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1"/>
      <c r="X49" s="701"/>
      <c r="Y49" s="701"/>
      <c r="Z49" s="701"/>
      <c r="AA49" s="701"/>
      <c r="AB49" s="701"/>
      <c r="AC49" s="701"/>
      <c r="AD49" s="70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1"/>
      <c r="X50" s="701"/>
      <c r="Y50" s="701"/>
      <c r="Z50" s="701"/>
      <c r="AA50" s="701"/>
      <c r="AB50" s="701"/>
      <c r="AC50" s="701"/>
      <c r="AD50" s="70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3"/>
      <c r="X51" s="703"/>
      <c r="Y51" s="703"/>
      <c r="Z51" s="703"/>
      <c r="AA51" s="703"/>
      <c r="AB51" s="703"/>
      <c r="AC51" s="703"/>
      <c r="AD51" s="70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6" t="s">
        <v>18</v>
      </c>
      <c r="X52" s="687"/>
      <c r="Y52" s="651" t="s">
        <v>1632</v>
      </c>
      <c r="Z52" s="651"/>
      <c r="AA52" s="651"/>
      <c r="AB52" s="651"/>
      <c r="AC52" s="651"/>
      <c r="AD52" s="652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6" t="s">
        <v>19</v>
      </c>
      <c r="X53" s="687"/>
      <c r="Y53" s="651" t="s">
        <v>1633</v>
      </c>
      <c r="Z53" s="651"/>
      <c r="AA53" s="651"/>
      <c r="AB53" s="651"/>
      <c r="AC53" s="651"/>
      <c r="AD53" s="652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6" t="s">
        <v>20</v>
      </c>
      <c r="X54" s="687"/>
      <c r="Y54" s="695" t="s">
        <v>1630</v>
      </c>
      <c r="Z54" s="695"/>
      <c r="AA54" s="695"/>
      <c r="AB54" s="651"/>
      <c r="AC54" s="651"/>
      <c r="AD54" s="652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6" t="s">
        <v>21</v>
      </c>
      <c r="X55" s="697"/>
      <c r="Y55" s="695" t="s">
        <v>1634</v>
      </c>
      <c r="Z55" s="695"/>
      <c r="AA55" s="695"/>
      <c r="AB55" s="695"/>
      <c r="AC55" s="695"/>
      <c r="AD55" s="698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Z32" sqref="Z32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5" t="s">
        <v>1528</v>
      </c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7"/>
      <c r="AD4" s="217"/>
      <c r="AE4" s="216"/>
      <c r="AF4" s="216"/>
    </row>
    <row r="5" spans="2:32" ht="13.5" customHeight="1">
      <c r="B5" s="215"/>
      <c r="C5" s="215"/>
      <c r="D5" s="708"/>
      <c r="E5" s="709"/>
      <c r="F5" s="709"/>
      <c r="G5" s="709"/>
      <c r="H5" s="709"/>
      <c r="I5" s="709"/>
      <c r="J5" s="709"/>
      <c r="K5" s="709"/>
      <c r="L5" s="709"/>
      <c r="M5" s="709"/>
      <c r="N5" s="709"/>
      <c r="O5" s="709"/>
      <c r="P5" s="709"/>
      <c r="Q5" s="709"/>
      <c r="R5" s="709"/>
      <c r="S5" s="709"/>
      <c r="T5" s="709"/>
      <c r="U5" s="709"/>
      <c r="V5" s="709"/>
      <c r="W5" s="709"/>
      <c r="X5" s="709"/>
      <c r="Y5" s="709"/>
      <c r="Z5" s="709"/>
      <c r="AA5" s="709"/>
      <c r="AB5" s="709"/>
      <c r="AC5" s="710"/>
      <c r="AD5" s="217"/>
      <c r="AE5" s="216"/>
      <c r="AF5" s="216"/>
    </row>
    <row r="6" spans="2:32" ht="12.75" customHeight="1">
      <c r="B6" s="215"/>
      <c r="C6" s="215"/>
      <c r="D6" s="708"/>
      <c r="E6" s="709"/>
      <c r="F6" s="709"/>
      <c r="G6" s="709"/>
      <c r="H6" s="709"/>
      <c r="I6" s="709"/>
      <c r="J6" s="709"/>
      <c r="K6" s="709"/>
      <c r="L6" s="709"/>
      <c r="M6" s="709"/>
      <c r="N6" s="709"/>
      <c r="O6" s="709"/>
      <c r="P6" s="709"/>
      <c r="Q6" s="709"/>
      <c r="R6" s="709"/>
      <c r="S6" s="709"/>
      <c r="T6" s="709"/>
      <c r="U6" s="709"/>
      <c r="V6" s="709"/>
      <c r="W6" s="709"/>
      <c r="X6" s="709"/>
      <c r="Y6" s="709"/>
      <c r="Z6" s="709"/>
      <c r="AA6" s="709"/>
      <c r="AB6" s="709"/>
      <c r="AC6" s="710"/>
      <c r="AE6" s="216"/>
      <c r="AF6" s="216"/>
    </row>
    <row r="7" spans="2:32" ht="12.75" customHeight="1" thickBot="1">
      <c r="B7" s="215"/>
      <c r="C7" s="215"/>
      <c r="D7" s="711"/>
      <c r="E7" s="712"/>
      <c r="F7" s="712"/>
      <c r="G7" s="712"/>
      <c r="H7" s="712"/>
      <c r="I7" s="712"/>
      <c r="J7" s="712"/>
      <c r="K7" s="712"/>
      <c r="L7" s="712"/>
      <c r="M7" s="712"/>
      <c r="N7" s="712"/>
      <c r="O7" s="712"/>
      <c r="P7" s="712"/>
      <c r="Q7" s="712"/>
      <c r="R7" s="712"/>
      <c r="S7" s="712"/>
      <c r="T7" s="712"/>
      <c r="U7" s="712"/>
      <c r="V7" s="712"/>
      <c r="W7" s="712"/>
      <c r="X7" s="712"/>
      <c r="Y7" s="712"/>
      <c r="Z7" s="712"/>
      <c r="AA7" s="712"/>
      <c r="AB7" s="712"/>
      <c r="AC7" s="713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8" zoomScale="55" zoomScaleNormal="40" zoomScaleSheetLayoutView="55" workbookViewId="0">
      <selection activeCell="G19" sqref="G18:G19"/>
    </sheetView>
  </sheetViews>
  <sheetFormatPr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9" t="s">
        <v>1527</v>
      </c>
      <c r="D3" s="709"/>
      <c r="E3" s="709"/>
      <c r="F3" s="709"/>
      <c r="G3" s="709"/>
      <c r="H3" s="709"/>
      <c r="I3" s="709"/>
      <c r="J3" s="709"/>
      <c r="K3" s="709"/>
      <c r="L3" s="709"/>
      <c r="M3" s="709"/>
      <c r="N3" s="709"/>
      <c r="O3" s="709"/>
      <c r="P3" s="709"/>
      <c r="Q3" s="709"/>
      <c r="R3" s="709"/>
      <c r="S3" s="709"/>
      <c r="T3" s="709"/>
      <c r="U3" s="709"/>
      <c r="V3" s="709"/>
      <c r="W3" s="182"/>
      <c r="X3" s="435"/>
      <c r="Y3" s="435"/>
      <c r="Z3" s="435"/>
      <c r="AA3" s="435"/>
      <c r="AB3" s="435"/>
      <c r="AC3" s="425"/>
    </row>
    <row r="4" spans="1:29" ht="18.75" customHeight="1">
      <c r="A4" s="181"/>
      <c r="C4" s="709"/>
      <c r="D4" s="709"/>
      <c r="E4" s="709"/>
      <c r="F4" s="709"/>
      <c r="G4" s="709"/>
      <c r="H4" s="709"/>
      <c r="I4" s="709"/>
      <c r="J4" s="709"/>
      <c r="K4" s="709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182"/>
      <c r="X4" s="435"/>
      <c r="Y4" s="435"/>
      <c r="Z4" s="435"/>
      <c r="AA4" s="435"/>
      <c r="AB4" s="435"/>
      <c r="AC4" s="425"/>
    </row>
    <row r="5" spans="1:29" ht="12.75" customHeight="1">
      <c r="A5" s="181"/>
      <c r="C5" s="426"/>
      <c r="W5" s="182"/>
    </row>
    <row r="6" spans="1:29" ht="12.75" customHeight="1">
      <c r="A6" s="181"/>
      <c r="C6" s="714" t="s">
        <v>1606</v>
      </c>
      <c r="D6" s="714"/>
      <c r="E6" s="714"/>
      <c r="F6" s="714"/>
      <c r="G6" s="714"/>
      <c r="H6" s="714"/>
      <c r="I6" s="714"/>
      <c r="J6" s="714"/>
      <c r="K6" s="714"/>
      <c r="L6" s="714"/>
      <c r="M6" s="714"/>
      <c r="W6" s="182"/>
      <c r="Y6" s="427"/>
      <c r="Z6" s="427"/>
      <c r="AA6" s="427"/>
      <c r="AB6" s="428"/>
      <c r="AC6" s="428"/>
    </row>
    <row r="7" spans="1:29" ht="18" customHeight="1">
      <c r="A7" s="181"/>
      <c r="C7" s="714"/>
      <c r="D7" s="714"/>
      <c r="E7" s="714"/>
      <c r="F7" s="714"/>
      <c r="G7" s="714"/>
      <c r="H7" s="714"/>
      <c r="I7" s="714"/>
      <c r="J7" s="714"/>
      <c r="K7" s="714"/>
      <c r="L7" s="714"/>
      <c r="M7" s="714"/>
      <c r="W7" s="182"/>
      <c r="Y7" s="427"/>
      <c r="Z7" s="427"/>
      <c r="AA7" s="427"/>
      <c r="AB7" s="428"/>
      <c r="AC7" s="42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0"/>
      <c r="S54" s="430"/>
      <c r="T54" s="430"/>
      <c r="U54" s="431"/>
      <c r="V54" s="431"/>
      <c r="W54" s="183"/>
      <c r="X54" s="431"/>
      <c r="Y54" s="431"/>
      <c r="Z54" s="431"/>
      <c r="AA54" s="431"/>
      <c r="AB54" s="431"/>
      <c r="AC54" s="431"/>
      <c r="AD54" s="43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6"/>
      <c r="S55" s="437"/>
      <c r="T55" s="437"/>
      <c r="U55" s="186"/>
      <c r="V55" s="187"/>
      <c r="W55" s="188"/>
      <c r="X55" s="431"/>
      <c r="Y55" s="431"/>
      <c r="Z55" s="431"/>
      <c r="AA55" s="432"/>
      <c r="AB55" s="432"/>
      <c r="AC55" s="432"/>
      <c r="AD55" s="432"/>
    </row>
    <row r="56" spans="1:30">
      <c r="U56" s="431"/>
      <c r="V56" s="432"/>
      <c r="W56" s="431"/>
      <c r="X56" s="431"/>
      <c r="Y56" s="431"/>
      <c r="Z56" s="431"/>
      <c r="AA56" s="432"/>
      <c r="AB56" s="431"/>
      <c r="AC56" s="431"/>
      <c r="AD56" s="431"/>
    </row>
    <row r="57" spans="1:30">
      <c r="U57" s="431"/>
      <c r="V57" s="432"/>
      <c r="W57" s="431"/>
      <c r="X57" s="431"/>
      <c r="Y57" s="431"/>
      <c r="Z57" s="431"/>
      <c r="AA57" s="431"/>
      <c r="AB57" s="431"/>
      <c r="AC57" s="431"/>
      <c r="AD57" s="431"/>
    </row>
    <row r="58" spans="1:30">
      <c r="U58" s="431"/>
      <c r="V58" s="432"/>
      <c r="W58" s="431"/>
      <c r="X58" s="431"/>
      <c r="Y58" s="431"/>
      <c r="Z58" s="431"/>
      <c r="AA58" s="431"/>
      <c r="AB58" s="431"/>
      <c r="AC58" s="431"/>
      <c r="AD58" s="431"/>
    </row>
    <row r="59" spans="1:30">
      <c r="U59" s="431"/>
      <c r="V59" s="432"/>
      <c r="W59" s="431"/>
      <c r="X59" s="431"/>
      <c r="Y59" s="431"/>
      <c r="Z59" s="431"/>
      <c r="AA59" s="431"/>
      <c r="AB59" s="431"/>
      <c r="AC59" s="431"/>
      <c r="AD59" s="431"/>
    </row>
    <row r="60" spans="1:30">
      <c r="U60" s="431"/>
      <c r="V60" s="432"/>
      <c r="W60" s="431"/>
      <c r="X60" s="431"/>
      <c r="Y60" s="431"/>
      <c r="Z60" s="431"/>
      <c r="AA60" s="432"/>
      <c r="AB60" s="431"/>
      <c r="AC60" s="431"/>
      <c r="AD60" s="431"/>
    </row>
    <row r="61" spans="1:30">
      <c r="U61" s="431"/>
      <c r="V61" s="432"/>
      <c r="W61" s="431"/>
      <c r="X61" s="431"/>
      <c r="Y61" s="431"/>
      <c r="Z61" s="431"/>
      <c r="AA61" s="431"/>
      <c r="AB61" s="431"/>
      <c r="AC61" s="431"/>
      <c r="AD61" s="431"/>
    </row>
    <row r="62" spans="1:30">
      <c r="U62" s="431"/>
      <c r="V62" s="432"/>
      <c r="W62" s="431"/>
      <c r="X62" s="431"/>
      <c r="Y62" s="431"/>
      <c r="Z62" s="431"/>
      <c r="AA62" s="431"/>
      <c r="AB62" s="431"/>
      <c r="AC62" s="431"/>
      <c r="AD62" s="431"/>
    </row>
    <row r="63" spans="1:30">
      <c r="U63" s="431"/>
      <c r="V63" s="432"/>
      <c r="W63" s="431"/>
      <c r="X63" s="431"/>
      <c r="Y63" s="431"/>
      <c r="Z63" s="431"/>
      <c r="AA63" s="431"/>
      <c r="AB63" s="431"/>
      <c r="AC63" s="431"/>
      <c r="AD63" s="431"/>
    </row>
    <row r="64" spans="1:30">
      <c r="U64" s="431"/>
      <c r="V64" s="432"/>
      <c r="W64" s="431"/>
      <c r="X64" s="431"/>
      <c r="Y64" s="431"/>
      <c r="Z64" s="431"/>
      <c r="AA64" s="431"/>
      <c r="AB64" s="431"/>
      <c r="AC64" s="431"/>
      <c r="AD64" s="431"/>
    </row>
    <row r="65" spans="5:30">
      <c r="U65" s="431"/>
      <c r="V65" s="432"/>
      <c r="W65" s="431"/>
      <c r="X65" s="431"/>
      <c r="Y65" s="431"/>
      <c r="Z65" s="431"/>
      <c r="AA65" s="431"/>
      <c r="AB65" s="431"/>
      <c r="AC65" s="431"/>
      <c r="AD65" s="431"/>
    </row>
    <row r="66" spans="5:30" ht="6" customHeight="1"/>
    <row r="73" spans="5:30">
      <c r="M73" s="433"/>
    </row>
    <row r="74" spans="5:30" ht="15" customHeight="1">
      <c r="E74" s="434"/>
      <c r="M74" s="433"/>
    </row>
    <row r="75" spans="5:30" ht="15" customHeight="1">
      <c r="E75" s="434"/>
      <c r="M75" s="433"/>
    </row>
    <row r="76" spans="5:30" ht="15" customHeight="1">
      <c r="E76" s="434"/>
      <c r="M76" s="433"/>
    </row>
    <row r="77" spans="5:30" ht="15" customHeight="1">
      <c r="E77" s="434"/>
      <c r="M77" s="433"/>
    </row>
    <row r="78" spans="5:30" ht="15" customHeight="1">
      <c r="E78" s="434"/>
      <c r="M78" s="433"/>
    </row>
    <row r="79" spans="5:30" ht="15" customHeight="1">
      <c r="E79" s="434"/>
      <c r="M79" s="433"/>
    </row>
    <row r="80" spans="5:30" ht="15" customHeight="1">
      <c r="E80" s="434"/>
      <c r="M80" s="433"/>
    </row>
    <row r="81" spans="5:13" ht="15" customHeight="1">
      <c r="E81" s="434"/>
      <c r="M81" s="433"/>
    </row>
    <row r="82" spans="5:13" ht="15" customHeight="1">
      <c r="E82" s="434"/>
      <c r="M82" s="433"/>
    </row>
    <row r="83" spans="5:13" ht="15" customHeight="1">
      <c r="E83" s="434"/>
      <c r="M83" s="433"/>
    </row>
    <row r="84" spans="5:13" ht="15" customHeight="1">
      <c r="E84" s="434"/>
      <c r="M84" s="433"/>
    </row>
    <row r="85" spans="5:13" ht="15" customHeight="1">
      <c r="E85" s="434"/>
      <c r="M85" s="433"/>
    </row>
    <row r="86" spans="5:13" ht="15" customHeight="1">
      <c r="E86" s="434"/>
      <c r="M86" s="433"/>
    </row>
    <row r="87" spans="5:13" ht="15" customHeight="1">
      <c r="E87" s="434"/>
      <c r="M87" s="433"/>
    </row>
    <row r="88" spans="5:13" ht="15" customHeight="1">
      <c r="E88" s="434"/>
      <c r="M88" s="433"/>
    </row>
    <row r="89" spans="5:13" ht="15" customHeight="1">
      <c r="E89" s="434"/>
      <c r="M89" s="433"/>
    </row>
    <row r="90" spans="5:13" ht="15" customHeight="1">
      <c r="E90" s="434"/>
      <c r="M90" s="433"/>
    </row>
    <row r="91" spans="5:13" ht="15" customHeight="1">
      <c r="E91" s="434"/>
      <c r="M91" s="433"/>
    </row>
    <row r="92" spans="5:13" ht="15" customHeight="1">
      <c r="E92" s="434"/>
      <c r="M92" s="433"/>
    </row>
    <row r="93" spans="5:13" ht="15" customHeight="1">
      <c r="E93" s="434"/>
      <c r="M93" s="433"/>
    </row>
    <row r="94" spans="5:13" ht="15" customHeight="1">
      <c r="E94" s="434"/>
      <c r="M94" s="433"/>
    </row>
    <row r="95" spans="5:13" ht="15" customHeight="1">
      <c r="E95" s="434"/>
      <c r="M95" s="433"/>
    </row>
    <row r="96" spans="5:13" ht="15" customHeight="1">
      <c r="E96" s="434"/>
    </row>
    <row r="97" spans="5:5" ht="15" customHeight="1">
      <c r="E97" s="434"/>
    </row>
    <row r="98" spans="5:5" ht="15" customHeight="1">
      <c r="E98" s="434"/>
    </row>
    <row r="99" spans="5:5" ht="15" customHeight="1">
      <c r="E99" s="434"/>
    </row>
    <row r="100" spans="5:5" ht="15" customHeight="1">
      <c r="E100" s="434"/>
    </row>
    <row r="101" spans="5:5" ht="15" customHeight="1">
      <c r="E101" s="434"/>
    </row>
    <row r="102" spans="5:5" ht="15" customHeight="1">
      <c r="E102" s="434"/>
    </row>
    <row r="103" spans="5:5" ht="15" customHeight="1">
      <c r="E103" s="434"/>
    </row>
    <row r="104" spans="5:5" ht="15" customHeight="1">
      <c r="E104" s="434"/>
    </row>
    <row r="105" spans="5:5" ht="15" customHeight="1">
      <c r="E105" s="434"/>
    </row>
    <row r="106" spans="5:5" ht="15" customHeight="1">
      <c r="E106" s="434"/>
    </row>
    <row r="107" spans="5:5" ht="15" customHeight="1">
      <c r="E107" s="434"/>
    </row>
    <row r="108" spans="5:5" ht="15" customHeight="1">
      <c r="E108" s="434"/>
    </row>
    <row r="109" spans="5:5" ht="15" customHeight="1">
      <c r="E109" s="434"/>
    </row>
    <row r="110" spans="5:5" ht="15" customHeight="1">
      <c r="E110" s="434"/>
    </row>
    <row r="111" spans="5:5" ht="15" customHeight="1">
      <c r="E111" s="434"/>
    </row>
    <row r="112" spans="5:5" ht="15" customHeight="1">
      <c r="E112" s="434"/>
    </row>
    <row r="113" spans="5:5" ht="15" customHeight="1">
      <c r="E113" s="434"/>
    </row>
    <row r="114" spans="5:5" ht="15" customHeight="1">
      <c r="E114" s="434"/>
    </row>
    <row r="115" spans="5:5" ht="15" customHeight="1">
      <c r="E115" s="434"/>
    </row>
    <row r="116" spans="5:5" ht="15" customHeight="1">
      <c r="E116" s="434"/>
    </row>
    <row r="117" spans="5:5" ht="15" customHeight="1">
      <c r="E117" s="434"/>
    </row>
    <row r="118" spans="5:5" ht="15" customHeight="1">
      <c r="E118" s="434"/>
    </row>
    <row r="119" spans="5:5" ht="15" customHeight="1">
      <c r="E119" s="434"/>
    </row>
    <row r="120" spans="5:5">
      <c r="E120" s="43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6">
        <v>1</v>
      </c>
    </row>
    <row r="2" spans="1:11" ht="48" customHeight="1">
      <c r="A2" s="456">
        <v>3</v>
      </c>
    </row>
    <row r="4" spans="1:11" ht="48" customHeight="1">
      <c r="C4" s="456">
        <v>1</v>
      </c>
    </row>
    <row r="5" spans="1:11" ht="48" customHeight="1">
      <c r="C5" s="456">
        <v>3</v>
      </c>
    </row>
    <row r="7" spans="1:11" ht="48" customHeight="1">
      <c r="E7" s="456">
        <v>1</v>
      </c>
    </row>
    <row r="8" spans="1:11" ht="48" customHeight="1">
      <c r="E8" s="456">
        <v>3</v>
      </c>
    </row>
    <row r="10" spans="1:11" ht="48" customHeight="1">
      <c r="G10" s="456">
        <v>3</v>
      </c>
    </row>
    <row r="11" spans="1:11" ht="48" customHeight="1">
      <c r="G11" s="456">
        <v>1</v>
      </c>
    </row>
    <row r="13" spans="1:11" ht="48" customHeight="1">
      <c r="I13" s="456">
        <v>3</v>
      </c>
    </row>
    <row r="14" spans="1:11" ht="48" customHeight="1">
      <c r="I14" s="456">
        <v>1</v>
      </c>
    </row>
    <row r="16" spans="1:11" ht="48" customHeight="1">
      <c r="K16" s="456">
        <v>3</v>
      </c>
    </row>
    <row r="17" spans="11:21" ht="48" customHeight="1">
      <c r="K17" s="456">
        <v>1</v>
      </c>
    </row>
    <row r="19" spans="11:21" ht="48" customHeight="1">
      <c r="M19" s="456">
        <v>3</v>
      </c>
    </row>
    <row r="20" spans="11:21" ht="48" customHeight="1">
      <c r="M20" s="456">
        <v>1</v>
      </c>
    </row>
    <row r="22" spans="11:21" ht="48" customHeight="1">
      <c r="O22" s="456">
        <v>3</v>
      </c>
    </row>
    <row r="23" spans="11:21" ht="48" customHeight="1">
      <c r="O23" s="456">
        <v>1</v>
      </c>
    </row>
    <row r="25" spans="11:21" ht="57" customHeight="1">
      <c r="Q25" s="456">
        <v>3</v>
      </c>
    </row>
    <row r="26" spans="11:21" ht="57" customHeight="1">
      <c r="Q26" s="456">
        <v>1</v>
      </c>
    </row>
    <row r="28" spans="11:21" ht="57" customHeight="1">
      <c r="S28" s="456">
        <v>3</v>
      </c>
    </row>
    <row r="29" spans="11:21" ht="57" customHeight="1">
      <c r="S29" s="456">
        <v>1</v>
      </c>
    </row>
    <row r="31" spans="11:21" ht="57" customHeight="1">
      <c r="U31" s="456">
        <v>3</v>
      </c>
    </row>
    <row r="32" spans="11:21" ht="57" customHeight="1">
      <c r="U32" s="45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Muhammad Abdullah</cp:lastModifiedBy>
  <cp:lastPrinted>2023-08-28T04:37:29Z</cp:lastPrinted>
  <dcterms:created xsi:type="dcterms:W3CDTF">2011-02-06T11:57:38Z</dcterms:created>
  <dcterms:modified xsi:type="dcterms:W3CDTF">2023-09-13T03:23:28Z</dcterms:modified>
</cp:coreProperties>
</file>