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ka.y.abimanyu\Downloads\"/>
    </mc:Choice>
  </mc:AlternateContent>
  <xr:revisionPtr revIDLastSave="0" documentId="13_ncr:1_{4D1BD570-21C8-4EFA-9039-DC3CF92C7617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0" r:id="rId10"/>
    <sheet name="PETA" sheetId="75" r:id="rId11"/>
    <sheet name="SLD 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[33]Asumsi!$S$10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 localSheetId="11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 localSheetId="11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 localSheetId="11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1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W48" i="80" l="1"/>
  <c r="Z25" i="80"/>
  <c r="H20" i="11"/>
  <c r="I20" i="11"/>
  <c r="J20" i="11"/>
  <c r="G20" i="11"/>
  <c r="G21" i="11"/>
  <c r="F72" i="11"/>
  <c r="F71" i="11"/>
  <c r="F70" i="11"/>
  <c r="F69" i="11"/>
  <c r="F68" i="11"/>
  <c r="K20" i="11" l="1"/>
  <c r="H66" i="11"/>
  <c r="I66" i="11"/>
  <c r="J66" i="11"/>
  <c r="H67" i="11"/>
  <c r="I67" i="11"/>
  <c r="J67" i="11"/>
  <c r="H68" i="11"/>
  <c r="J68" i="11"/>
  <c r="H69" i="11"/>
  <c r="J69" i="11"/>
  <c r="H70" i="11"/>
  <c r="J70" i="11"/>
  <c r="H71" i="11"/>
  <c r="J71" i="11"/>
  <c r="H72" i="11"/>
  <c r="I72" i="11"/>
  <c r="G66" i="11"/>
  <c r="G67" i="11"/>
  <c r="G68" i="11"/>
  <c r="I68" i="11" s="1"/>
  <c r="G69" i="11"/>
  <c r="I69" i="11" s="1"/>
  <c r="G70" i="11"/>
  <c r="G71" i="11"/>
  <c r="G72" i="11"/>
  <c r="H61" i="11"/>
  <c r="I61" i="11"/>
  <c r="J61" i="11"/>
  <c r="I62" i="11"/>
  <c r="J62" i="11"/>
  <c r="G61" i="11"/>
  <c r="G62" i="11"/>
  <c r="H62" i="11" s="1"/>
  <c r="G59" i="11"/>
  <c r="G60" i="11"/>
  <c r="K66" i="11" l="1"/>
  <c r="K67" i="11"/>
  <c r="K68" i="11"/>
  <c r="I70" i="11"/>
  <c r="K70" i="11" s="1"/>
  <c r="K69" i="11"/>
  <c r="J72" i="11"/>
  <c r="K72" i="11" s="1"/>
  <c r="I71" i="11"/>
  <c r="K71" i="11" s="1"/>
  <c r="K61" i="11"/>
  <c r="K62" i="11"/>
  <c r="I63" i="11" l="1"/>
  <c r="J63" i="11"/>
  <c r="M76" i="11"/>
  <c r="M29" i="11"/>
  <c r="M22" i="11"/>
  <c r="F17" i="11"/>
  <c r="J16" i="11"/>
  <c r="H16" i="11" l="1"/>
  <c r="O229" i="10" l="1"/>
  <c r="P229" i="10" s="1"/>
  <c r="K229" i="10"/>
  <c r="M229" i="10" s="1"/>
  <c r="J229" i="10"/>
  <c r="I229" i="10"/>
  <c r="O280" i="10"/>
  <c r="P280" i="10" s="1"/>
  <c r="K280" i="10"/>
  <c r="J280" i="10"/>
  <c r="L280" i="10" s="1"/>
  <c r="I280" i="10"/>
  <c r="O217" i="10"/>
  <c r="P217" i="10" s="1"/>
  <c r="K217" i="10"/>
  <c r="M217" i="10" s="1"/>
  <c r="J217" i="10"/>
  <c r="I217" i="10"/>
  <c r="M63" i="11" l="1"/>
  <c r="F58" i="11" l="1"/>
  <c r="G55" i="11" l="1"/>
  <c r="E55" i="11"/>
  <c r="D55" i="11"/>
  <c r="J55" i="11" s="1"/>
  <c r="G54" i="11"/>
  <c r="E54" i="11"/>
  <c r="D54" i="11"/>
  <c r="J54" i="11" s="1"/>
  <c r="G53" i="11"/>
  <c r="E53" i="11"/>
  <c r="D53" i="11"/>
  <c r="I53" i="11" s="1"/>
  <c r="G52" i="11"/>
  <c r="E52" i="11"/>
  <c r="D52" i="11"/>
  <c r="H52" i="11" s="1"/>
  <c r="G51" i="11"/>
  <c r="E51" i="11"/>
  <c r="D51" i="11"/>
  <c r="H51" i="11" s="1"/>
  <c r="G50" i="11"/>
  <c r="E50" i="11"/>
  <c r="D50" i="11"/>
  <c r="J50" i="11" s="1"/>
  <c r="G49" i="11"/>
  <c r="E49" i="11"/>
  <c r="D49" i="11"/>
  <c r="J49" i="11" s="1"/>
  <c r="G48" i="11"/>
  <c r="E48" i="11"/>
  <c r="D48" i="11"/>
  <c r="J48" i="11" s="1"/>
  <c r="G47" i="11"/>
  <c r="E47" i="11"/>
  <c r="D47" i="11"/>
  <c r="J47" i="11" s="1"/>
  <c r="G46" i="11"/>
  <c r="E46" i="11"/>
  <c r="D46" i="11"/>
  <c r="J46" i="11" s="1"/>
  <c r="G45" i="11"/>
  <c r="E45" i="11"/>
  <c r="D45" i="11"/>
  <c r="I45" i="11" s="1"/>
  <c r="G44" i="11"/>
  <c r="E44" i="11"/>
  <c r="D44" i="11"/>
  <c r="H44" i="11" s="1"/>
  <c r="G43" i="11"/>
  <c r="E43" i="11"/>
  <c r="D43" i="11"/>
  <c r="H43" i="11" s="1"/>
  <c r="G42" i="11"/>
  <c r="E42" i="11"/>
  <c r="D42" i="11"/>
  <c r="J42" i="11" s="1"/>
  <c r="G41" i="11"/>
  <c r="E41" i="11"/>
  <c r="D41" i="11"/>
  <c r="J41" i="11" s="1"/>
  <c r="G40" i="11"/>
  <c r="E40" i="11"/>
  <c r="D40" i="11"/>
  <c r="H40" i="11" s="1"/>
  <c r="G39" i="11"/>
  <c r="E39" i="11"/>
  <c r="D39" i="11"/>
  <c r="J39" i="11" s="1"/>
  <c r="G38" i="11"/>
  <c r="E38" i="11"/>
  <c r="D38" i="11"/>
  <c r="J38" i="11" s="1"/>
  <c r="G37" i="11"/>
  <c r="E37" i="11"/>
  <c r="D37" i="11"/>
  <c r="I37" i="11" s="1"/>
  <c r="G36" i="11"/>
  <c r="E36" i="11"/>
  <c r="D36" i="11"/>
  <c r="H36" i="11" s="1"/>
  <c r="G35" i="11"/>
  <c r="E35" i="11"/>
  <c r="D35" i="11"/>
  <c r="H35" i="11" s="1"/>
  <c r="G34" i="11"/>
  <c r="E34" i="11"/>
  <c r="D34" i="11"/>
  <c r="J34" i="11" s="1"/>
  <c r="F27" i="11"/>
  <c r="F26" i="11"/>
  <c r="F25" i="11"/>
  <c r="F24" i="11"/>
  <c r="F23" i="11"/>
  <c r="F33" i="11" l="1"/>
  <c r="F30" i="11"/>
  <c r="F31" i="11"/>
  <c r="F32" i="11"/>
  <c r="J40" i="11"/>
  <c r="I51" i="11"/>
  <c r="I40" i="11"/>
  <c r="H42" i="11"/>
  <c r="I43" i="11"/>
  <c r="I34" i="11"/>
  <c r="J43" i="11"/>
  <c r="H48" i="11"/>
  <c r="J36" i="11"/>
  <c r="H49" i="11"/>
  <c r="I42" i="11"/>
  <c r="I48" i="11"/>
  <c r="J51" i="11"/>
  <c r="I35" i="11"/>
  <c r="H41" i="11"/>
  <c r="J35" i="11"/>
  <c r="I41" i="11"/>
  <c r="J44" i="11"/>
  <c r="H50" i="11"/>
  <c r="H34" i="11"/>
  <c r="I50" i="11"/>
  <c r="J52" i="11"/>
  <c r="I36" i="11"/>
  <c r="J37" i="11"/>
  <c r="I44" i="11"/>
  <c r="J45" i="11"/>
  <c r="I52" i="11"/>
  <c r="J53" i="11"/>
  <c r="I49" i="11"/>
  <c r="H39" i="11"/>
  <c r="H47" i="11"/>
  <c r="H55" i="11"/>
  <c r="H38" i="11"/>
  <c r="I39" i="11"/>
  <c r="H46" i="11"/>
  <c r="I47" i="11"/>
  <c r="H54" i="11"/>
  <c r="I55" i="11"/>
  <c r="H37" i="11"/>
  <c r="I38" i="11"/>
  <c r="H45" i="11"/>
  <c r="I46" i="11"/>
  <c r="H53" i="11"/>
  <c r="I54" i="11"/>
  <c r="K43" i="11" l="1"/>
  <c r="M43" i="11" s="1"/>
  <c r="K40" i="11"/>
  <c r="M40" i="11" s="1"/>
  <c r="K38" i="11"/>
  <c r="M38" i="11" s="1"/>
  <c r="K44" i="11"/>
  <c r="M44" i="11" s="1"/>
  <c r="K53" i="11"/>
  <c r="M53" i="11" s="1"/>
  <c r="K35" i="11"/>
  <c r="M35" i="11" s="1"/>
  <c r="K49" i="11"/>
  <c r="M49" i="11" s="1"/>
  <c r="K34" i="11"/>
  <c r="M34" i="11" s="1"/>
  <c r="K48" i="11"/>
  <c r="M48" i="11" s="1"/>
  <c r="K51" i="11"/>
  <c r="M51" i="11" s="1"/>
  <c r="K52" i="11"/>
  <c r="M52" i="11" s="1"/>
  <c r="K42" i="11"/>
  <c r="M42" i="11" s="1"/>
  <c r="K36" i="11"/>
  <c r="M36" i="11" s="1"/>
  <c r="K50" i="11"/>
  <c r="M50" i="11" s="1"/>
  <c r="K41" i="11"/>
  <c r="M41" i="11" s="1"/>
  <c r="K55" i="11"/>
  <c r="M55" i="11" s="1"/>
  <c r="K37" i="11"/>
  <c r="M37" i="11" s="1"/>
  <c r="K46" i="11"/>
  <c r="M46" i="11" s="1"/>
  <c r="K47" i="11"/>
  <c r="M47" i="11" s="1"/>
  <c r="K45" i="11"/>
  <c r="M45" i="11" s="1"/>
  <c r="K54" i="11"/>
  <c r="M54" i="11" s="1"/>
  <c r="K39" i="11"/>
  <c r="M39" i="11" s="1"/>
  <c r="D14" i="59" l="1"/>
  <c r="D4" i="77" s="1"/>
  <c r="C3" i="75"/>
  <c r="E33" i="11"/>
  <c r="D33" i="11"/>
  <c r="E32" i="11"/>
  <c r="D32" i="11"/>
  <c r="E31" i="11"/>
  <c r="D31" i="11"/>
  <c r="H31" i="11" s="1"/>
  <c r="E30" i="11"/>
  <c r="D30" i="11"/>
  <c r="J30" i="11" s="1"/>
  <c r="G29" i="11"/>
  <c r="E29" i="11"/>
  <c r="D29" i="11"/>
  <c r="J29" i="11" s="1"/>
  <c r="E21" i="11"/>
  <c r="D21" i="11"/>
  <c r="G19" i="11"/>
  <c r="E19" i="11"/>
  <c r="D19" i="11"/>
  <c r="J19" i="11" s="1"/>
  <c r="G18" i="11"/>
  <c r="E18" i="11"/>
  <c r="D18" i="11"/>
  <c r="J18" i="11" s="1"/>
  <c r="E17" i="11"/>
  <c r="D17" i="11"/>
  <c r="G15" i="11"/>
  <c r="E15" i="11"/>
  <c r="D15" i="11"/>
  <c r="J15" i="11" s="1"/>
  <c r="A15" i="11"/>
  <c r="D22" i="59"/>
  <c r="D19" i="59"/>
  <c r="D18" i="59"/>
  <c r="H21" i="11" l="1"/>
  <c r="I21" i="11"/>
  <c r="J21" i="11"/>
  <c r="H19" i="11"/>
  <c r="H29" i="11"/>
  <c r="I29" i="11"/>
  <c r="J32" i="11"/>
  <c r="J31" i="11"/>
  <c r="H30" i="11"/>
  <c r="I19" i="11"/>
  <c r="H33" i="11"/>
  <c r="H32" i="11"/>
  <c r="I33" i="11"/>
  <c r="H15" i="11"/>
  <c r="I18" i="11"/>
  <c r="I15" i="11"/>
  <c r="H18" i="11"/>
  <c r="I17" i="11"/>
  <c r="H17" i="11"/>
  <c r="D21" i="59"/>
  <c r="D25" i="11"/>
  <c r="H25" i="11" s="1"/>
  <c r="E25" i="11"/>
  <c r="D26" i="11"/>
  <c r="E26" i="11"/>
  <c r="K21" i="11" l="1"/>
  <c r="M21" i="11" s="1"/>
  <c r="K19" i="11"/>
  <c r="M19" i="11" s="1"/>
  <c r="K29" i="11"/>
  <c r="H26" i="11"/>
  <c r="K18" i="11"/>
  <c r="M18" i="11" s="1"/>
  <c r="K15" i="11"/>
  <c r="M15" i="11" s="1"/>
  <c r="J26" i="11"/>
  <c r="J25" i="11"/>
  <c r="D59" i="11"/>
  <c r="E59" i="11"/>
  <c r="D60" i="11"/>
  <c r="E60" i="11"/>
  <c r="H73" i="11"/>
  <c r="D22" i="11"/>
  <c r="E22" i="11"/>
  <c r="D23" i="11"/>
  <c r="J23" i="11" s="1"/>
  <c r="E23" i="11"/>
  <c r="D28" i="11"/>
  <c r="E28" i="11"/>
  <c r="G28" i="11"/>
  <c r="D56" i="11"/>
  <c r="J56" i="11" s="1"/>
  <c r="E56" i="11"/>
  <c r="H22" i="11" l="1"/>
  <c r="I22" i="11"/>
  <c r="J22" i="11"/>
  <c r="H60" i="11"/>
  <c r="I60" i="11"/>
  <c r="J60" i="11"/>
  <c r="H59" i="11"/>
  <c r="I59" i="11"/>
  <c r="J59" i="11"/>
  <c r="J28" i="11"/>
  <c r="J73" i="11"/>
  <c r="H23" i="11"/>
  <c r="I28" i="11"/>
  <c r="H56" i="11"/>
  <c r="H28" i="11"/>
  <c r="K22" i="11" l="1"/>
  <c r="K60" i="11"/>
  <c r="K59" i="11"/>
  <c r="M59" i="11"/>
  <c r="K28" i="11"/>
  <c r="M28" i="11" s="1"/>
  <c r="D24" i="11" l="1"/>
  <c r="E24" i="11"/>
  <c r="D74" i="11"/>
  <c r="H74" i="11" s="1"/>
  <c r="E74" i="11"/>
  <c r="G74" i="11"/>
  <c r="D27" i="11"/>
  <c r="H27" i="11" s="1"/>
  <c r="E27" i="11"/>
  <c r="D75" i="11"/>
  <c r="J75" i="11" s="1"/>
  <c r="E75" i="11"/>
  <c r="G75" i="11"/>
  <c r="I58" i="11" l="1"/>
  <c r="H58" i="11"/>
  <c r="H24" i="11"/>
  <c r="I74" i="11"/>
  <c r="J74" i="11"/>
  <c r="I27" i="11"/>
  <c r="H75" i="11"/>
  <c r="I75" i="11"/>
  <c r="D14" i="11"/>
  <c r="J14" i="11" s="1"/>
  <c r="E14" i="11"/>
  <c r="G14" i="11"/>
  <c r="K19" i="60"/>
  <c r="D19" i="60"/>
  <c r="K74" i="11" l="1"/>
  <c r="M74" i="11" s="1"/>
  <c r="K75" i="11"/>
  <c r="M75" i="11" s="1"/>
  <c r="H14" i="11"/>
  <c r="I14" i="11"/>
  <c r="K14" i="11" l="1"/>
  <c r="M14" i="11" s="1"/>
  <c r="I1489" i="10" l="1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76" i="11" l="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6" i="11"/>
  <c r="D77" i="11"/>
  <c r="E77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80" i="10" s="1"/>
  <c r="N8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L141" i="10" s="1"/>
  <c r="N141" i="10" s="1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 s="1"/>
  <c r="J241" i="10"/>
  <c r="L241" i="10" s="1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M363" i="10" s="1"/>
  <c r="N363" i="10" s="1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M601" i="10" s="1"/>
  <c r="N601" i="10" s="1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N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N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N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N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N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N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N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N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N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N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N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N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N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N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N820" i="10" s="1"/>
  <c r="K820" i="10"/>
  <c r="M820" i="10" s="1"/>
  <c r="O820" i="10"/>
  <c r="P820" i="10" s="1"/>
  <c r="J821" i="10"/>
  <c r="L821" i="10" s="1"/>
  <c r="K821" i="10"/>
  <c r="M821" i="10" s="1"/>
  <c r="N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N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N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N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N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N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N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N972" i="10" s="1"/>
  <c r="K972" i="10"/>
  <c r="M972" i="10" s="1"/>
  <c r="O972" i="10"/>
  <c r="P972" i="10" s="1"/>
  <c r="J973" i="10"/>
  <c r="L973" i="10" s="1"/>
  <c r="K973" i="10"/>
  <c r="M973" i="10" s="1"/>
  <c r="N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 s="1"/>
  <c r="O992" i="10"/>
  <c r="P992" i="10" s="1"/>
  <c r="J993" i="10"/>
  <c r="L993" i="10" s="1"/>
  <c r="K993" i="10"/>
  <c r="M993" i="10" s="1"/>
  <c r="N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 s="1"/>
  <c r="O996" i="10"/>
  <c r="P996" i="10" s="1"/>
  <c r="J997" i="10"/>
  <c r="L997" i="10" s="1"/>
  <c r="K997" i="10"/>
  <c r="M997" i="10" s="1"/>
  <c r="N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N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N1004" i="10" s="1"/>
  <c r="K1004" i="10"/>
  <c r="M1004" i="10" s="1"/>
  <c r="O1004" i="10"/>
  <c r="P1004" i="10" s="1"/>
  <c r="J1005" i="10"/>
  <c r="L1005" i="10" s="1"/>
  <c r="K1005" i="10"/>
  <c r="M1005" i="10" s="1"/>
  <c r="N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N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N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/>
  <c r="N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N1118" i="10" s="1"/>
  <c r="O1118" i="10"/>
  <c r="P1118" i="10" s="1"/>
  <c r="J1119" i="10"/>
  <c r="L1119" i="10" s="1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N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N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 s="1"/>
  <c r="O1142" i="10"/>
  <c r="P1142" i="10" s="1"/>
  <c r="J1143" i="10"/>
  <c r="L1143" i="10" s="1"/>
  <c r="K1143" i="10"/>
  <c r="M1143" i="10" s="1"/>
  <c r="N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N1177" i="10" s="1"/>
  <c r="O1177" i="10"/>
  <c r="P1177" i="10" s="1"/>
  <c r="J1178" i="10"/>
  <c r="L1178" i="10" s="1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N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 s="1"/>
  <c r="O1216" i="10"/>
  <c r="P1216" i="10" s="1"/>
  <c r="J1217" i="10"/>
  <c r="L1217" i="10" s="1"/>
  <c r="K1217" i="10"/>
  <c r="M1217" i="10" s="1"/>
  <c r="N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N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N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 s="1"/>
  <c r="N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N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N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N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N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N1454" i="10" s="1"/>
  <c r="O1454" i="10"/>
  <c r="P1454" i="10" s="1"/>
  <c r="J1455" i="10"/>
  <c r="L1455" i="10" s="1"/>
  <c r="K1455" i="10"/>
  <c r="O1455" i="10"/>
  <c r="P1455" i="10" s="1"/>
  <c r="J1456" i="10"/>
  <c r="L1456" i="10" s="1"/>
  <c r="K1456" i="10"/>
  <c r="O1456" i="10"/>
  <c r="P1456" i="10" s="1"/>
  <c r="J1457" i="10"/>
  <c r="L1457" i="10" s="1"/>
  <c r="K1457" i="10"/>
  <c r="M1457" i="10" s="1"/>
  <c r="O1457" i="10"/>
  <c r="P1457" i="10" s="1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K14" i="29" s="1"/>
  <c r="H14" i="29"/>
  <c r="G14" i="29"/>
  <c r="G15" i="29"/>
  <c r="C2" i="29"/>
  <c r="N1467" i="10"/>
  <c r="N1466" i="10"/>
  <c r="G77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M60" i="11" s="1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27" i="11" s="1"/>
  <c r="J27" i="11" s="1"/>
  <c r="K27" i="11" s="1"/>
  <c r="M27" i="11" s="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G33" i="11" s="1"/>
  <c r="J33" i="11" s="1"/>
  <c r="K33" i="11" s="1"/>
  <c r="M33" i="11" s="1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58" i="11" s="1"/>
  <c r="J58" i="11" s="1"/>
  <c r="K58" i="11" s="1"/>
  <c r="M58" i="11" s="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57" i="11" s="1"/>
  <c r="H57" i="11" s="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76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G16" i="11" s="1"/>
  <c r="I16" i="11" s="1"/>
  <c r="K16" i="11" s="1"/>
  <c r="M16" i="11" s="1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4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N1322" i="10"/>
  <c r="L86" i="10"/>
  <c r="N86" i="10" s="1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 s="1"/>
  <c r="M98" i="10"/>
  <c r="M609" i="10"/>
  <c r="N609" i="10" s="1"/>
  <c r="M183" i="10"/>
  <c r="M99" i="10"/>
  <c r="M317" i="10"/>
  <c r="N317" i="10" s="1"/>
  <c r="M642" i="10"/>
  <c r="N642" i="10" s="1"/>
  <c r="M193" i="10"/>
  <c r="M106" i="10"/>
  <c r="N106" i="10" s="1"/>
  <c r="M262" i="10"/>
  <c r="M102" i="10"/>
  <c r="M1425" i="10"/>
  <c r="M1434" i="10"/>
  <c r="N1434" i="10" s="1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M108" i="10"/>
  <c r="M1421" i="10"/>
  <c r="M104" i="10"/>
  <c r="M97" i="10"/>
  <c r="M559" i="10"/>
  <c r="N559" i="10" s="1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N1425" i="10" l="1"/>
  <c r="L120" i="10"/>
  <c r="N120" i="10" s="1"/>
  <c r="N1421" i="10"/>
  <c r="N1231" i="10"/>
  <c r="N1116" i="10"/>
  <c r="N1104" i="10"/>
  <c r="N1046" i="10"/>
  <c r="N1043" i="10"/>
  <c r="N934" i="10"/>
  <c r="N198" i="10"/>
  <c r="L217" i="10"/>
  <c r="N217" i="10" s="1"/>
  <c r="L229" i="10"/>
  <c r="N229" i="10" s="1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23" i="11"/>
  <c r="I23" i="11" s="1"/>
  <c r="K23" i="11" s="1"/>
  <c r="M23" i="11" s="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26" i="11"/>
  <c r="I26" i="11" s="1"/>
  <c r="K26" i="11" s="1"/>
  <c r="M26" i="11" s="1"/>
  <c r="G31" i="11"/>
  <c r="I31" i="11" s="1"/>
  <c r="K31" i="11" s="1"/>
  <c r="M31" i="11" s="1"/>
  <c r="G24" i="11"/>
  <c r="I24" i="11" s="1"/>
  <c r="G17" i="11"/>
  <c r="J17" i="11" s="1"/>
  <c r="K17" i="11" s="1"/>
  <c r="M17" i="11" s="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G63" i="11"/>
  <c r="H63" i="11" s="1"/>
  <c r="K63" i="11" s="1"/>
  <c r="G64" i="11"/>
  <c r="H64" i="11" s="1"/>
  <c r="G73" i="11"/>
  <c r="I73" i="11" s="1"/>
  <c r="K73" i="11" s="1"/>
  <c r="M73" i="11" s="1"/>
  <c r="L248" i="10"/>
  <c r="L226" i="10"/>
  <c r="N226" i="10" s="1"/>
  <c r="L218" i="10"/>
  <c r="N218" i="10" s="1"/>
  <c r="G22" i="11"/>
  <c r="G25" i="11"/>
  <c r="I25" i="11" s="1"/>
  <c r="K25" i="11" s="1"/>
  <c r="M25" i="11" s="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 s="1"/>
  <c r="G30" i="11"/>
  <c r="I30" i="11" s="1"/>
  <c r="K30" i="11" s="1"/>
  <c r="M30" i="11" s="1"/>
  <c r="G32" i="11"/>
  <c r="I32" i="11" s="1"/>
  <c r="K32" i="11" s="1"/>
  <c r="M32" i="11" s="1"/>
  <c r="N1315" i="10"/>
  <c r="N986" i="10"/>
  <c r="J24" i="11"/>
  <c r="J64" i="11"/>
  <c r="J57" i="11"/>
  <c r="I57" i="11"/>
  <c r="N1238" i="10"/>
  <c r="N1122" i="10"/>
  <c r="G65" i="11"/>
  <c r="H65" i="11" s="1"/>
  <c r="L135" i="10"/>
  <c r="N135" i="10" s="1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 s="1"/>
  <c r="L123" i="10"/>
  <c r="N123" i="10" s="1"/>
  <c r="L239" i="10"/>
  <c r="N1402" i="10"/>
  <c r="N1363" i="10"/>
  <c r="N1280" i="10"/>
  <c r="N1237" i="10"/>
  <c r="N1232" i="10"/>
  <c r="N903" i="10"/>
  <c r="N639" i="10"/>
  <c r="L186" i="10"/>
  <c r="N186" i="10" s="1"/>
  <c r="N1337" i="10"/>
  <c r="N1282" i="10"/>
  <c r="N1270" i="10"/>
  <c r="N1105" i="10"/>
  <c r="L146" i="10"/>
  <c r="L90" i="10"/>
  <c r="N90" i="10" s="1"/>
  <c r="L127" i="10"/>
  <c r="N108" i="10"/>
  <c r="G56" i="11"/>
  <c r="I56" i="11" s="1"/>
  <c r="K56" i="11" s="1"/>
  <c r="M56" i="11" s="1"/>
  <c r="L234" i="10"/>
  <c r="N1422" i="10"/>
  <c r="N709" i="10"/>
  <c r="N662" i="10"/>
  <c r="N600" i="10"/>
  <c r="L230" i="10"/>
  <c r="N230" i="10" s="1"/>
  <c r="L137" i="10"/>
  <c r="N137" i="10" s="1"/>
  <c r="N1406" i="10"/>
  <c r="N1364" i="10"/>
  <c r="N1316" i="10"/>
  <c r="N1306" i="10"/>
  <c r="N813" i="10"/>
  <c r="N688" i="10"/>
  <c r="H77" i="11"/>
  <c r="J77" i="11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 s="1"/>
  <c r="L119" i="10"/>
  <c r="N119" i="10" s="1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 s="1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2" i="10"/>
  <c r="N1184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 s="1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 s="1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F285" i="29" s="1"/>
  <c r="C280" i="29"/>
  <c r="D280" i="29" s="1"/>
  <c r="F280" i="29" s="1"/>
  <c r="C245" i="29"/>
  <c r="D245" i="29" s="1"/>
  <c r="F245" i="29" s="1"/>
  <c r="C309" i="29"/>
  <c r="D309" i="29" s="1"/>
  <c r="F309" i="29" s="1"/>
  <c r="C267" i="29"/>
  <c r="D267" i="29" s="1"/>
  <c r="F267" i="29" s="1"/>
  <c r="C243" i="29"/>
  <c r="D243" i="29" s="1"/>
  <c r="F243" i="29" s="1"/>
  <c r="C234" i="29"/>
  <c r="D234" i="29" s="1"/>
  <c r="E234" i="29" s="1"/>
  <c r="C315" i="29"/>
  <c r="D315" i="29" s="1"/>
  <c r="E315" i="29" s="1"/>
  <c r="N9" i="10"/>
  <c r="C228" i="29"/>
  <c r="D228" i="29" s="1"/>
  <c r="E228" i="29" s="1"/>
  <c r="C252" i="29"/>
  <c r="D252" i="29" s="1"/>
  <c r="F252" i="29" s="1"/>
  <c r="C317" i="29"/>
  <c r="D317" i="29" s="1"/>
  <c r="E317" i="29" s="1"/>
  <c r="C270" i="29"/>
  <c r="D270" i="29" s="1"/>
  <c r="E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4" i="10"/>
  <c r="L147" i="10"/>
  <c r="N147" i="10" s="1"/>
  <c r="P204" i="10"/>
  <c r="L188" i="10"/>
  <c r="N188" i="10" s="1"/>
  <c r="L183" i="10"/>
  <c r="N183" i="10" s="1"/>
  <c r="B31" i="54"/>
  <c r="B32" i="54"/>
  <c r="D8" i="54"/>
  <c r="C9" i="54"/>
  <c r="J36" i="39"/>
  <c r="I36" i="39"/>
  <c r="H36" i="39"/>
  <c r="I77" i="11"/>
  <c r="I64" i="11" l="1"/>
  <c r="C324" i="29"/>
  <c r="D324" i="29" s="1"/>
  <c r="E324" i="29" s="1"/>
  <c r="C293" i="29"/>
  <c r="D293" i="29" s="1"/>
  <c r="E293" i="29" s="1"/>
  <c r="C235" i="29"/>
  <c r="D235" i="29" s="1"/>
  <c r="E235" i="29" s="1"/>
  <c r="C275" i="29"/>
  <c r="D275" i="29" s="1"/>
  <c r="E275" i="29" s="1"/>
  <c r="C239" i="29"/>
  <c r="D239" i="29" s="1"/>
  <c r="E239" i="29" s="1"/>
  <c r="C286" i="29"/>
  <c r="D286" i="29" s="1"/>
  <c r="E286" i="29" s="1"/>
  <c r="C318" i="29"/>
  <c r="D318" i="29" s="1"/>
  <c r="E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290" i="29"/>
  <c r="D290" i="29" s="1"/>
  <c r="E290" i="29" s="1"/>
  <c r="C265" i="29"/>
  <c r="D265" i="29" s="1"/>
  <c r="F265" i="29" s="1"/>
  <c r="C283" i="29"/>
  <c r="D283" i="29" s="1"/>
  <c r="E283" i="29" s="1"/>
  <c r="C273" i="29"/>
  <c r="D273" i="29" s="1"/>
  <c r="F273" i="29" s="1"/>
  <c r="C271" i="29"/>
  <c r="D271" i="29" s="1"/>
  <c r="E271" i="29" s="1"/>
  <c r="C229" i="29"/>
  <c r="D229" i="29" s="1"/>
  <c r="E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E287" i="29" s="1"/>
  <c r="C261" i="29"/>
  <c r="D261" i="29" s="1"/>
  <c r="F261" i="29" s="1"/>
  <c r="C296" i="29"/>
  <c r="D296" i="29" s="1"/>
  <c r="E296" i="29" s="1"/>
  <c r="C314" i="29"/>
  <c r="D314" i="29" s="1"/>
  <c r="E314" i="29" s="1"/>
  <c r="C253" i="29"/>
  <c r="D253" i="29" s="1"/>
  <c r="E253" i="29" s="1"/>
  <c r="C282" i="29"/>
  <c r="D282" i="29" s="1"/>
  <c r="F282" i="29" s="1"/>
  <c r="C227" i="29"/>
  <c r="D227" i="29" s="1"/>
  <c r="F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K64" i="11"/>
  <c r="M64" i="11" s="1"/>
  <c r="I65" i="11"/>
  <c r="J65" i="11"/>
  <c r="K24" i="11"/>
  <c r="M24" i="11" s="1"/>
  <c r="K57" i="11"/>
  <c r="M57" i="11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80" i="29"/>
  <c r="E267" i="29"/>
  <c r="E243" i="29"/>
  <c r="F234" i="29"/>
  <c r="E245" i="29"/>
  <c r="F274" i="29"/>
  <c r="E285" i="29"/>
  <c r="F317" i="29"/>
  <c r="F270" i="29"/>
  <c r="F263" i="29"/>
  <c r="E309" i="29"/>
  <c r="E25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280" i="10" s="1"/>
  <c r="N280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77" i="11"/>
  <c r="F286" i="29" l="1"/>
  <c r="F235" i="29"/>
  <c r="F229" i="29"/>
  <c r="E265" i="29"/>
  <c r="F278" i="29"/>
  <c r="F287" i="29"/>
  <c r="F293" i="29"/>
  <c r="E236" i="29"/>
  <c r="F314" i="29"/>
  <c r="F271" i="29"/>
  <c r="F246" i="29"/>
  <c r="F240" i="29"/>
  <c r="E260" i="29"/>
  <c r="E299" i="29"/>
  <c r="E321" i="29"/>
  <c r="F308" i="29"/>
  <c r="F249" i="29"/>
  <c r="F253" i="29"/>
  <c r="E311" i="29"/>
  <c r="E227" i="29"/>
  <c r="E273" i="29"/>
  <c r="E277" i="29"/>
  <c r="F232" i="29"/>
  <c r="F316" i="29"/>
  <c r="F305" i="29"/>
  <c r="F275" i="29"/>
  <c r="F304" i="29"/>
  <c r="E261" i="29"/>
  <c r="E247" i="29"/>
  <c r="F283" i="29"/>
  <c r="E282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M66" i="11"/>
  <c r="F279" i="29"/>
  <c r="K65" i="11"/>
  <c r="M65" i="11" s="1"/>
  <c r="E300" i="29"/>
  <c r="J76" i="11"/>
  <c r="I76" i="11"/>
  <c r="I79" i="11" s="1"/>
  <c r="I80" i="11" s="1"/>
  <c r="F224" i="29"/>
  <c r="H76" i="11"/>
  <c r="H79" i="11" s="1"/>
  <c r="H80" i="11" s="1"/>
  <c r="F292" i="29"/>
  <c r="F57" i="39"/>
  <c r="F61" i="39"/>
  <c r="A11" i="54"/>
  <c r="O10" i="54"/>
  <c r="F322" i="29"/>
  <c r="F343" i="29"/>
  <c r="M38" i="10"/>
  <c r="N38" i="10" s="1"/>
  <c r="M272" i="10"/>
  <c r="N272" i="10" s="1"/>
  <c r="M205" i="10"/>
  <c r="N205" i="10" s="1"/>
  <c r="M180" i="10"/>
  <c r="N180" i="10" s="1"/>
  <c r="M238" i="10"/>
  <c r="N238" i="10" s="1"/>
  <c r="M260" i="10"/>
  <c r="N260" i="10" s="1"/>
  <c r="M185" i="10"/>
  <c r="N185" i="10" s="1"/>
  <c r="M250" i="10"/>
  <c r="N250" i="10" s="1"/>
  <c r="M236" i="10"/>
  <c r="N236" i="10" s="1"/>
  <c r="M244" i="10"/>
  <c r="N244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5" i="10"/>
  <c r="N235" i="10" s="1"/>
  <c r="M181" i="10"/>
  <c r="N181" i="10" s="1"/>
  <c r="M204" i="10"/>
  <c r="N204" i="10" s="1"/>
  <c r="M206" i="10"/>
  <c r="N206" i="10" s="1"/>
  <c r="M624" i="10"/>
  <c r="N624" i="10" s="1"/>
  <c r="M628" i="10"/>
  <c r="N628" i="10" s="1"/>
  <c r="M645" i="10"/>
  <c r="N645" i="10" s="1"/>
  <c r="M184" i="10"/>
  <c r="N184" i="10" s="1"/>
  <c r="M243" i="10"/>
  <c r="N243" i="10" s="1"/>
  <c r="M595" i="10"/>
  <c r="N595" i="10" s="1"/>
  <c r="M191" i="10"/>
  <c r="N191" i="10" s="1"/>
  <c r="M354" i="10"/>
  <c r="N354" i="10" s="1"/>
  <c r="M271" i="10"/>
  <c r="N271" i="10" s="1"/>
  <c r="M622" i="10"/>
  <c r="N622" i="10" s="1"/>
  <c r="M237" i="10"/>
  <c r="N237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39" i="10"/>
  <c r="N23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128" i="10"/>
  <c r="N128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1456" i="10"/>
  <c r="N1456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148" i="10"/>
  <c r="N148" i="10" s="1"/>
  <c r="M345" i="10"/>
  <c r="N345" i="10" s="1"/>
  <c r="M436" i="10"/>
  <c r="N436" i="10" s="1"/>
  <c r="M177" i="10"/>
  <c r="N177" i="10" s="1"/>
  <c r="M251" i="10"/>
  <c r="N251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248" i="10"/>
  <c r="N24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127" i="10"/>
  <c r="N127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126" i="10"/>
  <c r="N126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150" i="10"/>
  <c r="N150" i="10" s="1"/>
  <c r="M567" i="10"/>
  <c r="N567" i="10" s="1"/>
  <c r="M558" i="10"/>
  <c r="N558" i="10" s="1"/>
  <c r="M263" i="10"/>
  <c r="N263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203" i="10"/>
  <c r="N203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190" i="10"/>
  <c r="N190" i="10" s="1"/>
  <c r="M489" i="10"/>
  <c r="N489" i="10" s="1"/>
  <c r="M234" i="10"/>
  <c r="N234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151" i="10"/>
  <c r="N151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329" i="10"/>
  <c r="N329" i="10" s="1"/>
  <c r="M606" i="10"/>
  <c r="N606" i="10" s="1"/>
  <c r="M264" i="10"/>
  <c r="N264" i="10" s="1"/>
  <c r="M397" i="10"/>
  <c r="N397" i="10" s="1"/>
  <c r="M333" i="10"/>
  <c r="N333" i="10" s="1"/>
  <c r="M156" i="10"/>
  <c r="N156" i="10" s="1"/>
  <c r="M460" i="10"/>
  <c r="N460" i="10" s="1"/>
  <c r="M304" i="10"/>
  <c r="N304" i="10" s="1"/>
  <c r="M517" i="10"/>
  <c r="N517" i="10" s="1"/>
  <c r="M149" i="10"/>
  <c r="N149" i="10" s="1"/>
  <c r="M541" i="10"/>
  <c r="N541" i="10" s="1"/>
  <c r="M604" i="10"/>
  <c r="N604" i="10" s="1"/>
  <c r="M427" i="10"/>
  <c r="N427" i="10" s="1"/>
  <c r="M351" i="10"/>
  <c r="N351" i="10" s="1"/>
  <c r="M418" i="10"/>
  <c r="N418" i="10" s="1"/>
  <c r="M17" i="10"/>
  <c r="N17" i="10" s="1"/>
  <c r="M344" i="10"/>
  <c r="N344" i="10" s="1"/>
  <c r="M343" i="10"/>
  <c r="N343" i="10" s="1"/>
  <c r="M475" i="10"/>
  <c r="N475" i="10" s="1"/>
  <c r="M445" i="10"/>
  <c r="N445" i="10" s="1"/>
  <c r="M371" i="10"/>
  <c r="N371" i="10" s="1"/>
  <c r="M437" i="10"/>
  <c r="N437" i="10" s="1"/>
  <c r="M276" i="10"/>
  <c r="N276" i="10" s="1"/>
  <c r="M398" i="10"/>
  <c r="N398" i="10" s="1"/>
  <c r="M450" i="10"/>
  <c r="N450" i="10" s="1"/>
  <c r="M321" i="10"/>
  <c r="N321" i="10" s="1"/>
  <c r="M529" i="10"/>
  <c r="N529" i="10" s="1"/>
  <c r="M314" i="10"/>
  <c r="N314" i="10" s="1"/>
  <c r="M515" i="10"/>
  <c r="N515" i="10" s="1"/>
  <c r="M390" i="10"/>
  <c r="N390" i="10" s="1"/>
  <c r="M293" i="10"/>
  <c r="N293" i="10" s="1"/>
  <c r="M322" i="10"/>
  <c r="N322" i="10" s="1"/>
  <c r="M584" i="10"/>
  <c r="N584" i="10" s="1"/>
  <c r="M613" i="10"/>
  <c r="N613" i="10" s="1"/>
  <c r="M173" i="10"/>
  <c r="N173" i="10" s="1"/>
  <c r="M157" i="10"/>
  <c r="N157" i="10" s="1"/>
  <c r="M564" i="10"/>
  <c r="N564" i="10" s="1"/>
  <c r="M315" i="10"/>
  <c r="N315" i="10" s="1"/>
  <c r="M421" i="10"/>
  <c r="N421" i="10" s="1"/>
  <c r="M435" i="10"/>
  <c r="N435" i="10" s="1"/>
  <c r="M425" i="10"/>
  <c r="N425" i="10" s="1"/>
  <c r="M32" i="10"/>
  <c r="N32" i="10" s="1"/>
  <c r="M499" i="10"/>
  <c r="N499" i="10" s="1"/>
  <c r="M361" i="10"/>
  <c r="N361" i="10" s="1"/>
  <c r="M605" i="10"/>
  <c r="N605" i="10" s="1"/>
  <c r="M415" i="10"/>
  <c r="N415" i="10" s="1"/>
  <c r="M362" i="10"/>
  <c r="N362" i="10" s="1"/>
  <c r="M295" i="10"/>
  <c r="N295" i="10" s="1"/>
  <c r="M484" i="10"/>
  <c r="N484" i="10" s="1"/>
  <c r="M335" i="10"/>
  <c r="N335" i="10" s="1"/>
  <c r="M491" i="10"/>
  <c r="N491" i="10" s="1"/>
  <c r="M482" i="10"/>
  <c r="N482" i="10" s="1"/>
  <c r="M508" i="10"/>
  <c r="N508" i="10" s="1"/>
  <c r="M283" i="10"/>
  <c r="N283" i="10" s="1"/>
  <c r="M592" i="10"/>
  <c r="N592" i="10" s="1"/>
  <c r="M153" i="10"/>
  <c r="N153" i="10" s="1"/>
  <c r="M163" i="10"/>
  <c r="N163" i="10" s="1"/>
  <c r="M352" i="10"/>
  <c r="N352" i="10" s="1"/>
  <c r="M366" i="10"/>
  <c r="N366" i="10" s="1"/>
  <c r="M320" i="10"/>
  <c r="N320" i="10" s="1"/>
  <c r="M602" i="10"/>
  <c r="N602" i="10" s="1"/>
  <c r="M287" i="10"/>
  <c r="N287" i="10" s="1"/>
  <c r="M629" i="10"/>
  <c r="N629" i="10" s="1"/>
  <c r="M536" i="10"/>
  <c r="N536" i="10" s="1"/>
  <c r="M434" i="10"/>
  <c r="N434" i="10" s="1"/>
  <c r="M630" i="10"/>
  <c r="N630" i="10" s="1"/>
  <c r="M557" i="10"/>
  <c r="N557" i="10" s="1"/>
  <c r="M457" i="10"/>
  <c r="N457" i="10" s="1"/>
  <c r="M164" i="10"/>
  <c r="N164" i="10" s="1"/>
  <c r="M376" i="10"/>
  <c r="N376" i="10" s="1"/>
  <c r="M393" i="10"/>
  <c r="N393" i="10" s="1"/>
  <c r="M510" i="10"/>
  <c r="N510" i="10" s="1"/>
  <c r="M337" i="10"/>
  <c r="N337" i="10" s="1"/>
  <c r="M289" i="10"/>
  <c r="N289" i="10" s="1"/>
  <c r="M302" i="10"/>
  <c r="N302" i="10" s="1"/>
  <c r="M420" i="10"/>
  <c r="N420" i="10" s="1"/>
  <c r="M266" i="10"/>
  <c r="N266" i="10" s="1"/>
  <c r="M152" i="10"/>
  <c r="N152" i="10" s="1"/>
  <c r="M550" i="10"/>
  <c r="N550" i="10" s="1"/>
  <c r="M455" i="10"/>
  <c r="N455" i="10" s="1"/>
  <c r="M514" i="10"/>
  <c r="N514" i="10" s="1"/>
  <c r="M379" i="10"/>
  <c r="N379" i="10" s="1"/>
  <c r="M440" i="10"/>
  <c r="N440" i="10" s="1"/>
  <c r="M301" i="10"/>
  <c r="N301" i="10" s="1"/>
  <c r="M281" i="10"/>
  <c r="N281" i="10" s="1"/>
  <c r="M285" i="10"/>
  <c r="N285" i="10" s="1"/>
  <c r="M175" i="10"/>
  <c r="N175" i="10" s="1"/>
  <c r="M328" i="10"/>
  <c r="N328" i="10" s="1"/>
  <c r="M513" i="10"/>
  <c r="N513" i="10" s="1"/>
  <c r="M565" i="10"/>
  <c r="N565" i="10" s="1"/>
  <c r="M556" i="10"/>
  <c r="N556" i="10" s="1"/>
  <c r="M603" i="10"/>
  <c r="N603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189" i="10"/>
  <c r="N189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202" i="10"/>
  <c r="N202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8" i="29" l="1"/>
  <c r="F244" i="29"/>
  <c r="F337" i="29"/>
  <c r="F339" i="29"/>
  <c r="F345" i="29"/>
  <c r="K76" i="11"/>
  <c r="K79" i="11" s="1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1" i="11"/>
  <c r="I81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8" i="41" l="1"/>
  <c r="F854" i="41"/>
  <c r="F734" i="41"/>
  <c r="F853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79" i="11" l="1"/>
  <c r="K80" i="11"/>
  <c r="K81" i="11" l="1"/>
  <c r="J80" i="11"/>
  <c r="J81" i="11" s="1"/>
  <c r="D10" i="59" l="1"/>
  <c r="B82" i="11"/>
  <c r="D11" i="59" l="1"/>
  <c r="F7" i="54"/>
  <c r="G27" i="54" l="1"/>
  <c r="J27" i="54" s="1"/>
  <c r="N27" i="54" s="1"/>
  <c r="P27" i="54" s="1"/>
  <c r="G13" i="54"/>
  <c r="J13" i="54" s="1"/>
  <c r="N13" i="54" s="1"/>
  <c r="P13" i="54" s="1"/>
  <c r="G29" i="54"/>
  <c r="J29" i="54" s="1"/>
  <c r="N29" i="54" s="1"/>
  <c r="P29" i="54" s="1"/>
  <c r="G28" i="54"/>
  <c r="J28" i="54" s="1"/>
  <c r="N28" i="54" s="1"/>
  <c r="P28" i="54" s="1"/>
  <c r="G30" i="54"/>
  <c r="J30" i="54" s="1"/>
  <c r="N30" i="54" s="1"/>
  <c r="P30" i="54" s="1"/>
  <c r="G31" i="54"/>
  <c r="J31" i="54" s="1"/>
  <c r="N31" i="54" s="1"/>
  <c r="P31" i="54" s="1"/>
  <c r="G19" i="54"/>
  <c r="J19" i="54" s="1"/>
  <c r="N19" i="54" s="1"/>
  <c r="P19" i="54" s="1"/>
  <c r="G8" i="54"/>
  <c r="J8" i="54" s="1"/>
  <c r="N8" i="54" s="1"/>
  <c r="P8" i="54" s="1"/>
  <c r="G32" i="54"/>
  <c r="J32" i="54" s="1"/>
  <c r="N32" i="54" s="1"/>
  <c r="P32" i="54" s="1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J23" i="54" s="1"/>
  <c r="N23" i="54" s="1"/>
  <c r="P23" i="54" s="1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J26" i="54" s="1"/>
  <c r="N26" i="54" s="1"/>
  <c r="P26" i="54" s="1"/>
  <c r="G25" i="54"/>
  <c r="J25" i="54" s="1"/>
  <c r="N25" i="54" s="1"/>
  <c r="P25" i="54" s="1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J24" i="54" s="1"/>
  <c r="N24" i="54" s="1"/>
  <c r="P24" i="54" s="1"/>
  <c r="G17" i="54"/>
  <c r="J17" i="54" s="1"/>
  <c r="N17" i="54" s="1"/>
  <c r="P17" i="54" s="1"/>
  <c r="G7" i="54"/>
  <c r="J7" i="54" s="1"/>
  <c r="N7" i="54" l="1"/>
  <c r="J33" i="54"/>
  <c r="Q36" i="54" s="1"/>
  <c r="Q34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6" i="54" s="1"/>
  <c r="T15" i="54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Q22" i="54" l="1"/>
  <c r="T22" i="54" s="1"/>
  <c r="S21" i="54"/>
  <c r="S22" i="54" l="1"/>
  <c r="Q23" i="54"/>
  <c r="T23" i="54" s="1"/>
  <c r="S23" i="54" l="1"/>
  <c r="Q24" i="54"/>
  <c r="T24" i="54" s="1"/>
  <c r="S24" i="54" l="1"/>
  <c r="Q25" i="54"/>
  <c r="T25" i="54" s="1"/>
  <c r="Q26" i="54" l="1"/>
  <c r="T26" i="54" s="1"/>
  <c r="S25" i="54"/>
  <c r="S26" i="54" l="1"/>
  <c r="Q27" i="54"/>
  <c r="T27" i="54" s="1"/>
  <c r="S27" i="54" l="1"/>
  <c r="Q28" i="54"/>
  <c r="T28" i="54" s="1"/>
  <c r="Q29" i="54" l="1"/>
  <c r="T29" i="54" s="1"/>
  <c r="S28" i="54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<sst xmlns="http://schemas.openxmlformats.org/spreadsheetml/2006/main" count="4767" uniqueCount="1638">
  <si>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</si>
  <si>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</si>
  <si>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</si>
  <si>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</si>
  <si>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</si>
  <si>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</si>
  <si>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</si>
  <si>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</si>
  <si>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</si>
  <si>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</si>
  <si>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</si>
  <si>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</si>
  <si>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</si>
  <si>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</si>
  <si>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</si>
  <si>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</si>
  <si>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</si>
  <si>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</si>
  <si>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</si>
  <si>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</si>
  <si>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</si>
  <si>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</si>
  <si>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</si>
  <si>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</si>
  <si>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</si>
  <si>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</si>
  <si>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</si>
  <si>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</si>
  <si>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</si>
  <si>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</si>
  <si>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</si>
  <si>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</si>
  <si>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</si>
  <si>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</si>
  <si>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</si>
  <si>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</si>
  <si>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</si>
  <si>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</si>
  <si>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</si>
  <si>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</si>
  <si>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</si>
  <si>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</si>
  <si>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</si>
  <si>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</si>
  <si>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</si>
  <si>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</si>
  <si>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</si>
  <si>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</si>
  <si>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</si>
  <si>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</si>
  <si>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</si>
  <si>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</si>
  <si>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</si>
  <si>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</si>
  <si>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</si>
  <si>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</si>
  <si>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</si>
  <si>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</si>
  <si>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</si>
  <si>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</si>
  <si>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</si>
  <si>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</si>
  <si>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</si>
  <si>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</si>
  <si>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</si>
  <si>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</si>
  <si>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</si>
  <si>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</si>
  <si>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</si>
  <si>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</si>
  <si>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</si>
  <si>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</si>
  <si>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</si>
  <si>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</si>
  <si>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</si>
  <si>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</si>
  <si>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</si>
  <si>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</si>
  <si>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</si>
  <si>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</si>
  <si>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</si>
  <si>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</si>
  <si>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</si>
  <si>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</si>
  <si>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</si>
  <si>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</si>
  <si>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</si>
  <si>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</si>
  <si>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</si>
  <si>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</si>
  <si>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</si>
  <si>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</si>
  <si>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</si>
  <si>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</si>
  <si>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</si>
  <si>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</si>
  <si>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</si>
  <si>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</si>
  <si>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</si>
  <si>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</si>
  <si>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</si>
  <si>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</si>
  <si>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</si>
  <si>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</si>
  <si>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</si>
  <si>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</si>
  <si>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</si>
  <si>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</si>
  <si>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</si>
  <si>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</si>
  <si>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</si>
  <si>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</si>
  <si>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</si>
  <si>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</si>
  <si>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</si>
  <si>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</si>
  <si>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</si>
  <si>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</si>
  <si>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</si>
  <si>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</si>
  <si>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</si>
  <si>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</si>
  <si>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</si>
  <si>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</si>
  <si>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</si>
  <si>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</si>
  <si>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</si>
  <si>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</si>
  <si>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</si>
  <si>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</si>
  <si>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</si>
  <si>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</si>
  <si>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</si>
  <si>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</si>
  <si>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</si>
  <si>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</si>
  <si>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</si>
  <si>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</si>
  <si>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</si>
  <si>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</si>
  <si>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</si>
  <si>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</si>
  <si>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</si>
  <si>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</si>
  <si>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</si>
  <si>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</si>
  <si>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</si>
  <si>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</si>
  <si>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</si>
  <si>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</si>
  <si>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</si>
  <si>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</si>
  <si>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</si>
  <si>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</si>
  <si>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</si>
  <si>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</si>
  <si>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</si>
  <si>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</si>
  <si>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</si>
  <si>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</si>
  <si>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</si>
  <si>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</si>
  <si>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</si>
  <si>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</si>
  <si>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</si>
  <si>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</si>
  <si>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</si>
  <si>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</si>
  <si>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</si>
  <si>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</si>
  <si>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</si>
  <si>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</si>
  <si>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</si>
  <si>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</si>
  <si>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</si>
  <si>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</si>
  <si>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</si>
  <si>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</si>
  <si>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</si>
  <si>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</si>
  <si>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</si>
  <si>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</si>
  <si>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</si>
  <si>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</si>
  <si>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</si>
  <si>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</si>
  <si>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</si>
  <si>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</si>
  <si>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</si>
  <si>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</si>
  <si>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</si>
  <si>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</si>
  <si>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</si>
  <si>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</si>
  <si>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</si>
  <si>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</si>
  <si>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</si>
  <si>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</si>
  <si>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</si>
  <si>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</si>
  <si>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</si>
  <si>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</si>
  <si>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</si>
  <si>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</si>
  <si>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</si>
  <si>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</si>
  <si>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</si>
  <si>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</si>
  <si>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</si>
  <si>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</si>
  <si>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</si>
  <si>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</si>
  <si>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</si>
  <si>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</si>
  <si>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</si>
  <si>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</si>
  <si>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</si>
  <si>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</si>
  <si>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</si>
  <si>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</si>
  <si>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</si>
  <si>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</si>
  <si>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</si>
  <si>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</si>
  <si>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</si>
  <si>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</si>
  <si>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</si>
  <si>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</si>
  <si>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</si>
  <si>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</si>
  <si>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</si>
  <si>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</si>
  <si>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</si>
  <si>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</si>
  <si>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</si>
  <si>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</si>
  <si>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</si>
  <si>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</si>
  <si>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</si>
  <si>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</si>
  <si>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</si>
  <si>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</si>
  <si>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</si>
  <si>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</si>
  <si>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</si>
  <si>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</si>
  <si>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</si>
  <si>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</si>
  <si>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</si>
  <si>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</si>
  <si>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</si>
  <si>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</si>
  <si>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</si>
  <si>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</si>
  <si>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</si>
  <si>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</si>
  <si>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</si>
  <si>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</si>
  <si>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</si>
  <si>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</si>
  <si>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</si>
  <si>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</si>
  <si>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</si>
  <si>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</si>
  <si>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</si>
  <si>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</si>
  <si>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</si>
  <si>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</si>
  <si>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</si>
  <si>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</si>
  <si>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</si>
  <si>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</si>
  <si>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</si>
  <si>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</si>
  <si>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</si>
  <si>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</si>
  <si>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</si>
  <si>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</si>
  <si>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</si>
  <si>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</si>
  <si>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</si>
  <si>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</si>
  <si>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</si>
  <si>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</si>
  <si>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</si>
  <si>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</si>
  <si>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</si>
  <si>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</si>
  <si>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</si>
  <si>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</si>
  <si>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</si>
  <si>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</si>
  <si>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</si>
  <si>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</si>
  <si>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</si>
  <si>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</si>
  <si>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</si>
  <si>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</si>
  <si>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</si>
  <si>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</si>
  <si>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</si>
  <si>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</si>
  <si>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</si>
  <si>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</si>
  <si>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</si>
  <si>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</si>
  <si>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</si>
  <si>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</si>
  <si>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</si>
  <si>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</si>
  <si>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</si>
  <si>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</si>
  <si>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</si>
  <si>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</si>
  <si>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</si>
  <si>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</si>
  <si>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</si>
  <si>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</si>
  <si>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</si>
  <si>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</si>
  <si>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</si>
  <si>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</si>
  <si>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</si>
  <si>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</si>
  <si>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</si>
  <si>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</si>
  <si>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</si>
  <si>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</si>
  <si>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</si>
  <si>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</si>
  <si>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</si>
  <si>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</si>
  <si>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</si>
  <si>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</si>
  <si>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</si>
  <si>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</si>
  <si>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</si>
  <si>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</si>
  <si>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</si>
  <si>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</si>
  <si>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</si>
  <si>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</si>
  <si>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</si>
  <si>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</si>
  <si>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</si>
  <si>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</si>
  <si>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</si>
  <si>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</si>
  <si>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</si>
  <si>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</si>
  <si>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</si>
  <si>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</si>
  <si>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</si>
  <si>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</si>
  <si>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</si>
  <si>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</si>
  <si>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</si>
  <si>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</si>
  <si>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</si>
  <si>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</si>
  <si>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</si>
  <si>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</si>
  <si>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</si>
  <si>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</si>
  <si>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</si>
  <si>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</si>
  <si>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</si>
  <si>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</si>
  <si>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</si>
  <si>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</si>
  <si>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</si>
  <si>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</si>
  <si>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</si>
  <si>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</si>
  <si>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</si>
  <si>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</si>
  <si>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</si>
  <si>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</si>
  <si>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</si>
  <si>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</si>
  <si>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</si>
  <si>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</si>
  <si>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</si>
  <si>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</si>
  <si>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</si>
  <si>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</si>
  <si>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</si>
  <si>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</si>
  <si>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</si>
  <si>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</si>
  <si>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</si>
  <si>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</si>
  <si>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</si>
  <si>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</si>
  <si>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</si>
  <si>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</si>
  <si>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</si>
  <si>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</si>
  <si>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</si>
  <si>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</si>
  <si>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</si>
  <si>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</si>
  <si>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</si>
  <si>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</si>
  <si>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</si>
  <si>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</si>
  <si>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</si>
  <si>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</si>
  <si>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</si>
  <si>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</si>
  <si>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</si>
  <si>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</si>
  <si>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</si>
  <si>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</si>
  <si>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</si>
  <si>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</si>
  <si>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</si>
  <si>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</si>
  <si>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</si>
  <si>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</si>
  <si>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</si>
  <si>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</si>
  <si>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</si>
  <si>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</si>
  <si>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</si>
  <si>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</si>
  <si>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</si>
  <si>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</si>
  <si>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</si>
  <si>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</si>
  <si>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</si>
  <si>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</si>
  <si>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</si>
  <si>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</si>
  <si>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</si>
  <si>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</si>
  <si>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</si>
  <si>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</si>
  <si>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</si>
  <si>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</si>
  <si>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</si>
  <si>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</si>
  <si>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</si>
  <si>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</si>
  <si>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</si>
  <si>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</si>
  <si>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</si>
  <si>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</si>
  <si>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</si>
  <si>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</si>
  <si>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</si>
  <si>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</si>
  <si>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</si>
  <si>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</si>
  <si>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</si>
  <si>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</si>
  <si>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</si>
  <si>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</si>
  <si>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</si>
  <si>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</si>
  <si>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</si>
  <si>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</si>
  <si>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</si>
  <si>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</si>
  <si>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</si>
  <si>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</si>
  <si>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</si>
  <si>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</si>
  <si>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</si>
  <si>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</si>
  <si>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</si>
  <si>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</si>
  <si>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</si>
  <si>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</si>
  <si>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</si>
  <si>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</si>
  <si>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</si>
  <si>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</si>
  <si>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</si>
  <si>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</si>
  <si>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</si>
  <si>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</si>
  <si>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</si>
  <si>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</si>
  <si>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</si>
  <si>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</si>
  <si>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</si>
  <si>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</si>
  <si>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</si>
  <si>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</si>
  <si>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</si>
  <si>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</si>
  <si>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</si>
  <si>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</si>
  <si>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</si>
  <si>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</si>
  <si>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</si>
  <si>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</si>
  <si>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</si>
  <si>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</si>
  <si>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</si>
  <si>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</si>
  <si>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</si>
  <si>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</si>
  <si>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</si>
  <si>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</si>
  <si>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</si>
  <si>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</si>
  <si>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</si>
  <si>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</si>
  <si>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</si>
  <si>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</si>
  <si>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</si>
  <si>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</si>
  <si>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</si>
  <si>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</si>
  <si>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</si>
  <si>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</si>
  <si>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</si>
  <si>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</si>
  <si>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</si>
  <si>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</si>
  <si>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</si>
  <si>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</si>
  <si>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</si>
  <si>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</si>
  <si>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</si>
  <si>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</si>
  <si>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</si>
  <si>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</si>
  <si>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</si>
  <si>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</si>
  <si>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</si>
  <si>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</si>
  <si>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</si>
  <si>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</si>
  <si>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</si>
  <si>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</si>
  <si>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</si>
  <si>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</si>
  <si>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</si>
  <si>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</si>
  <si>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</si>
  <si>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</si>
  <si>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</si>
  <si>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</si>
  <si>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</si>
  <si>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</si>
  <si>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</si>
  <si>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</si>
  <si>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</si>
  <si>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</si>
  <si>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</si>
  <si>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</si>
  <si>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</si>
  <si>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</si>
  <si>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</si>
  <si>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</si>
  <si>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</si>
  <si>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</si>
  <si>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</si>
  <si>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</si>
  <si>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</si>
  <si>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</si>
  <si>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</si>
  <si>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</si>
  <si>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</si>
  <si>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</si>
  <si>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</si>
  <si>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</si>
  <si>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</si>
  <si>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</si>
  <si>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</si>
  <si>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</si>
  <si>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</si>
  <si>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</si>
  <si>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</si>
  <si>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</si>
  <si>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</si>
  <si>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</si>
  <si>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</si>
  <si>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</si>
  <si>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</si>
  <si>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</si>
  <si>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</si>
  <si>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</si>
  <si>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</si>
  <si>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</si>
  <si>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</si>
  <si>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</si>
  <si>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</si>
  <si>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</si>
  <si>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</si>
  <si>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</si>
  <si>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</si>
  <si>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</si>
  <si>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</si>
  <si>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</si>
  <si>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</si>
  <si>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</si>
  <si>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</si>
  <si>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</si>
  <si>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</si>
  <si>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</si>
  <si>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</si>
  <si>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</si>
  <si>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</si>
  <si>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</si>
  <si>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</si>
  <si>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</si>
  <si>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</si>
  <si>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</si>
  <si>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</si>
  <si>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</si>
  <si>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</si>
  <si>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</si>
  <si>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</si>
  <si>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</si>
  <si>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</si>
  <si>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</si>
  <si>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</si>
  <si>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</si>
  <si>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</si>
  <si>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</si>
  <si>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</si>
  <si>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</si>
  <si>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</si>
  <si>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</si>
  <si>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</si>
  <si>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</si>
  <si>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</si>
  <si>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</si>
  <si>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</si>
  <si>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</si>
  <si>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</si>
  <si>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</si>
  <si>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</si>
  <si>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</si>
  <si>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</si>
  <si>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</si>
  <si>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</si>
  <si>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</si>
  <si>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</si>
  <si>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</si>
  <si>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</si>
  <si>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</si>
  <si>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</si>
  <si>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</si>
  <si>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</si>
  <si>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</si>
  <si>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</si>
  <si>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</si>
  <si>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</si>
  <si>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</si>
  <si>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</si>
  <si>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</si>
  <si>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</si>
  <si>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</si>
  <si>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</si>
  <si>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</si>
  <si>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</si>
  <si>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</si>
  <si>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</si>
  <si>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</si>
  <si>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</si>
  <si>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</si>
  <si>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</si>
  <si>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</si>
  <si>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</si>
  <si>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</si>
  <si>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</si>
  <si>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</si>
  <si>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</si>
  <si>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</si>
  <si>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</si>
  <si>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</si>
  <si>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</si>
  <si>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</si>
  <si>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</si>
  <si>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</si>
  <si>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</si>
  <si>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</si>
  <si>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</si>
  <si>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</si>
  <si>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</si>
  <si>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</si>
  <si>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</si>
  <si>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</si>
  <si>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</si>
  <si>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</si>
  <si>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</si>
  <si>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</si>
  <si>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</si>
  <si>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</si>
  <si>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</si>
  <si>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</si>
  <si>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</si>
  <si>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</si>
  <si>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</si>
  <si>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</si>
  <si>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</si>
  <si>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</si>
  <si>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</si>
  <si>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</si>
  <si>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</si>
  <si>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</si>
  <si>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</si>
  <si>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</si>
  <si>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</si>
  <si>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</si>
  <si>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</si>
  <si>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</si>
  <si>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</si>
  <si>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</si>
  <si>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</si>
  <si>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</si>
  <si>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</si>
  <si>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</si>
  <si>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</si>
  <si>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</si>
  <si>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</si>
  <si>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</si>
  <si>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</si>
  <si>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</si>
  <si>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</si>
  <si>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</si>
  <si>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</si>
  <si>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</si>
  <si>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</si>
  <si>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</si>
  <si>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</si>
  <si>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</si>
  <si>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</si>
  <si>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</si>
  <si>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</si>
  <si>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</si>
  <si>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</si>
  <si>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</si>
  <si>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</si>
  <si>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</si>
  <si>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</si>
  <si>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</si>
  <si>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</si>
  <si>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</si>
  <si>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</si>
  <si>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</si>
  <si>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</si>
  <si>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</si>
  <si>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</si>
  <si>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</si>
  <si>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</si>
  <si>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</si>
  <si>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</si>
  <si>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</si>
  <si>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</si>
  <si>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</si>
  <si>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</si>
  <si>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</si>
  <si>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</si>
  <si>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</si>
  <si>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</si>
  <si>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</si>
  <si>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</si>
  <si>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</si>
  <si>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</si>
  <si>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</si>
  <si>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</si>
  <si>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</si>
  <si>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</si>
  <si>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</si>
  <si>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</si>
  <si>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</si>
  <si>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</si>
  <si>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</si>
  <si>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</si>
  <si>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</si>
  <si>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</si>
  <si>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</si>
  <si>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</si>
  <si>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</si>
  <si>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</si>
  <si>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</si>
  <si>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</si>
  <si>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</si>
  <si>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</si>
  <si>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</si>
  <si>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</si>
  <si>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</si>
  <si>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</si>
  <si>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</si>
  <si>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</si>
  <si>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</si>
  <si>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</si>
  <si>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</si>
  <si>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</si>
  <si>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</si>
  <si>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</si>
  <si>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</si>
  <si>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</si>
  <si>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</si>
  <si>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</si>
  <si>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</si>
  <si>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</si>
  <si>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</si>
  <si>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</si>
  <si>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</si>
  <si>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</si>
  <si>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</si>
  <si>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</si>
  <si>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</si>
  <si>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</si>
  <si>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</si>
  <si>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</si>
  <si>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</si>
  <si>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</si>
  <si>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</si>
  <si>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</si>
  <si>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</si>
  <si>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</si>
  <si>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</si>
  <si>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</si>
  <si>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</si>
  <si>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</si>
  <si>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</si>
  <si>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</si>
  <si>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</si>
  <si>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</si>
  <si>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</si>
  <si>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</si>
  <si>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</si>
  <si>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</si>
  <si>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</si>
  <si>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</si>
  <si>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</si>
  <si>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</si>
  <si>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</si>
  <si>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</si>
  <si>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</si>
  <si>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</si>
  <si>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</si>
  <si>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</si>
  <si>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</si>
  <si>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</si>
  <si>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</si>
  <si>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</si>
  <si>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</si>
  <si>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</si>
  <si>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</si>
  <si>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</si>
  <si>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</si>
  <si>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</si>
  <si>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</si>
  <si>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</si>
  <si>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</si>
  <si>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</si>
  <si>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</si>
  <si>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</si>
  <si>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</si>
  <si>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</si>
  <si>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</si>
  <si>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</si>
  <si>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</si>
  <si>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</si>
  <si>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</si>
  <si>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</si>
  <si>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</si>
  <si>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</si>
  <si>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</si>
  <si>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</si>
  <si>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</si>
  <si>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</si>
  <si>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</si>
  <si>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</si>
  <si>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</si>
  <si>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</si>
  <si>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</si>
  <si>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</si>
  <si>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</si>
  <si>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</si>
  <si>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</si>
  <si>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</si>
  <si>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</si>
  <si>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</si>
  <si>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</si>
  <si>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</si>
  <si>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</si>
  <si>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</si>
  <si>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</si>
  <si>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</si>
  <si>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</si>
  <si>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</si>
  <si>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</si>
  <si>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</si>
  <si>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</si>
  <si>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</si>
  <si>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</si>
  <si>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</si>
  <si>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</si>
  <si>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</si>
  <si>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</si>
  <si>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</si>
  <si>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</si>
  <si>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</si>
  <si>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</si>
  <si>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</si>
  <si>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</si>
  <si>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</si>
  <si>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</si>
  <si>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</si>
  <si>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</si>
  <si>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</si>
  <si>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</si>
  <si>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</si>
  <si>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</si>
  <si>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</si>
  <si>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</si>
  <si>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</si>
  <si>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</si>
  <si>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</si>
  <si>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</si>
  <si>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</si>
  <si>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</si>
  <si>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</si>
  <si>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</si>
  <si>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</si>
  <si>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</si>
  <si>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</si>
  <si>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</si>
  <si>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</si>
  <si>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</si>
  <si>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</si>
  <si>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</si>
  <si>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</si>
  <si>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</si>
  <si>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</si>
  <si>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</si>
  <si>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</si>
  <si>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</si>
  <si>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</si>
  <si>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</si>
  <si>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</si>
  <si>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</si>
  <si>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</si>
  <si>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</si>
  <si>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</si>
  <si>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</si>
  <si>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</si>
  <si>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</si>
  <si>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</si>
  <si>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</si>
  <si>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</si>
  <si>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</si>
  <si>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</si>
  <si>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</si>
  <si>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</si>
  <si>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</si>
  <si>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</si>
  <si>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</si>
  <si>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</si>
  <si>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</si>
  <si>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</si>
  <si>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</si>
  <si>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</si>
  <si>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</si>
  <si>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</si>
  <si>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</si>
  <si>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</si>
  <si>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</si>
  <si>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</si>
  <si>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</si>
  <si>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</si>
  <si>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</si>
  <si>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</si>
  <si>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</si>
  <si>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</si>
  <si>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</si>
  <si>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</si>
  <si>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</si>
  <si>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</si>
  <si>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</si>
  <si>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</si>
  <si>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</si>
  <si>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</si>
  <si>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</si>
  <si>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</si>
  <si>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</si>
  <si>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</si>
  <si>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</si>
  <si>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</si>
  <si>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</si>
  <si>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</si>
  <si>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</si>
  <si>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</si>
  <si>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</si>
  <si>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</si>
  <si>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</si>
  <si>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</si>
  <si>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</si>
  <si>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</si>
  <si>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</si>
  <si>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</si>
  <si>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</si>
  <si>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</si>
  <si>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</si>
  <si>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</si>
  <si>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</si>
  <si>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</si>
  <si>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</si>
  <si>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</si>
  <si>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</si>
  <si>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</si>
  <si>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</si>
  <si>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</si>
  <si>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</si>
  <si>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</si>
  <si>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</si>
  <si>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</si>
  <si>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</si>
  <si>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</si>
  <si>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</si>
  <si>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</si>
  <si>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</si>
  <si>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</si>
  <si>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</si>
  <si>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</si>
  <si>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</si>
  <si>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</si>
  <si>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</si>
  <si>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</si>
  <si>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</si>
  <si>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</si>
  <si>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</si>
  <si>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</si>
  <si>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</si>
  <si>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</si>
  <si>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</si>
  <si>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</si>
  <si>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</si>
  <si>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</si>
  <si>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</si>
  <si>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</si>
  <si>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</si>
  <si>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</si>
  <si>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</si>
  <si>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</si>
  <si>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</si>
  <si>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</si>
  <si>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</si>
  <si>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</si>
  <si>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</si>
  <si>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</si>
  <si>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</si>
  <si>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</si>
  <si>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</si>
  <si>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</si>
  <si>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</si>
  <si>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</si>
  <si>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</si>
  <si>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</si>
  <si>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</si>
  <si>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</si>
  <si>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</si>
  <si>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</si>
  <si>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</si>
  <si>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</si>
  <si>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</si>
  <si>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</si>
  <si>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</si>
  <si>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</si>
  <si>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</si>
  <si>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</si>
  <si>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</si>
  <si>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</si>
  <si>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</si>
  <si>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</si>
  <si>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</si>
  <si>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</si>
  <si>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</si>
  <si>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</si>
  <si>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</si>
  <si>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</si>
  <si>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</si>
  <si>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</si>
  <si>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</si>
  <si>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</si>
  <si>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</si>
  <si>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</si>
  <si>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</si>
  <si>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</si>
  <si>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</si>
  <si>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</si>
  <si>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</si>
  <si>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</si>
  <si>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</si>
  <si>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</si>
  <si>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</si>
  <si>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</si>
  <si>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</si>
  <si>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</si>
  <si>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</si>
  <si>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</si>
  <si>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</si>
  <si>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</si>
  <si>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</si>
  <si>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</si>
  <si>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</si>
  <si>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</si>
  <si>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</si>
  <si>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</si>
  <si>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</si>
  <si>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</si>
  <si>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</si>
  <si>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</si>
  <si>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</si>
  <si>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</si>
  <si>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</si>
  <si>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</si>
  <si>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</si>
  <si>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</si>
  <si>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</si>
  <si>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</si>
  <si>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</si>
  <si>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</si>
  <si>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</si>
  <si>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</si>
  <si>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</si>
  <si>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</si>
  <si>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</si>
  <si>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</si>
  <si>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</si>
  <si>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</si>
  <si>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</si>
  <si>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</si>
  <si>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</si>
  <si>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</si>
  <si>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</si>
  <si>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</si>
  <si>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</si>
  <si>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</si>
  <si>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</si>
  <si>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</si>
  <si>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</si>
  <si>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</si>
  <si>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</si>
  <si>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</si>
  <si>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</si>
  <si>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</si>
  <si>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</si>
  <si>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</si>
  <si>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</si>
  <si>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</si>
  <si>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</si>
  <si>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</si>
  <si>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</si>
  <si>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</si>
  <si>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</si>
  <si>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</si>
  <si>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</si>
  <si>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</si>
  <si>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</si>
  <si>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</si>
  <si>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</si>
  <si>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</si>
  <si>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</si>
  <si>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</si>
  <si>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</si>
  <si>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</si>
  <si>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</si>
  <si>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</si>
  <si>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</si>
  <si>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</si>
  <si>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</si>
  <si>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</si>
  <si>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</si>
  <si>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</si>
  <si>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</si>
  <si>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</si>
  <si>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</si>
  <si>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</si>
  <si>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</si>
  <si>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</si>
  <si>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</si>
  <si>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</si>
  <si>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</si>
  <si>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</si>
  <si>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</si>
  <si>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</si>
  <si>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</si>
  <si>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</si>
  <si>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</si>
  <si>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</si>
  <si>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</si>
  <si>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</si>
  <si>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</si>
  <si>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</si>
  <si>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</si>
  <si>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</si>
  <si>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</si>
  <si>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</si>
  <si>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</si>
  <si>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</si>
  <si>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</si>
  <si>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</si>
  <si>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</si>
  <si>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</si>
  <si>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</si>
  <si>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</si>
  <si>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</si>
  <si>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</si>
  <si>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</si>
  <si>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</si>
  <si>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</si>
  <si>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</si>
  <si>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</si>
  <si>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</si>
  <si>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</si>
  <si>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</si>
  <si>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</si>
  <si>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</si>
  <si>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</si>
  <si>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</si>
  <si>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</si>
  <si>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</si>
  <si>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</si>
  <si>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</si>
  <si>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</si>
  <si>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</si>
  <si>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</si>
  <si>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</si>
  <si>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</si>
  <si>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</si>
  <si>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</si>
  <si>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</si>
  <si>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</si>
  <si>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</si>
  <si>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</si>
  <si>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</si>
  <si>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</si>
  <si>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</si>
  <si>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</si>
  <si>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</si>
  <si>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</si>
  <si>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</si>
  <si>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</si>
  <si>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</si>
  <si>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</si>
  <si>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</si>
  <si>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</si>
  <si>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</si>
  <si>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</si>
  <si>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</si>
  <si>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</si>
  <si>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</si>
  <si>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</si>
  <si>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</si>
  <si>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</si>
  <si>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</si>
  <si>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</si>
  <si>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</si>
  <si>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</si>
  <si>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</si>
  <si>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</si>
  <si>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</si>
  <si>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</si>
  <si>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</si>
  <si>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</si>
  <si>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</si>
  <si>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</si>
  <si>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</si>
  <si>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</si>
  <si>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</si>
  <si>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</si>
  <si>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</si>
  <si>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</si>
  <si>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</si>
  <si>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</si>
  <si>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</si>
  <si>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</si>
  <si>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</si>
  <si>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</si>
  <si>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</si>
  <si>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</si>
  <si>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</si>
  <si>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</si>
  <si>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</si>
  <si>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</si>
  <si>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</si>
  <si>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</si>
  <si>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</si>
  <si>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</si>
  <si>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</si>
  <si>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</si>
  <si>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</si>
  <si>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</si>
  <si>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</si>
  <si>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</si>
  <si>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</si>
  <si>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</si>
  <si>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</si>
  <si>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</si>
  <si>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</si>
  <si>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</si>
  <si>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</si>
  <si>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</si>
  <si>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</si>
  <si>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</si>
  <si>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</si>
  <si>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</si>
  <si>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</si>
  <si>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</si>
  <si>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</si>
  <si>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</si>
  <si>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</si>
  <si>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</si>
  <si>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</si>
  <si>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</si>
  <si>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</si>
  <si>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</si>
  <si>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</si>
  <si>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</si>
  <si>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</si>
  <si>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</si>
  <si>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</si>
  <si>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</si>
  <si>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</si>
  <si>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</si>
  <si>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</si>
  <si>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</si>
  <si>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</si>
  <si>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</si>
  <si>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</si>
  <si>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</si>
  <si>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</si>
  <si>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</si>
  <si>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</si>
  <si>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</si>
  <si>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</si>
  <si>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</si>
  <si>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</si>
  <si>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</si>
  <si>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</si>
  <si>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</si>
  <si>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</si>
  <si>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</si>
  <si>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</si>
  <si>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</si>
  <si>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</si>
  <si>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</si>
  <si>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</si>
  <si>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</si>
  <si>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</si>
  <si>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</si>
  <si>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</si>
  <si>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</si>
  <si>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</si>
  <si>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</si>
  <si>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</si>
  <si>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</si>
  <si>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</si>
  <si>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</si>
  <si>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</si>
  <si>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</si>
  <si>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</si>
  <si>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</si>
  <si>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</si>
  <si>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</si>
  <si>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</si>
  <si>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</si>
  <si>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</si>
  <si>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</si>
  <si>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</si>
  <si>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</si>
  <si>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</si>
  <si>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</si>
  <si>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</si>
  <si>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</si>
  <si>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</si>
  <si>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</si>
  <si>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</si>
  <si>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</si>
  <si>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</si>
  <si>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</si>
  <si>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</si>
  <si>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</si>
  <si>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</si>
  <si>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</si>
  <si>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</si>
  <si>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</si>
  <si>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</si>
  <si>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</si>
  <si>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</si>
  <si>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</si>
  <si>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</si>
  <si>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</si>
  <si>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</si>
  <si>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</si>
  <si>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</si>
  <si>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</si>
  <si>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</si>
  <si>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</si>
  <si>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</si>
  <si>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</si>
  <si>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</si>
  <si>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</si>
  <si>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</si>
  <si>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</si>
  <si>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</si>
  <si>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</si>
  <si>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</si>
  <si>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</si>
  <si>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</si>
  <si>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</si>
  <si>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</si>
  <si>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</si>
  <si>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</si>
  <si>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</si>
  <si>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</si>
  <si>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</si>
  <si>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</si>
  <si>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</si>
  <si>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</si>
  <si>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</si>
  <si>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</si>
  <si>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</si>
  <si>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</si>
  <si>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</si>
  <si>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</si>
  <si>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</si>
  <si>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</si>
  <si>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</si>
  <si>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</si>
  <si>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</si>
  <si>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</si>
  <si>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</si>
  <si>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</si>
  <si>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</si>
  <si>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</si>
  <si>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</si>
  <si>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</si>
  <si>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</si>
  <si>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</si>
  <si>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</si>
  <si>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</si>
  <si>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</si>
  <si>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</si>
  <si>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</si>
  <si>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</si>
  <si>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</si>
  <si>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</si>
  <si>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</si>
  <si>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</si>
  <si>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</si>
  <si>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</si>
  <si>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</si>
  <si>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</si>
  <si>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</si>
  <si>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</si>
  <si>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</si>
  <si>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</si>
  <si>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</si>
  <si>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</si>
  <si>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</si>
  <si>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</si>
  <si>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</si>
  <si>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</si>
  <si>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</si>
  <si>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</si>
  <si>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</si>
  <si>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</si>
  <si>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</si>
  <si>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</si>
  <si>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</si>
  <si>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</si>
  <si>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</si>
  <si>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</si>
  <si>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</si>
  <si>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</si>
  <si>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</si>
  <si>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</si>
  <si>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</si>
  <si>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</si>
  <si>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</si>
  <si>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</si>
  <si>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</si>
  <si>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</si>
  <si>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</si>
  <si>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</si>
  <si>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</si>
  <si>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</si>
  <si>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</si>
  <si>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</si>
  <si>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</si>
  <si>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</si>
  <si>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</si>
  <si>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</si>
  <si>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</si>
  <si>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</si>
  <si>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</si>
  <si>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</si>
  <si>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</si>
  <si>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</si>
  <si>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</si>
  <si>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</si>
  <si>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</si>
  <si>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</si>
  <si>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</si>
  <si>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</si>
  <si>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</si>
  <si>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</si>
  <si>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</si>
  <si>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</si>
  <si>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</si>
  <si>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</si>
  <si>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</si>
  <si>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</si>
  <si>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</si>
  <si>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</si>
  <si>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</si>
  <si>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</si>
  <si>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</si>
  <si>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</si>
  <si>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</si>
  <si>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</si>
  <si>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</si>
  <si>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</si>
  <si>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</si>
  <si>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</si>
  <si>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</si>
  <si>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</si>
  <si>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</si>
  <si>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</si>
  <si>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</si>
  <si>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</si>
  <si>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</si>
  <si>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</si>
  <si>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</si>
  <si>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</si>
  <si>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</si>
  <si>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</si>
  <si>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</si>
  <si>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</si>
  <si>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</si>
  <si>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</si>
  <si>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</si>
  <si>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</si>
  <si>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</si>
  <si>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</si>
  <si>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</si>
  <si>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</si>
  <si>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</si>
  <si>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</si>
  <si>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</si>
  <si>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</si>
  <si>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</si>
  <si>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</si>
  <si>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</si>
  <si>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</si>
  <si>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</si>
  <si>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</si>
  <si>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</si>
  <si>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</si>
  <si>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</si>
  <si>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</si>
  <si>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</si>
  <si>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</si>
  <si>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</si>
  <si>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</si>
  <si>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</si>
  <si>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</si>
  <si>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</si>
  <si>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</si>
  <si>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</si>
  <si>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</si>
  <si>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</si>
  <si>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</si>
  <si>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</si>
  <si>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</si>
  <si>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</si>
  <si>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</si>
  <si>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</si>
  <si>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</si>
  <si>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</si>
  <si>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</si>
  <si>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</si>
  <si>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</si>
  <si>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</si>
  <si>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</si>
  <si>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</si>
  <si>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</si>
  <si>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</si>
  <si>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</si>
  <si>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</si>
  <si>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</si>
  <si>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</si>
  <si>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</si>
  <si>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</si>
  <si>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</si>
  <si>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</si>
  <si>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</si>
  <si>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</si>
  <si>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</si>
  <si>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</si>
  <si>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</si>
  <si>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</si>
  <si>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</si>
  <si>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</si>
  <si>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</si>
  <si>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</si>
  <si>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</si>
  <si>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</si>
  <si>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</si>
  <si>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</si>
  <si>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</si>
  <si>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</si>
  <si>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</si>
  <si>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CM2-12</t>
  </si>
  <si>
    <t>CJ6-T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</si>
  <si>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</si>
  <si>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</si>
  <si>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</si>
  <si>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</si>
  <si>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BTG</t>
  </si>
  <si>
    <t>UNIT</t>
  </si>
  <si>
    <t>m</t>
  </si>
  <si>
    <t>B2</t>
  </si>
  <si>
    <t>CM2-11</t>
  </si>
  <si>
    <t>PD NAFIADHI 13,2 KVA</t>
  </si>
  <si>
    <t xml:space="preserve">SUKOREJO </t>
  </si>
  <si>
    <t>Daya 13.200 VA</t>
  </si>
  <si>
    <t xml:space="preserve">-7.      , 110.    </t>
  </si>
  <si>
    <t>C9-200</t>
  </si>
  <si>
    <t xml:space="preserve">CJ6-T </t>
  </si>
  <si>
    <t>NFA2X, 3X70N70</t>
  </si>
  <si>
    <t>SR APP 13,2 KVA PRA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</si>
  <si>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</si>
  <si>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Spv. Rensis</t>
  </si>
  <si>
    <t>Man. Perencanaan</t>
  </si>
  <si>
    <t>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</si>
</sst>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9"/>
      <color theme="1"/>
      <name val="Calibri"/>
      <family val="2"/>
    </font>
    <font>
      <sz val="9"/>
      <color rgb="FFFF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</borders>
  <cellStyleXfs count="4116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  <xf numFmtId="0" fontId="18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22" fillId="20" borderId="102" applyNumberFormat="0" applyAlignment="0" applyProtection="0"/>
    <xf numFmtId="0" fontId="29" fillId="7" borderId="108" applyNumberFormat="0" applyAlignment="0" applyProtection="0"/>
    <xf numFmtId="0" fontId="29" fillId="7" borderId="96" applyNumberFormat="0" applyAlignment="0" applyProtection="0"/>
    <xf numFmtId="0" fontId="29" fillId="7" borderId="108" applyNumberFormat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5" fillId="23" borderId="106"/>
    <xf numFmtId="0" fontId="22" fillId="20" borderId="96" applyNumberFormat="0" applyAlignment="0" applyProtection="0"/>
    <xf numFmtId="0" fontId="22" fillId="20" borderId="96" applyNumberFormat="0" applyAlignment="0" applyProtection="0"/>
    <xf numFmtId="0" fontId="22" fillId="20" borderId="96" applyNumberFormat="0" applyAlignment="0" applyProtection="0"/>
    <xf numFmtId="0" fontId="35" fillId="0" borderId="99" applyNumberFormat="0" applyFill="0" applyAlignment="0" applyProtection="0"/>
    <xf numFmtId="0" fontId="2" fillId="0" borderId="0"/>
    <xf numFmtId="41" fontId="18" fillId="0" borderId="0" applyFont="0" applyFill="0" applyBorder="0" applyAlignment="0" applyProtection="0"/>
    <xf numFmtId="0" fontId="22" fillId="20" borderId="108" applyNumberFormat="0" applyAlignment="0" applyProtection="0"/>
    <xf numFmtId="0" fontId="2" fillId="0" borderId="0"/>
    <xf numFmtId="43" fontId="18" fillId="0" borderId="0" applyFont="0" applyFill="0" applyBorder="0" applyAlignment="0" applyProtection="0"/>
    <xf numFmtId="0" fontId="22" fillId="20" borderId="96" applyNumberFormat="0" applyAlignment="0" applyProtection="0"/>
    <xf numFmtId="0" fontId="22" fillId="20" borderId="108" applyNumberFormat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2" fillId="20" borderId="102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96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29" fillId="7" borderId="108" applyNumberFormat="0" applyAlignment="0" applyProtection="0"/>
    <xf numFmtId="0" fontId="75" fillId="23" borderId="100"/>
    <xf numFmtId="0" fontId="75" fillId="0" borderId="100"/>
    <xf numFmtId="0" fontId="75" fillId="23" borderId="112"/>
    <xf numFmtId="0" fontId="75" fillId="0" borderId="112"/>
    <xf numFmtId="0" fontId="70" fillId="0" borderId="100"/>
    <xf numFmtId="0" fontId="70" fillId="0" borderId="100"/>
    <xf numFmtId="0" fontId="70" fillId="0" borderId="112"/>
    <xf numFmtId="0" fontId="70" fillId="0" borderId="112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08" fillId="0" borderId="0" applyFont="0" applyFill="0" applyBorder="0" applyAlignment="0" applyProtection="0"/>
    <xf numFmtId="0" fontId="70" fillId="0" borderId="106"/>
    <xf numFmtId="0" fontId="70" fillId="0" borderId="106"/>
    <xf numFmtId="0" fontId="75" fillId="0" borderId="106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29" fillId="7" borderId="102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20" borderId="96" applyNumberFormat="0" applyAlignment="0" applyProtection="0"/>
    <xf numFmtId="0" fontId="22" fillId="20" borderId="96" applyNumberFormat="0" applyAlignment="0" applyProtection="0"/>
    <xf numFmtId="0" fontId="12" fillId="0" borderId="0"/>
    <xf numFmtId="0" fontId="22" fillId="20" borderId="96" applyNumberFormat="0" applyAlignment="0" applyProtection="0"/>
    <xf numFmtId="0" fontId="22" fillId="20" borderId="96" applyNumberFormat="0" applyAlignment="0" applyProtection="0"/>
    <xf numFmtId="0" fontId="22" fillId="20" borderId="96" applyNumberFormat="0" applyAlignment="0" applyProtection="0"/>
    <xf numFmtId="0" fontId="22" fillId="20" borderId="96" applyNumberFormat="0" applyAlignment="0" applyProtection="0"/>
    <xf numFmtId="0" fontId="22" fillId="20" borderId="96" applyNumberFormat="0" applyAlignment="0" applyProtection="0"/>
    <xf numFmtId="0" fontId="22" fillId="20" borderId="96" applyNumberFormat="0" applyAlignment="0" applyProtection="0"/>
    <xf numFmtId="0" fontId="22" fillId="20" borderId="96" applyNumberFormat="0" applyAlignment="0" applyProtection="0"/>
    <xf numFmtId="0" fontId="12" fillId="0" borderId="0"/>
    <xf numFmtId="0" fontId="22" fillId="20" borderId="96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20" borderId="96" applyNumberFormat="0" applyAlignment="0" applyProtection="0"/>
    <xf numFmtId="0" fontId="22" fillId="20" borderId="96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22" fillId="20" borderId="108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12" fillId="27" borderId="12" applyNumberFormat="0" applyFont="0" applyAlignment="0" applyProtection="0"/>
    <xf numFmtId="0" fontId="18" fillId="27" borderId="103" applyNumberFormat="0" applyFont="0" applyAlignment="0" applyProtection="0"/>
    <xf numFmtId="0" fontId="12" fillId="27" borderId="12" applyNumberFormat="0" applyFont="0" applyAlignment="0" applyProtection="0"/>
    <xf numFmtId="194" fontId="39" fillId="28" borderId="103" applyAlignment="0" applyProtection="0"/>
    <xf numFmtId="0" fontId="12" fillId="27" borderId="12" applyNumberFormat="0" applyFont="0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12" fillId="27" borderId="12" applyNumberFormat="0" applyFont="0" applyAlignment="0" applyProtection="0"/>
    <xf numFmtId="0" fontId="18" fillId="27" borderId="103" applyNumberFormat="0" applyFont="0" applyAlignment="0" applyProtection="0"/>
    <xf numFmtId="0" fontId="12" fillId="27" borderId="12" applyNumberFormat="0" applyFont="0" applyAlignment="0" applyProtection="0"/>
    <xf numFmtId="194" fontId="39" fillId="28" borderId="103" applyAlignment="0" applyProtection="0"/>
    <xf numFmtId="0" fontId="18" fillId="27" borderId="103" applyNumberFormat="0" applyFont="0" applyAlignment="0" applyProtection="0"/>
    <xf numFmtId="0" fontId="12" fillId="27" borderId="12" applyNumberFormat="0" applyFont="0" applyAlignment="0" applyProtection="0"/>
    <xf numFmtId="194" fontId="39" fillId="28" borderId="103" applyAlignment="0" applyProtection="0"/>
    <xf numFmtId="0" fontId="12" fillId="27" borderId="12" applyNumberFormat="0" applyFont="0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8" fillId="27" borderId="103" applyNumberFormat="0" applyFont="0" applyAlignment="0" applyProtection="0"/>
    <xf numFmtId="0" fontId="18" fillId="27" borderId="103" applyNumberFormat="0" applyFont="0" applyAlignment="0" applyProtection="0"/>
    <xf numFmtId="0" fontId="18" fillId="27" borderId="103" applyNumberFormat="0" applyFont="0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8" fillId="27" borderId="109" applyNumberFormat="0" applyFont="0" applyAlignment="0" applyProtection="0"/>
    <xf numFmtId="9" fontId="108" fillId="0" borderId="0" applyFont="0" applyFill="0" applyBorder="0" applyAlignment="0" applyProtection="0"/>
    <xf numFmtId="0" fontId="84" fillId="0" borderId="94"/>
    <xf numFmtId="0" fontId="85" fillId="0" borderId="95"/>
    <xf numFmtId="0" fontId="33" fillId="20" borderId="98" applyNumberFormat="0" applyAlignment="0" applyProtection="0"/>
    <xf numFmtId="0" fontId="18" fillId="27" borderId="97" applyNumberFormat="0" applyFont="0" applyAlignment="0" applyProtection="0"/>
    <xf numFmtId="0" fontId="29" fillId="7" borderId="108" applyNumberFormat="0" applyAlignment="0" applyProtection="0"/>
    <xf numFmtId="0" fontId="29" fillId="7" borderId="96" applyNumberFormat="0" applyAlignment="0" applyProtection="0"/>
    <xf numFmtId="0" fontId="22" fillId="20" borderId="96" applyNumberFormat="0" applyAlignment="0" applyProtection="0"/>
    <xf numFmtId="194" fontId="39" fillId="28" borderId="103" applyAlignment="0" applyProtection="0"/>
    <xf numFmtId="0" fontId="18" fillId="0" borderId="0"/>
    <xf numFmtId="43" fontId="18" fillId="0" borderId="0" applyFont="0" applyFill="0" applyBorder="0" applyAlignment="0" applyProtection="0"/>
    <xf numFmtId="0" fontId="22" fillId="20" borderId="96" applyNumberFormat="0" applyAlignment="0" applyProtection="0"/>
    <xf numFmtId="0" fontId="108" fillId="0" borderId="0"/>
    <xf numFmtId="0" fontId="2" fillId="0" borderId="0"/>
    <xf numFmtId="0" fontId="18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0" fontId="18" fillId="27" borderId="97" applyNumberFormat="0" applyFont="0" applyAlignment="0" applyProtection="0"/>
    <xf numFmtId="0" fontId="18" fillId="27" borderId="97" applyNumberFormat="0" applyFont="0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2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18" fillId="27" borderId="97" applyNumberFormat="0" applyFont="0" applyAlignment="0" applyProtection="0"/>
    <xf numFmtId="194" fontId="39" fillId="28" borderId="97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33" fillId="20" borderId="98" applyNumberFormat="0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0" fontId="18" fillId="27" borderId="109" applyNumberFormat="0" applyFont="0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0" fontId="35" fillId="0" borderId="105" applyNumberFormat="0" applyFill="0" applyAlignment="0" applyProtection="0"/>
    <xf numFmtId="0" fontId="33" fillId="20" borderId="104" applyNumberFormat="0" applyAlignment="0" applyProtection="0"/>
    <xf numFmtId="0" fontId="18" fillId="27" borderId="103" applyNumberFormat="0" applyFont="0" applyAlignment="0" applyProtection="0"/>
    <xf numFmtId="0" fontId="84" fillId="0" borderId="101"/>
    <xf numFmtId="0" fontId="29" fillId="7" borderId="102" applyNumberFormat="0" applyAlignment="0" applyProtection="0"/>
    <xf numFmtId="0" fontId="22" fillId="20" borderId="102" applyNumberFormat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0" fontId="35" fillId="0" borderId="99" applyNumberFormat="0" applyFill="0" applyAlignment="0" applyProtection="0"/>
    <xf numFmtId="194" fontId="39" fillId="28" borderId="109" applyAlignment="0" applyProtection="0"/>
    <xf numFmtId="0" fontId="18" fillId="0" borderId="0"/>
    <xf numFmtId="194" fontId="39" fillId="28" borderId="109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2" fillId="27" borderId="103" applyNumberFormat="0" applyFont="0" applyAlignment="0" applyProtection="0"/>
    <xf numFmtId="194" fontId="39" fillId="28" borderId="103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18" fillId="27" borderId="103" applyNumberFormat="0" applyFont="0" applyAlignment="0" applyProtection="0"/>
    <xf numFmtId="194" fontId="39" fillId="28" borderId="103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3" fillId="20" borderId="104" applyNumberFormat="0" applyAlignment="0" applyProtection="0"/>
    <xf numFmtId="0" fontId="35" fillId="0" borderId="111" applyNumberFormat="0" applyFill="0" applyAlignment="0" applyProtection="0"/>
    <xf numFmtId="0" fontId="33" fillId="20" borderId="110" applyNumberFormat="0" applyAlignment="0" applyProtection="0"/>
    <xf numFmtId="0" fontId="18" fillId="27" borderId="109" applyNumberFormat="0" applyFont="0" applyAlignment="0" applyProtection="0"/>
    <xf numFmtId="0" fontId="84" fillId="0" borderId="107"/>
    <xf numFmtId="0" fontId="29" fillId="7" borderId="108" applyNumberFormat="0" applyAlignment="0" applyProtection="0"/>
    <xf numFmtId="0" fontId="22" fillId="20" borderId="108" applyNumberFormat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35" fillId="0" borderId="105" applyNumberFormat="0" applyFill="0" applyAlignment="0" applyProtection="0"/>
    <xf numFmtId="0" fontId="18" fillId="0" borderId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2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18" fillId="27" borderId="109" applyNumberFormat="0" applyFont="0" applyAlignment="0" applyProtection="0"/>
    <xf numFmtId="194" fontId="39" fillId="28" borderId="109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33" fillId="20" borderId="110" applyNumberFormat="0" applyAlignment="0" applyProtection="0"/>
    <xf numFmtId="0" fontId="84" fillId="0" borderId="113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  <xf numFmtId="0" fontId="35" fillId="0" borderId="111" applyNumberFormat="0" applyFill="0" applyAlignment="0" applyProtection="0"/>
  </cellStyleXfs>
  <cellXfs count="722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6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3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7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64" xfId="2670" applyFont="1" applyFill="1" applyBorder="1" applyAlignment="1">
      <alignment horizontal="left" vertical="center"/>
    </xf>
    <xf numFmtId="0" fontId="154" fillId="39" borderId="65" xfId="2670" applyFont="1" applyFill="1" applyBorder="1" applyAlignment="1">
      <alignment horizontal="center" vertical="center"/>
    </xf>
    <xf numFmtId="0" fontId="154" fillId="39" borderId="67" xfId="2670" applyFont="1" applyFill="1" applyBorder="1" applyAlignment="1">
      <alignment horizontal="left" vertical="center"/>
    </xf>
    <xf numFmtId="0" fontId="154" fillId="39" borderId="63" xfId="2670" applyFont="1" applyFill="1" applyBorder="1" applyAlignment="1">
      <alignment horizontal="center" vertical="center"/>
    </xf>
    <xf numFmtId="0" fontId="154" fillId="39" borderId="69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167" fontId="136" fillId="40" borderId="66" xfId="2672" applyFont="1" applyFill="1" applyBorder="1" applyAlignment="1" applyProtection="1">
      <alignment horizontal="right" vertical="center" wrapText="1"/>
      <protection locked="0"/>
    </xf>
    <xf numFmtId="167" fontId="136" fillId="40" borderId="68" xfId="2672" applyFont="1" applyFill="1" applyBorder="1" applyAlignment="1" applyProtection="1">
      <alignment horizontal="right" vertical="center"/>
      <protection locked="0"/>
    </xf>
    <xf numFmtId="169" fontId="136" fillId="40" borderId="68" xfId="2672" applyNumberFormat="1" applyFont="1" applyFill="1" applyBorder="1" applyAlignment="1" applyProtection="1">
      <alignment horizontal="right" vertical="center"/>
      <protection locked="0"/>
    </xf>
    <xf numFmtId="169" fontId="136" fillId="40" borderId="71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55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75" xfId="2673" applyFont="1" applyFill="1" applyBorder="1" applyAlignment="1">
      <alignment vertical="center" wrapText="1"/>
    </xf>
    <xf numFmtId="0" fontId="142" fillId="43" borderId="75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48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49" xfId="2673" applyFont="1" applyFill="1" applyBorder="1" applyAlignment="1">
      <alignment vertical="center" wrapText="1"/>
    </xf>
    <xf numFmtId="0" fontId="142" fillId="0" borderId="51" xfId="2673" applyFont="1" applyBorder="1" applyAlignment="1">
      <alignment horizontal="center" vertical="center" wrapText="1"/>
    </xf>
    <xf numFmtId="0" fontId="142" fillId="35" borderId="47" xfId="2673" applyFont="1" applyFill="1" applyBorder="1" applyAlignment="1">
      <alignment vertical="center" wrapText="1"/>
    </xf>
    <xf numFmtId="1" fontId="130" fillId="0" borderId="54" xfId="2673" applyNumberFormat="1" applyFont="1" applyBorder="1" applyAlignment="1">
      <alignment vertical="center" wrapText="1"/>
    </xf>
    <xf numFmtId="0" fontId="130" fillId="35" borderId="47" xfId="2673" applyFont="1" applyFill="1" applyBorder="1" applyAlignment="1">
      <alignment vertical="center" wrapText="1"/>
    </xf>
    <xf numFmtId="0" fontId="130" fillId="35" borderId="79" xfId="2673" applyFont="1" applyFill="1" applyBorder="1" applyAlignment="1">
      <alignment vertical="center" wrapText="1"/>
    </xf>
    <xf numFmtId="0" fontId="103" fillId="0" borderId="57" xfId="2673" applyFont="1" applyBorder="1" applyAlignment="1">
      <alignment horizontal="center" vertical="center" wrapText="1"/>
    </xf>
    <xf numFmtId="0" fontId="142" fillId="0" borderId="49" xfId="2673" applyFont="1" applyBorder="1" applyAlignment="1">
      <alignment vertical="center" wrapText="1"/>
    </xf>
    <xf numFmtId="0" fontId="142" fillId="0" borderId="47" xfId="2673" applyFont="1" applyBorder="1" applyAlignment="1">
      <alignment vertical="center" wrapText="1"/>
    </xf>
    <xf numFmtId="0" fontId="130" fillId="0" borderId="47" xfId="2673" applyFont="1" applyBorder="1" applyAlignment="1">
      <alignment vertical="center" wrapText="1"/>
    </xf>
    <xf numFmtId="0" fontId="130" fillId="0" borderId="79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6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4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2" fontId="3" fillId="0" borderId="21" xfId="1652" applyNumberFormat="1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7" fillId="0" borderId="21" xfId="3566" applyFont="1" applyBorder="1" applyAlignment="1">
      <alignment horizontal="center" vertical="center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115" fillId="33" borderId="0" xfId="2677" applyFont="1" applyFill="1" applyAlignment="1">
      <alignment horizontal="center"/>
    </xf>
    <xf numFmtId="0" fontId="112" fillId="33" borderId="39" xfId="2677" applyFont="1" applyFill="1" applyBorder="1" applyAlignment="1">
      <alignment horizontal="center" vertical="top" wrapText="1"/>
    </xf>
    <xf numFmtId="0" fontId="172" fillId="33" borderId="87" xfId="2677" applyFont="1" applyFill="1" applyBorder="1" applyAlignment="1">
      <alignment horizontal="left" vertical="center"/>
    </xf>
    <xf numFmtId="0" fontId="172" fillId="33" borderId="88" xfId="2677" applyFont="1" applyFill="1" applyBorder="1" applyAlignment="1">
      <alignment horizontal="left" vertical="center"/>
    </xf>
    <xf numFmtId="0" fontId="172" fillId="33" borderId="8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0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2" xfId="2677" applyFont="1" applyFill="1" applyBorder="1" applyAlignment="1">
      <alignment horizontal="center" vertical="top" wrapText="1"/>
    </xf>
    <xf numFmtId="0" fontId="116" fillId="33" borderId="93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1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5" xfId="2677" applyFont="1" applyFill="1" applyBorder="1" applyAlignment="1">
      <alignment horizontal="center"/>
    </xf>
    <xf numFmtId="0" fontId="1" fillId="0" borderId="21" xfId="1652" applyFont="1" applyBorder="1" applyAlignment="1">
      <alignment horizontal="left"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59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1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60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/>
    </xf>
    <xf numFmtId="0" fontId="47" fillId="0" borderId="5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0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2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6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2" xfId="2673" applyFont="1" applyFill="1" applyBorder="1" applyAlignment="1">
      <alignment horizontal="center" vertical="center" wrapText="1"/>
    </xf>
    <xf numFmtId="0" fontId="157" fillId="42" borderId="73" xfId="2673" applyFont="1" applyFill="1" applyBorder="1" applyAlignment="1">
      <alignment horizontal="center" vertical="center" wrapText="1"/>
    </xf>
    <xf numFmtId="0" fontId="157" fillId="42" borderId="74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4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4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4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55" xfId="2673" applyNumberFormat="1" applyFont="1" applyFill="1" applyBorder="1" applyAlignment="1">
      <alignment horizontal="center" vertical="center" wrapText="1"/>
    </xf>
    <xf numFmtId="2" fontId="130" fillId="43" borderId="76" xfId="2673" applyNumberFormat="1" applyFont="1" applyFill="1" applyBorder="1" applyAlignment="1">
      <alignment horizontal="center" vertical="center" wrapText="1"/>
    </xf>
    <xf numFmtId="0" fontId="160" fillId="0" borderId="48" xfId="2673" applyFont="1" applyBorder="1" applyAlignment="1">
      <alignment horizontal="center" vertical="center" wrapText="1"/>
    </xf>
    <xf numFmtId="0" fontId="160" fillId="0" borderId="54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57" xfId="2675" applyFont="1" applyFill="1" applyBorder="1" applyAlignment="1">
      <alignment horizontal="center" vertical="center" wrapText="1"/>
    </xf>
    <xf numFmtId="9" fontId="130" fillId="35" borderId="58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77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78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4" xfId="2673" applyFont="1" applyFill="1" applyBorder="1" applyAlignment="1">
      <alignment horizontal="center" vertical="center" wrapText="1"/>
    </xf>
    <xf numFmtId="2" fontId="130" fillId="35" borderId="55" xfId="2673" applyNumberFormat="1" applyFont="1" applyFill="1" applyBorder="1" applyAlignment="1">
      <alignment horizontal="center" vertical="center" wrapText="1"/>
    </xf>
    <xf numFmtId="2" fontId="130" fillId="35" borderId="76" xfId="2673" applyNumberFormat="1" applyFont="1" applyFill="1" applyBorder="1" applyAlignment="1">
      <alignment horizontal="center" vertical="center" wrapText="1"/>
    </xf>
    <xf numFmtId="0" fontId="157" fillId="41" borderId="72" xfId="2673" applyFont="1" applyFill="1" applyBorder="1" applyAlignment="1">
      <alignment horizontal="center" vertical="center" wrapText="1"/>
    </xf>
    <xf numFmtId="0" fontId="157" fillId="41" borderId="73" xfId="2673" applyFont="1" applyFill="1" applyBorder="1" applyAlignment="1">
      <alignment horizontal="center" vertical="center" wrapText="1"/>
    </xf>
    <xf numFmtId="0" fontId="157" fillId="41" borderId="74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4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4" xfId="2673" applyNumberFormat="1" applyFont="1" applyFill="1" applyBorder="1" applyAlignment="1">
      <alignment horizontal="center" vertical="center" wrapText="1"/>
    </xf>
    <xf numFmtId="43" fontId="142" fillId="0" borderId="51" xfId="2673" applyNumberFormat="1" applyFont="1" applyBorder="1" applyAlignment="1">
      <alignment horizontal="center" vertical="center" wrapText="1"/>
    </xf>
    <xf numFmtId="0" fontId="142" fillId="0" borderId="52" xfId="2673" applyFont="1" applyBorder="1" applyAlignment="1">
      <alignment horizontal="center" vertical="center" wrapText="1"/>
    </xf>
    <xf numFmtId="9" fontId="130" fillId="0" borderId="57" xfId="2675" applyFont="1" applyFill="1" applyBorder="1" applyAlignment="1">
      <alignment horizontal="center" vertical="center" wrapText="1"/>
    </xf>
    <xf numFmtId="9" fontId="130" fillId="0" borderId="58" xfId="2675" applyFont="1" applyFill="1" applyBorder="1" applyAlignment="1">
      <alignment horizontal="center" vertical="center" wrapText="1"/>
    </xf>
    <xf numFmtId="0" fontId="6" fillId="34" borderId="61" xfId="2670" applyFill="1" applyBorder="1" applyAlignment="1">
      <alignment horizontal="center" vertical="center"/>
    </xf>
    <xf numFmtId="0" fontId="134" fillId="0" borderId="62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3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6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47" xfId="1614" applyFont="1" applyFill="1" applyBorder="1" applyAlignment="1">
      <alignment horizontal="center" vertical="center"/>
    </xf>
    <xf numFmtId="0" fontId="150" fillId="35" borderId="50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0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12" fillId="33" borderId="48" xfId="2677" applyFont="1" applyFill="1" applyBorder="1" applyAlignment="1">
      <alignment horizontal="center"/>
    </xf>
    <xf numFmtId="0" fontId="112" fillId="33" borderId="40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0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2" fillId="33" borderId="5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3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0" xfId="2677" applyFont="1" applyFill="1" applyBorder="1" applyAlignment="1">
      <alignment vertical="top" wrapText="1"/>
    </xf>
    <xf numFmtId="0" fontId="116" fillId="33" borderId="90" xfId="2677" applyFont="1" applyFill="1" applyBorder="1" applyAlignment="1">
      <alignment horizontal="center" vertical="center" wrapText="1"/>
    </xf>
    <xf numFmtId="0" fontId="116" fillId="33" borderId="91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0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42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49" fontId="112" fillId="33" borderId="48" xfId="2677" applyNumberFormat="1" applyFont="1" applyFill="1" applyBorder="1" applyAlignment="1">
      <alignment horizontal="left" vertical="center"/>
    </xf>
    <xf numFmtId="49" fontId="112" fillId="33" borderId="40" xfId="2677" applyNumberFormat="1" applyFont="1" applyFill="1" applyBorder="1" applyAlignment="1">
      <alignment horizontal="left" vertical="center"/>
    </xf>
    <xf numFmtId="49" fontId="112" fillId="33" borderId="48" xfId="2677" applyNumberFormat="1" applyFont="1" applyFill="1" applyBorder="1" applyAlignment="1">
      <alignment vertical="center"/>
    </xf>
    <xf numFmtId="49" fontId="112" fillId="33" borderId="40" xfId="2677" applyNumberFormat="1" applyFont="1" applyFill="1" applyBorder="1" applyAlignment="1">
      <alignment vertical="center"/>
    </xf>
    <xf numFmtId="49" fontId="112" fillId="33" borderId="48" xfId="2677" applyNumberFormat="1" applyFont="1" applyFill="1" applyBorder="1" applyAlignment="1">
      <alignment vertical="top" wrapText="1"/>
    </xf>
    <xf numFmtId="49" fontId="112" fillId="33" borderId="40" xfId="2677" applyNumberFormat="1" applyFont="1" applyFill="1" applyBorder="1" applyAlignment="1">
      <alignment vertical="top" wrapText="1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48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0" xfId="2677" applyFont="1" applyFill="1" applyBorder="1" applyAlignment="1">
      <alignment horizontal="center" vertical="center"/>
    </xf>
    <xf numFmtId="0" fontId="113" fillId="33" borderId="48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4" xfId="2677" applyFont="1" applyFill="1" applyBorder="1" applyAlignment="1">
      <alignment horizontal="center" vertical="center"/>
    </xf>
    <xf numFmtId="0" fontId="127" fillId="35" borderId="53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6" xfId="2677" applyFont="1" applyFill="1" applyBorder="1" applyAlignment="1">
      <alignment horizontal="center" vertical="center"/>
    </xf>
    <xf numFmtId="0" fontId="127" fillId="35" borderId="42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68" fillId="0" borderId="81" xfId="1451" applyFont="1" applyBorder="1" applyAlignment="1">
      <alignment horizontal="center" vertical="center"/>
    </xf>
    <xf numFmtId="0" fontId="168" fillId="0" borderId="82" xfId="1451" applyFont="1" applyBorder="1" applyAlignment="1">
      <alignment horizontal="center" vertical="center"/>
    </xf>
    <xf numFmtId="0" fontId="168" fillId="0" borderId="83" xfId="1451" applyFont="1" applyBorder="1" applyAlignment="1">
      <alignment horizontal="center" vertical="center"/>
    </xf>
    <xf numFmtId="0" fontId="168" fillId="0" borderId="84" xfId="1451" applyFont="1" applyBorder="1" applyAlignment="1">
      <alignment horizontal="center" vertical="center"/>
    </xf>
    <xf numFmtId="0" fontId="168" fillId="0" borderId="85" xfId="1451" applyFont="1" applyBorder="1" applyAlignment="1">
      <alignment horizontal="center" vertical="center"/>
    </xf>
    <xf numFmtId="0" fontId="168" fillId="0" borderId="86" xfId="1451" applyFont="1" applyBorder="1" applyAlignment="1">
      <alignment horizontal="center" vertical="center"/>
    </xf>
    <xf numFmtId="0" fontId="170" fillId="33" borderId="81" xfId="1451" applyFont="1" applyFill="1" applyBorder="1" applyAlignment="1">
      <alignment horizontal="center" vertical="center"/>
    </xf>
    <xf numFmtId="0" fontId="170" fillId="33" borderId="82" xfId="1451" applyFont="1" applyFill="1" applyBorder="1" applyAlignment="1">
      <alignment horizontal="center" vertical="center"/>
    </xf>
    <xf numFmtId="0" fontId="170" fillId="33" borderId="83" xfId="1451" applyFont="1" applyFill="1" applyBorder="1" applyAlignment="1">
      <alignment horizontal="center" vertical="center"/>
    </xf>
    <xf numFmtId="0" fontId="170" fillId="33" borderId="84" xfId="1451" applyFont="1" applyFill="1" applyBorder="1" applyAlignment="1">
      <alignment horizontal="center" vertical="center"/>
    </xf>
    <xf numFmtId="0" fontId="170" fillId="33" borderId="85" xfId="1451" applyFont="1" applyFill="1" applyBorder="1" applyAlignment="1">
      <alignment horizontal="center" vertical="center"/>
    </xf>
    <xf numFmtId="0" fontId="170" fillId="33" borderId="86" xfId="1451" applyFont="1" applyFill="1" applyBorder="1" applyAlignment="1">
      <alignment horizontal="center" vertical="center"/>
    </xf>
    <xf numFmtId="0" fontId="112" fillId="33" borderId="114" xfId="2677" applyFont="1" applyFill="1" applyBorder="1" applyAlignment="1">
      <alignment horizontal="center"/>
    </xf>
    <xf numFmtId="0" fontId="112" fillId="33" borderId="115" xfId="2677" applyFont="1" applyFill="1" applyBorder="1" applyAlignment="1">
      <alignment horizontal="center"/>
    </xf>
    <xf numFmtId="0" fontId="112" fillId="33" borderId="116" xfId="2677" applyFont="1" applyFill="1" applyBorder="1" applyAlignment="1">
      <alignment horizontal="center"/>
    </xf>
    <xf numFmtId="49" fontId="89" fillId="33" borderId="117" xfId="2677" applyNumberFormat="1" applyFont="1" applyFill="1" applyBorder="1" applyAlignment="1">
      <alignment horizontal="left" vertical="center"/>
    </xf>
    <xf numFmtId="49" fontId="89" fillId="33" borderId="118" xfId="2677" applyNumberFormat="1" applyFont="1" applyFill="1" applyBorder="1" applyAlignment="1">
      <alignment horizontal="left" vertical="center"/>
    </xf>
    <xf numFmtId="0" fontId="89" fillId="33" borderId="118" xfId="2677" applyFont="1" applyFill="1" applyBorder="1" applyAlignment="1">
      <alignment horizontal="center" vertical="center"/>
    </xf>
    <xf numFmtId="0" fontId="89" fillId="33" borderId="119" xfId="2677" applyFont="1" applyFill="1" applyBorder="1" applyAlignment="1">
      <alignment horizontal="center" vertical="center"/>
    </xf>
    <xf numFmtId="49" fontId="171" fillId="33" borderId="117" xfId="2677" applyNumberFormat="1" applyFont="1" applyFill="1" applyBorder="1" applyAlignment="1">
      <alignment horizontal="left" vertical="center"/>
    </xf>
    <xf numFmtId="49" fontId="171" fillId="33" borderId="118" xfId="2677" applyNumberFormat="1" applyFont="1" applyFill="1" applyBorder="1" applyAlignment="1">
      <alignment horizontal="left" vertical="center"/>
    </xf>
    <xf numFmtId="0" fontId="171" fillId="33" borderId="120" xfId="2677" applyFont="1" applyFill="1" applyBorder="1" applyAlignment="1">
      <alignment horizontal="left" vertical="center"/>
    </xf>
    <xf numFmtId="0" fontId="171" fillId="33" borderId="121" xfId="2677" applyFont="1" applyFill="1" applyBorder="1" applyAlignment="1">
      <alignment horizontal="left" vertical="center"/>
    </xf>
    <xf numFmtId="0" fontId="89" fillId="33" borderId="117" xfId="2677" applyFont="1" applyFill="1" applyBorder="1" applyAlignment="1">
      <alignment horizontal="left" vertical="center"/>
    </xf>
    <xf numFmtId="0" fontId="89" fillId="33" borderId="118" xfId="2677" applyFont="1" applyFill="1" applyBorder="1" applyAlignment="1">
      <alignment horizontal="left" vertical="center"/>
    </xf>
    <xf numFmtId="0" fontId="89" fillId="33" borderId="120" xfId="2677" applyFont="1" applyFill="1" applyBorder="1" applyAlignment="1">
      <alignment horizontal="left" vertical="center"/>
    </xf>
    <xf numFmtId="0" fontId="89" fillId="33" borderId="121" xfId="2677" applyFont="1" applyFill="1" applyBorder="1" applyAlignment="1">
      <alignment horizontal="left" vertical="center"/>
    </xf>
    <xf numFmtId="0" fontId="89" fillId="33" borderId="120" xfId="2677" applyFont="1" applyFill="1" applyBorder="1" applyAlignment="1">
      <alignment horizontal="left" vertical="center"/>
    </xf>
    <xf numFmtId="0" fontId="89" fillId="33" borderId="121" xfId="2677" applyFont="1" applyFill="1" applyBorder="1" applyAlignment="1">
      <alignment horizontal="left" vertical="center"/>
    </xf>
    <xf numFmtId="0" fontId="89" fillId="33" borderId="117" xfId="2677" applyFont="1" applyFill="1" applyBorder="1" applyAlignment="1">
      <alignment horizontal="left" vertical="center"/>
    </xf>
    <xf numFmtId="0" fontId="89" fillId="33" borderId="118" xfId="2677" applyFont="1" applyFill="1" applyBorder="1" applyAlignment="1">
      <alignment horizontal="left" vertical="center"/>
    </xf>
    <xf numFmtId="0" fontId="89" fillId="33" borderId="122" xfId="2677" applyFont="1" applyFill="1" applyBorder="1" applyAlignment="1">
      <alignment horizontal="left" vertical="center"/>
    </xf>
    <xf numFmtId="0" fontId="172" fillId="33" borderId="120" xfId="2677" applyFont="1" applyFill="1" applyBorder="1" applyAlignment="1">
      <alignment horizontal="left" vertical="center"/>
    </xf>
    <xf numFmtId="0" fontId="172" fillId="33" borderId="122" xfId="2677" applyFont="1" applyFill="1" applyBorder="1" applyAlignment="1">
      <alignment horizontal="left" vertical="center"/>
    </xf>
    <xf numFmtId="0" fontId="89" fillId="33" borderId="123" xfId="2677" applyFont="1" applyFill="1" applyBorder="1" applyAlignment="1">
      <alignment horizontal="center" vertical="center"/>
    </xf>
    <xf numFmtId="0" fontId="113" fillId="33" borderId="115" xfId="2677" applyFont="1" applyFill="1" applyBorder="1" applyAlignment="1">
      <alignment horizontal="left" vertical="top" wrapText="1"/>
    </xf>
    <xf numFmtId="0" fontId="113" fillId="33" borderId="116" xfId="2677" applyFont="1" applyFill="1" applyBorder="1" applyAlignment="1">
      <alignment horizontal="left" vertical="top" wrapText="1"/>
    </xf>
    <xf numFmtId="0" fontId="112" fillId="33" borderId="115" xfId="2677" applyFont="1" applyFill="1" applyBorder="1" applyAlignment="1">
      <alignment horizontal="center" vertical="center"/>
    </xf>
    <xf numFmtId="0" fontId="112" fillId="33" borderId="116" xfId="2677" applyFont="1" applyFill="1" applyBorder="1" applyAlignment="1">
      <alignment horizontal="center" vertical="center"/>
    </xf>
  </cellXfs>
  <cellStyles count="411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9" xr:uid="{233D5C07-4194-4594-9AA6-B38A090A299E}"/>
    <cellStyle name="20% - Accent1 11" xfId="4" xr:uid="{00000000-0005-0000-0000-000003000000}"/>
    <cellStyle name="20% - Accent1 11 2" xfId="2710" xr:uid="{2149F349-FD66-4F66-99A5-85BCA887BC44}"/>
    <cellStyle name="20% - Accent1 12" xfId="5" xr:uid="{00000000-0005-0000-0000-000004000000}"/>
    <cellStyle name="20% - Accent1 12 2" xfId="2711" xr:uid="{0CC782AC-819A-4893-98BA-DAC4BF54CC83}"/>
    <cellStyle name="20% - Accent1 13" xfId="6" xr:uid="{00000000-0005-0000-0000-000005000000}"/>
    <cellStyle name="20% - Accent1 13 2" xfId="2712" xr:uid="{7C708304-C66C-40A4-A38D-0E1DB9DF295C}"/>
    <cellStyle name="20% - Accent1 14" xfId="7" xr:uid="{00000000-0005-0000-0000-000006000000}"/>
    <cellStyle name="20% - Accent1 14 2" xfId="2713" xr:uid="{1B6953E7-5B9F-408E-A86C-FF13FD83D482}"/>
    <cellStyle name="20% - Accent1 15" xfId="8" xr:uid="{00000000-0005-0000-0000-000007000000}"/>
    <cellStyle name="20% - Accent1 15 2" xfId="2714" xr:uid="{208E311E-2E9B-4BF5-A980-C379A83CD4A4}"/>
    <cellStyle name="20% - Accent1 16" xfId="9" xr:uid="{00000000-0005-0000-0000-000008000000}"/>
    <cellStyle name="20% - Accent1 16 2" xfId="2715" xr:uid="{7311CC1C-A5C1-422D-A149-4A13092D3D54}"/>
    <cellStyle name="20% - Accent1 17" xfId="2679" xr:uid="{6DCD1EE7-785D-402C-94C8-7FA91848BBF7}"/>
    <cellStyle name="20% - Accent1 2" xfId="10" xr:uid="{00000000-0005-0000-0000-000009000000}"/>
    <cellStyle name="20% - Accent1 2 2" xfId="11" xr:uid="{00000000-0005-0000-0000-00000A000000}"/>
    <cellStyle name="20% - Accent1 2 2 2" xfId="2717" xr:uid="{05B2C0C2-E51C-4CF5-A360-3C90C14D1AE4}"/>
    <cellStyle name="20% - Accent1 2 3" xfId="12" xr:uid="{00000000-0005-0000-0000-00000B000000}"/>
    <cellStyle name="20% - Accent1 2 3 2" xfId="2718" xr:uid="{50322DA9-1B41-46F2-8D6B-DD9AE8B2D901}"/>
    <cellStyle name="20% - Accent1 2 4" xfId="2716" xr:uid="{5039251D-F7B8-41A7-87E7-4187311723F3}"/>
    <cellStyle name="20% - Accent1 3" xfId="13" xr:uid="{00000000-0005-0000-0000-00000C000000}"/>
    <cellStyle name="20% - Accent1 3 2" xfId="2719" xr:uid="{70F107F4-1D33-49B8-A710-88D05C75C232}"/>
    <cellStyle name="20% - Accent1 4" xfId="14" xr:uid="{00000000-0005-0000-0000-00000D000000}"/>
    <cellStyle name="20% - Accent1 4 2" xfId="2720" xr:uid="{42D6AC18-C9C5-4048-87EC-70ABEFCA228E}"/>
    <cellStyle name="20% - Accent1 5" xfId="15" xr:uid="{00000000-0005-0000-0000-00000E000000}"/>
    <cellStyle name="20% - Accent1 5 2" xfId="2721" xr:uid="{0037A79B-10CB-4208-9B11-654DA1BAB682}"/>
    <cellStyle name="20% - Accent1 6" xfId="16" xr:uid="{00000000-0005-0000-0000-00000F000000}"/>
    <cellStyle name="20% - Accent1 6 2" xfId="2722" xr:uid="{82533E88-0890-4BEA-AE3B-BA987D79849A}"/>
    <cellStyle name="20% - Accent1 7" xfId="17" xr:uid="{00000000-0005-0000-0000-000010000000}"/>
    <cellStyle name="20% - Accent1 7 2" xfId="2723" xr:uid="{759124BE-30C3-452A-9DDC-48520F0D0B95}"/>
    <cellStyle name="20% - Accent1 8" xfId="18" xr:uid="{00000000-0005-0000-0000-000011000000}"/>
    <cellStyle name="20% - Accent1 8 2" xfId="2724" xr:uid="{7DCDAC08-C351-4EF8-97A6-EFE5CD63194C}"/>
    <cellStyle name="20% - Accent1 9" xfId="19" xr:uid="{00000000-0005-0000-0000-000012000000}"/>
    <cellStyle name="20% - Accent1 9 2" xfId="2725" xr:uid="{8E3FE722-D4FE-4288-9208-8A907631CB80}"/>
    <cellStyle name="20% - Accent2" xfId="20" builtinId="34" customBuiltin="1"/>
    <cellStyle name="20% - Accent2 10" xfId="21" xr:uid="{00000000-0005-0000-0000-000014000000}"/>
    <cellStyle name="20% - Accent2 10 2" xfId="2726" xr:uid="{FDCE7D7C-7404-4EE7-A417-D82639CCA2B3}"/>
    <cellStyle name="20% - Accent2 11" xfId="22" xr:uid="{00000000-0005-0000-0000-000015000000}"/>
    <cellStyle name="20% - Accent2 11 2" xfId="2727" xr:uid="{BA661AA5-9FE0-4BB0-A3B6-ABD0699470C6}"/>
    <cellStyle name="20% - Accent2 12" xfId="23" xr:uid="{00000000-0005-0000-0000-000016000000}"/>
    <cellStyle name="20% - Accent2 12 2" xfId="2728" xr:uid="{42005158-6DA2-42F3-A7FB-665B5996AB0D}"/>
    <cellStyle name="20% - Accent2 13" xfId="24" xr:uid="{00000000-0005-0000-0000-000017000000}"/>
    <cellStyle name="20% - Accent2 13 2" xfId="2729" xr:uid="{1814ADE5-918E-436B-B050-381129543B0F}"/>
    <cellStyle name="20% - Accent2 14" xfId="25" xr:uid="{00000000-0005-0000-0000-000018000000}"/>
    <cellStyle name="20% - Accent2 14 2" xfId="2730" xr:uid="{FE99752F-CF8B-4EA5-938C-C8948F207971}"/>
    <cellStyle name="20% - Accent2 15" xfId="26" xr:uid="{00000000-0005-0000-0000-000019000000}"/>
    <cellStyle name="20% - Accent2 15 2" xfId="2731" xr:uid="{99AB9EB4-CBA6-4644-BD8B-75656C649AA4}"/>
    <cellStyle name="20% - Accent2 16" xfId="27" xr:uid="{00000000-0005-0000-0000-00001A000000}"/>
    <cellStyle name="20% - Accent2 16 2" xfId="2732" xr:uid="{E6BD10AD-8D38-4A92-90EE-3B144FA21D2A}"/>
    <cellStyle name="20% - Accent2 17" xfId="2680" xr:uid="{402E4F19-3C04-4F91-9BC4-CAF5AE9D3D00}"/>
    <cellStyle name="20% - Accent2 2" xfId="28" xr:uid="{00000000-0005-0000-0000-00001B000000}"/>
    <cellStyle name="20% - Accent2 2 2" xfId="29" xr:uid="{00000000-0005-0000-0000-00001C000000}"/>
    <cellStyle name="20% - Accent2 2 2 2" xfId="2734" xr:uid="{EBE63731-08E1-4238-8506-1C0319F219E1}"/>
    <cellStyle name="20% - Accent2 2 3" xfId="30" xr:uid="{00000000-0005-0000-0000-00001D000000}"/>
    <cellStyle name="20% - Accent2 2 3 2" xfId="2735" xr:uid="{948DD0DA-FC49-41C1-BE12-735E2CF53AF4}"/>
    <cellStyle name="20% - Accent2 2 4" xfId="2733" xr:uid="{FF0F0188-888B-4951-B275-84E1C155FA5F}"/>
    <cellStyle name="20% - Accent2 3" xfId="31" xr:uid="{00000000-0005-0000-0000-00001E000000}"/>
    <cellStyle name="20% - Accent2 3 2" xfId="2736" xr:uid="{2569B354-695F-4911-BB24-AA536C81F3EB}"/>
    <cellStyle name="20% - Accent2 4" xfId="32" xr:uid="{00000000-0005-0000-0000-00001F000000}"/>
    <cellStyle name="20% - Accent2 4 2" xfId="2737" xr:uid="{6A8B2E08-DC9F-44D3-86BF-3DF08B2E7E1E}"/>
    <cellStyle name="20% - Accent2 5" xfId="33" xr:uid="{00000000-0005-0000-0000-000020000000}"/>
    <cellStyle name="20% - Accent2 5 2" xfId="2738" xr:uid="{4ADB6DB2-B956-4FE8-86EE-4AA7711F57B4}"/>
    <cellStyle name="20% - Accent2 6" xfId="34" xr:uid="{00000000-0005-0000-0000-000021000000}"/>
    <cellStyle name="20% - Accent2 6 2" xfId="2739" xr:uid="{92A215B8-1979-4367-AF4B-2D5E315FDDCE}"/>
    <cellStyle name="20% - Accent2 7" xfId="35" xr:uid="{00000000-0005-0000-0000-000022000000}"/>
    <cellStyle name="20% - Accent2 7 2" xfId="2740" xr:uid="{AD41CA55-86A8-41AF-817C-C51FB5543347}"/>
    <cellStyle name="20% - Accent2 8" xfId="36" xr:uid="{00000000-0005-0000-0000-000023000000}"/>
    <cellStyle name="20% - Accent2 8 2" xfId="2741" xr:uid="{072CB940-B50A-4E6C-9448-39946EF572B2}"/>
    <cellStyle name="20% - Accent2 9" xfId="37" xr:uid="{00000000-0005-0000-0000-000024000000}"/>
    <cellStyle name="20% - Accent2 9 2" xfId="2742" xr:uid="{DE8997D0-0CF2-4CF5-AEC1-0C20E5C50241}"/>
    <cellStyle name="20% - Accent3" xfId="38" builtinId="38" customBuiltin="1"/>
    <cellStyle name="20% - Accent3 10" xfId="39" xr:uid="{00000000-0005-0000-0000-000026000000}"/>
    <cellStyle name="20% - Accent3 10 2" xfId="2743" xr:uid="{07541E5A-7922-4593-883F-32B00340EA78}"/>
    <cellStyle name="20% - Accent3 11" xfId="40" xr:uid="{00000000-0005-0000-0000-000027000000}"/>
    <cellStyle name="20% - Accent3 11 2" xfId="2744" xr:uid="{FC551504-0DF7-4218-B89B-31C8E7D87965}"/>
    <cellStyle name="20% - Accent3 12" xfId="41" xr:uid="{00000000-0005-0000-0000-000028000000}"/>
    <cellStyle name="20% - Accent3 12 2" xfId="2745" xr:uid="{1791B0E2-EB1B-4067-943F-CF13773F1981}"/>
    <cellStyle name="20% - Accent3 13" xfId="42" xr:uid="{00000000-0005-0000-0000-000029000000}"/>
    <cellStyle name="20% - Accent3 13 2" xfId="2746" xr:uid="{71D81084-29B0-4199-9C01-1F92D1565033}"/>
    <cellStyle name="20% - Accent3 14" xfId="43" xr:uid="{00000000-0005-0000-0000-00002A000000}"/>
    <cellStyle name="20% - Accent3 14 2" xfId="2747" xr:uid="{790452D8-F3A5-48C4-A8AE-97F3227FC268}"/>
    <cellStyle name="20% - Accent3 15" xfId="44" xr:uid="{00000000-0005-0000-0000-00002B000000}"/>
    <cellStyle name="20% - Accent3 15 2" xfId="2748" xr:uid="{251D518B-B717-4B67-8D59-3BD26ADE8174}"/>
    <cellStyle name="20% - Accent3 16" xfId="45" xr:uid="{00000000-0005-0000-0000-00002C000000}"/>
    <cellStyle name="20% - Accent3 16 2" xfId="2749" xr:uid="{313E65FD-B6FF-4A33-9EAF-4D7A875E74AD}"/>
    <cellStyle name="20% - Accent3 17" xfId="2681" xr:uid="{C87D24AD-2897-4303-8954-54C96B90FE70}"/>
    <cellStyle name="20% - Accent3 2" xfId="46" xr:uid="{00000000-0005-0000-0000-00002D000000}"/>
    <cellStyle name="20% - Accent3 2 2" xfId="47" xr:uid="{00000000-0005-0000-0000-00002E000000}"/>
    <cellStyle name="20% - Accent3 2 2 2" xfId="2751" xr:uid="{694D14DA-C8B6-4757-B14B-EAD907C0444A}"/>
    <cellStyle name="20% - Accent3 2 3" xfId="48" xr:uid="{00000000-0005-0000-0000-00002F000000}"/>
    <cellStyle name="20% - Accent3 2 3 2" xfId="2752" xr:uid="{F40FCB40-2979-483D-90B3-652211D287C5}"/>
    <cellStyle name="20% - Accent3 2 4" xfId="2750" xr:uid="{7B3990FB-A11E-44A9-B024-47ECE5FFDC92}"/>
    <cellStyle name="20% - Accent3 3" xfId="49" xr:uid="{00000000-0005-0000-0000-000030000000}"/>
    <cellStyle name="20% - Accent3 3 2" xfId="2753" xr:uid="{50BEF107-CD2C-4615-AFBE-4535B747A7B5}"/>
    <cellStyle name="20% - Accent3 4" xfId="50" xr:uid="{00000000-0005-0000-0000-000031000000}"/>
    <cellStyle name="20% - Accent3 4 2" xfId="2754" xr:uid="{97903C99-5232-47D1-840C-DB3C5BD2D872}"/>
    <cellStyle name="20% - Accent3 5" xfId="51" xr:uid="{00000000-0005-0000-0000-000032000000}"/>
    <cellStyle name="20% - Accent3 5 2" xfId="2755" xr:uid="{977FA4CF-B699-42C7-AB9C-BE367774457B}"/>
    <cellStyle name="20% - Accent3 6" xfId="52" xr:uid="{00000000-0005-0000-0000-000033000000}"/>
    <cellStyle name="20% - Accent3 6 2" xfId="2756" xr:uid="{FDAAB343-30B2-482A-83E8-74AC21A8DA38}"/>
    <cellStyle name="20% - Accent3 7" xfId="53" xr:uid="{00000000-0005-0000-0000-000034000000}"/>
    <cellStyle name="20% - Accent3 7 2" xfId="2757" xr:uid="{D88276AD-959D-46ED-B4F4-3D452818B7D6}"/>
    <cellStyle name="20% - Accent3 8" xfId="54" xr:uid="{00000000-0005-0000-0000-000035000000}"/>
    <cellStyle name="20% - Accent3 8 2" xfId="2758" xr:uid="{407A3697-CB21-4248-95AB-7E0B222DA38F}"/>
    <cellStyle name="20% - Accent3 9" xfId="55" xr:uid="{00000000-0005-0000-0000-000036000000}"/>
    <cellStyle name="20% - Accent3 9 2" xfId="2759" xr:uid="{45C6C667-5BCA-4CED-B2CD-A91766844D59}"/>
    <cellStyle name="20% - Accent4" xfId="56" builtinId="42" customBuiltin="1"/>
    <cellStyle name="20% - Accent4 10" xfId="57" xr:uid="{00000000-0005-0000-0000-000038000000}"/>
    <cellStyle name="20% - Accent4 10 2" xfId="2760" xr:uid="{D595EE21-D7A3-4F95-B2AA-7D4E2342E551}"/>
    <cellStyle name="20% - Accent4 11" xfId="58" xr:uid="{00000000-0005-0000-0000-000039000000}"/>
    <cellStyle name="20% - Accent4 11 2" xfId="2761" xr:uid="{71E821DC-55E6-41BC-B242-EAB2052E8A4D}"/>
    <cellStyle name="20% - Accent4 12" xfId="59" xr:uid="{00000000-0005-0000-0000-00003A000000}"/>
    <cellStyle name="20% - Accent4 12 2" xfId="2762" xr:uid="{7B372BA5-9497-4E30-A6DD-2BE7417A9284}"/>
    <cellStyle name="20% - Accent4 13" xfId="60" xr:uid="{00000000-0005-0000-0000-00003B000000}"/>
    <cellStyle name="20% - Accent4 13 2" xfId="2763" xr:uid="{A73076BB-D791-4F57-9E7B-6FB6A6DF6C92}"/>
    <cellStyle name="20% - Accent4 14" xfId="61" xr:uid="{00000000-0005-0000-0000-00003C000000}"/>
    <cellStyle name="20% - Accent4 14 2" xfId="2764" xr:uid="{7311DFAF-1B03-4C7B-825A-BD9FA79DFCA5}"/>
    <cellStyle name="20% - Accent4 15" xfId="62" xr:uid="{00000000-0005-0000-0000-00003D000000}"/>
    <cellStyle name="20% - Accent4 15 2" xfId="2765" xr:uid="{92292A1C-2E59-437B-B7F7-DDC3F7971463}"/>
    <cellStyle name="20% - Accent4 16" xfId="63" xr:uid="{00000000-0005-0000-0000-00003E000000}"/>
    <cellStyle name="20% - Accent4 16 2" xfId="2766" xr:uid="{90BF954A-51F4-49D5-AEBF-A6B8AD6484E4}"/>
    <cellStyle name="20% - Accent4 17" xfId="2682" xr:uid="{29140EE4-86D4-421F-9624-A79E624373DB}"/>
    <cellStyle name="20% - Accent4 2" xfId="64" xr:uid="{00000000-0005-0000-0000-00003F000000}"/>
    <cellStyle name="20% - Accent4 2 2" xfId="65" xr:uid="{00000000-0005-0000-0000-000040000000}"/>
    <cellStyle name="20% - Accent4 2 2 2" xfId="2768" xr:uid="{3C264BA4-C99A-4C34-A9AC-0C30667093AA}"/>
    <cellStyle name="20% - Accent4 2 3" xfId="66" xr:uid="{00000000-0005-0000-0000-000041000000}"/>
    <cellStyle name="20% - Accent4 2 3 2" xfId="2769" xr:uid="{54800316-09DB-4C4F-8064-07D8103A58AA}"/>
    <cellStyle name="20% - Accent4 2 4" xfId="2767" xr:uid="{7B395C1E-46D0-4ED5-9D51-6477A20D90B1}"/>
    <cellStyle name="20% - Accent4 3" xfId="67" xr:uid="{00000000-0005-0000-0000-000042000000}"/>
    <cellStyle name="20% - Accent4 3 2" xfId="2770" xr:uid="{2191B336-3A63-4FD6-B6E4-40B5DF0A51D0}"/>
    <cellStyle name="20% - Accent4 4" xfId="68" xr:uid="{00000000-0005-0000-0000-000043000000}"/>
    <cellStyle name="20% - Accent4 4 2" xfId="2771" xr:uid="{7CA75584-829E-4756-8115-36A015D22F8D}"/>
    <cellStyle name="20% - Accent4 5" xfId="69" xr:uid="{00000000-0005-0000-0000-000044000000}"/>
    <cellStyle name="20% - Accent4 5 2" xfId="2772" xr:uid="{8BF8EE12-E857-4DF5-9291-AC77E7248962}"/>
    <cellStyle name="20% - Accent4 6" xfId="70" xr:uid="{00000000-0005-0000-0000-000045000000}"/>
    <cellStyle name="20% - Accent4 6 2" xfId="2773" xr:uid="{B096B9FE-D782-4C37-8C34-6824008EAD44}"/>
    <cellStyle name="20% - Accent4 7" xfId="71" xr:uid="{00000000-0005-0000-0000-000046000000}"/>
    <cellStyle name="20% - Accent4 7 2" xfId="2774" xr:uid="{B194AA5C-DA31-43ED-8921-0330FD6FFFF9}"/>
    <cellStyle name="20% - Accent4 8" xfId="72" xr:uid="{00000000-0005-0000-0000-000047000000}"/>
    <cellStyle name="20% - Accent4 8 2" xfId="2775" xr:uid="{40BFBAF6-FE7C-4E52-8E0C-8F432663B827}"/>
    <cellStyle name="20% - Accent4 9" xfId="73" xr:uid="{00000000-0005-0000-0000-000048000000}"/>
    <cellStyle name="20% - Accent4 9 2" xfId="2776" xr:uid="{6546A253-7802-4DE2-B113-9BF81AFDCAA4}"/>
    <cellStyle name="20% - Accent5" xfId="74" builtinId="46" customBuiltin="1"/>
    <cellStyle name="20% - Accent5 10" xfId="75" xr:uid="{00000000-0005-0000-0000-00004A000000}"/>
    <cellStyle name="20% - Accent5 10 2" xfId="2777" xr:uid="{4434087C-48F0-4D84-B038-586D1D69AEE6}"/>
    <cellStyle name="20% - Accent5 11" xfId="76" xr:uid="{00000000-0005-0000-0000-00004B000000}"/>
    <cellStyle name="20% - Accent5 11 2" xfId="2778" xr:uid="{ED96549A-7C01-43F8-BAFB-69A1BE947F6B}"/>
    <cellStyle name="20% - Accent5 12" xfId="77" xr:uid="{00000000-0005-0000-0000-00004C000000}"/>
    <cellStyle name="20% - Accent5 12 2" xfId="2779" xr:uid="{676D9A6E-C912-47B4-8365-AA4E6FA67AC5}"/>
    <cellStyle name="20% - Accent5 13" xfId="78" xr:uid="{00000000-0005-0000-0000-00004D000000}"/>
    <cellStyle name="20% - Accent5 13 2" xfId="2780" xr:uid="{81AFB885-A3BE-4816-BB97-2B7812A5BB83}"/>
    <cellStyle name="20% - Accent5 14" xfId="79" xr:uid="{00000000-0005-0000-0000-00004E000000}"/>
    <cellStyle name="20% - Accent5 14 2" xfId="2781" xr:uid="{2AC6D509-320C-478B-A3C1-24BC86043A14}"/>
    <cellStyle name="20% - Accent5 15" xfId="80" xr:uid="{00000000-0005-0000-0000-00004F000000}"/>
    <cellStyle name="20% - Accent5 15 2" xfId="2782" xr:uid="{03D685B4-5F30-471A-9F13-A3C0B25AEF0A}"/>
    <cellStyle name="20% - Accent5 16" xfId="81" xr:uid="{00000000-0005-0000-0000-000050000000}"/>
    <cellStyle name="20% - Accent5 16 2" xfId="2783" xr:uid="{D4158CB6-A1AC-48B2-ADED-8A0C43F0673B}"/>
    <cellStyle name="20% - Accent5 17" xfId="2683" xr:uid="{D71D54AB-FFD8-4F08-885E-BBC196E97381}"/>
    <cellStyle name="20% - Accent5 2" xfId="82" xr:uid="{00000000-0005-0000-0000-000051000000}"/>
    <cellStyle name="20% - Accent5 2 2" xfId="83" xr:uid="{00000000-0005-0000-0000-000052000000}"/>
    <cellStyle name="20% - Accent5 2 2 2" xfId="2785" xr:uid="{E06A24C7-4B6E-4AE4-95BB-170DF2405351}"/>
    <cellStyle name="20% - Accent5 2 3" xfId="84" xr:uid="{00000000-0005-0000-0000-000053000000}"/>
    <cellStyle name="20% - Accent5 2 3 2" xfId="2786" xr:uid="{C8AFB84F-549F-4516-B9EA-63FC6B31309B}"/>
    <cellStyle name="20% - Accent5 2 4" xfId="2784" xr:uid="{08E15115-6088-42CD-A256-28F492EACAA2}"/>
    <cellStyle name="20% - Accent5 3" xfId="85" xr:uid="{00000000-0005-0000-0000-000054000000}"/>
    <cellStyle name="20% - Accent5 3 2" xfId="2787" xr:uid="{80C1B1F3-ACE8-49E3-94CB-5BC9ADC1D3D2}"/>
    <cellStyle name="20% - Accent5 4" xfId="86" xr:uid="{00000000-0005-0000-0000-000055000000}"/>
    <cellStyle name="20% - Accent5 4 2" xfId="2788" xr:uid="{577F0528-4781-4A34-9DF8-747543BF7F79}"/>
    <cellStyle name="20% - Accent5 5" xfId="87" xr:uid="{00000000-0005-0000-0000-000056000000}"/>
    <cellStyle name="20% - Accent5 5 2" xfId="2789" xr:uid="{5BC92308-5BC6-4781-AB39-DB5096E98C8D}"/>
    <cellStyle name="20% - Accent5 6" xfId="88" xr:uid="{00000000-0005-0000-0000-000057000000}"/>
    <cellStyle name="20% - Accent5 6 2" xfId="2790" xr:uid="{4AA8EC85-874A-4E71-9F33-56EEAB38D709}"/>
    <cellStyle name="20% - Accent5 7" xfId="89" xr:uid="{00000000-0005-0000-0000-000058000000}"/>
    <cellStyle name="20% - Accent5 7 2" xfId="2791" xr:uid="{7D712BF9-50D5-4375-A0D7-D7C81FB1E8E2}"/>
    <cellStyle name="20% - Accent5 8" xfId="90" xr:uid="{00000000-0005-0000-0000-000059000000}"/>
    <cellStyle name="20% - Accent5 8 2" xfId="2792" xr:uid="{9760020F-E8D5-47E7-B5D4-7B8F743B2B48}"/>
    <cellStyle name="20% - Accent5 9" xfId="91" xr:uid="{00000000-0005-0000-0000-00005A000000}"/>
    <cellStyle name="20% - Accent5 9 2" xfId="2793" xr:uid="{0FA3868D-0256-4C29-BE4A-3305A102C703}"/>
    <cellStyle name="20% - Accent6" xfId="92" builtinId="50" customBuiltin="1"/>
    <cellStyle name="20% - Accent6 10" xfId="93" xr:uid="{00000000-0005-0000-0000-00005C000000}"/>
    <cellStyle name="20% - Accent6 10 2" xfId="2794" xr:uid="{828905E4-900B-41BB-A72B-C9971B943B3D}"/>
    <cellStyle name="20% - Accent6 11" xfId="94" xr:uid="{00000000-0005-0000-0000-00005D000000}"/>
    <cellStyle name="20% - Accent6 11 2" xfId="2795" xr:uid="{795B116E-A4C8-4513-BF4D-DC54C9C3288E}"/>
    <cellStyle name="20% - Accent6 12" xfId="95" xr:uid="{00000000-0005-0000-0000-00005E000000}"/>
    <cellStyle name="20% - Accent6 12 2" xfId="2796" xr:uid="{12B0D0BE-1256-4EF8-BF3D-A9C08C542159}"/>
    <cellStyle name="20% - Accent6 13" xfId="96" xr:uid="{00000000-0005-0000-0000-00005F000000}"/>
    <cellStyle name="20% - Accent6 13 2" xfId="2797" xr:uid="{A52E4487-9281-43CF-9711-6FA0E002CEFA}"/>
    <cellStyle name="20% - Accent6 14" xfId="97" xr:uid="{00000000-0005-0000-0000-000060000000}"/>
    <cellStyle name="20% - Accent6 14 2" xfId="2798" xr:uid="{A9CFC4FD-AD00-4159-92A3-773CB711C685}"/>
    <cellStyle name="20% - Accent6 15" xfId="98" xr:uid="{00000000-0005-0000-0000-000061000000}"/>
    <cellStyle name="20% - Accent6 15 2" xfId="2799" xr:uid="{59C5DA8F-D493-47AA-BC3B-561956A74173}"/>
    <cellStyle name="20% - Accent6 16" xfId="99" xr:uid="{00000000-0005-0000-0000-000062000000}"/>
    <cellStyle name="20% - Accent6 16 2" xfId="2800" xr:uid="{BEDFA486-A18C-4EBC-90CE-3285592E50AC}"/>
    <cellStyle name="20% - Accent6 17" xfId="2684" xr:uid="{CD9B73B3-0F0F-44BD-8B2E-8FCF797092EB}"/>
    <cellStyle name="20% - Accent6 2" xfId="100" xr:uid="{00000000-0005-0000-0000-000063000000}"/>
    <cellStyle name="20% - Accent6 2 2" xfId="101" xr:uid="{00000000-0005-0000-0000-000064000000}"/>
    <cellStyle name="20% - Accent6 2 2 2" xfId="2802" xr:uid="{84ED4011-46EC-43A2-941C-92FDF43085F9}"/>
    <cellStyle name="20% - Accent6 2 3" xfId="102" xr:uid="{00000000-0005-0000-0000-000065000000}"/>
    <cellStyle name="20% - Accent6 2 3 2" xfId="2803" xr:uid="{4855CE4F-B232-44EE-BF52-81E9D80E1CB3}"/>
    <cellStyle name="20% - Accent6 2 4" xfId="2801" xr:uid="{8E28973B-55D1-4086-AC58-C02FB71596CC}"/>
    <cellStyle name="20% - Accent6 3" xfId="103" xr:uid="{00000000-0005-0000-0000-000066000000}"/>
    <cellStyle name="20% - Accent6 3 2" xfId="2804" xr:uid="{372C895C-C27A-40D7-A158-809CA80D2C2E}"/>
    <cellStyle name="20% - Accent6 4" xfId="104" xr:uid="{00000000-0005-0000-0000-000067000000}"/>
    <cellStyle name="20% - Accent6 4 2" xfId="2805" xr:uid="{7FF5FC64-C98C-4C5C-A870-E83A8EF4E4DC}"/>
    <cellStyle name="20% - Accent6 5" xfId="105" xr:uid="{00000000-0005-0000-0000-000068000000}"/>
    <cellStyle name="20% - Accent6 5 2" xfId="2806" xr:uid="{27E022B6-8587-4789-B6F8-3032E06BD30A}"/>
    <cellStyle name="20% - Accent6 6" xfId="106" xr:uid="{00000000-0005-0000-0000-000069000000}"/>
    <cellStyle name="20% - Accent6 6 2" xfId="2807" xr:uid="{01569967-C9C1-4D83-B02D-E281136A7C1D}"/>
    <cellStyle name="20% - Accent6 7" xfId="107" xr:uid="{00000000-0005-0000-0000-00006A000000}"/>
    <cellStyle name="20% - Accent6 7 2" xfId="2808" xr:uid="{1A39CADD-22B7-44CD-8C3E-F329B3DB6823}"/>
    <cellStyle name="20% - Accent6 8" xfId="108" xr:uid="{00000000-0005-0000-0000-00006B000000}"/>
    <cellStyle name="20% - Accent6 8 2" xfId="2809" xr:uid="{DFFD0A64-334D-44E4-8660-BF6E62CDB339}"/>
    <cellStyle name="20% - Accent6 9" xfId="109" xr:uid="{00000000-0005-0000-0000-00006C000000}"/>
    <cellStyle name="20% - Accent6 9 2" xfId="2810" xr:uid="{A23EA63E-18AA-4F44-B997-F8CA81786BAC}"/>
    <cellStyle name="40% - Accent1" xfId="110" builtinId="31" customBuiltin="1"/>
    <cellStyle name="40% - Accent1 10" xfId="111" xr:uid="{00000000-0005-0000-0000-00006E000000}"/>
    <cellStyle name="40% - Accent1 10 2" xfId="2811" xr:uid="{83B668C9-EAC4-4C27-B714-B7FEDB0E8D04}"/>
    <cellStyle name="40% - Accent1 11" xfId="112" xr:uid="{00000000-0005-0000-0000-00006F000000}"/>
    <cellStyle name="40% - Accent1 11 2" xfId="2812" xr:uid="{52D2319E-75F8-457A-8BD9-63D1E81A2BF9}"/>
    <cellStyle name="40% - Accent1 12" xfId="113" xr:uid="{00000000-0005-0000-0000-000070000000}"/>
    <cellStyle name="40% - Accent1 12 2" xfId="2813" xr:uid="{8FCCEFA2-0627-49FE-8D6F-81F2DBC9D9A3}"/>
    <cellStyle name="40% - Accent1 13" xfId="114" xr:uid="{00000000-0005-0000-0000-000071000000}"/>
    <cellStyle name="40% - Accent1 13 2" xfId="2814" xr:uid="{FECBB7D3-E18D-4C8B-90A2-8A63F6F7E613}"/>
    <cellStyle name="40% - Accent1 14" xfId="115" xr:uid="{00000000-0005-0000-0000-000072000000}"/>
    <cellStyle name="40% - Accent1 14 2" xfId="2815" xr:uid="{E95096EF-1846-4652-B76C-B52B4221DE1E}"/>
    <cellStyle name="40% - Accent1 15" xfId="116" xr:uid="{00000000-0005-0000-0000-000073000000}"/>
    <cellStyle name="40% - Accent1 15 2" xfId="2816" xr:uid="{DF0E2B10-E558-4F0F-89DD-4CC5883C8D3B}"/>
    <cellStyle name="40% - Accent1 16" xfId="117" xr:uid="{00000000-0005-0000-0000-000074000000}"/>
    <cellStyle name="40% - Accent1 16 2" xfId="2817" xr:uid="{CC687AEA-9283-47DE-A4E1-F1D2E94BFDC2}"/>
    <cellStyle name="40% - Accent1 17" xfId="2685" xr:uid="{2B1ECA54-C637-4B35-A87C-561BFAE3AE51}"/>
    <cellStyle name="40% - Accent1 2" xfId="118" xr:uid="{00000000-0005-0000-0000-000075000000}"/>
    <cellStyle name="40% - Accent1 2 2" xfId="119" xr:uid="{00000000-0005-0000-0000-000076000000}"/>
    <cellStyle name="40% - Accent1 2 2 2" xfId="2819" xr:uid="{130CFB76-AAB0-4ED7-945E-060DEC312B20}"/>
    <cellStyle name="40% - Accent1 2 3" xfId="120" xr:uid="{00000000-0005-0000-0000-000077000000}"/>
    <cellStyle name="40% - Accent1 2 3 2" xfId="2820" xr:uid="{477310FF-EF9A-4200-A581-D59E0DFC8B82}"/>
    <cellStyle name="40% - Accent1 2 4" xfId="2818" xr:uid="{0E7B2A78-3AE8-4FCC-BC09-42C2027EACB4}"/>
    <cellStyle name="40% - Accent1 3" xfId="121" xr:uid="{00000000-0005-0000-0000-000078000000}"/>
    <cellStyle name="40% - Accent1 3 2" xfId="2821" xr:uid="{7AEA986A-5066-4A6F-AC2A-49AE491354F0}"/>
    <cellStyle name="40% - Accent1 4" xfId="122" xr:uid="{00000000-0005-0000-0000-000079000000}"/>
    <cellStyle name="40% - Accent1 4 2" xfId="2822" xr:uid="{3D3B973C-9DB7-45A0-B8D6-AC1108834A7E}"/>
    <cellStyle name="40% - Accent1 5" xfId="123" xr:uid="{00000000-0005-0000-0000-00007A000000}"/>
    <cellStyle name="40% - Accent1 5 2" xfId="2823" xr:uid="{35F415EF-CEDC-4122-B069-DB2C225A9D4F}"/>
    <cellStyle name="40% - Accent1 6" xfId="124" xr:uid="{00000000-0005-0000-0000-00007B000000}"/>
    <cellStyle name="40% - Accent1 6 2" xfId="2824" xr:uid="{8CA78C45-7163-492A-8453-0F43895B4EA9}"/>
    <cellStyle name="40% - Accent1 7" xfId="125" xr:uid="{00000000-0005-0000-0000-00007C000000}"/>
    <cellStyle name="40% - Accent1 7 2" xfId="2825" xr:uid="{B0F4FD83-E17A-4DAA-9BE4-99EBDA63AAE5}"/>
    <cellStyle name="40% - Accent1 8" xfId="126" xr:uid="{00000000-0005-0000-0000-00007D000000}"/>
    <cellStyle name="40% - Accent1 8 2" xfId="2826" xr:uid="{B1262C31-105C-4A61-85B3-D699F6862FB9}"/>
    <cellStyle name="40% - Accent1 9" xfId="127" xr:uid="{00000000-0005-0000-0000-00007E000000}"/>
    <cellStyle name="40% - Accent1 9 2" xfId="2827" xr:uid="{0568167A-465D-42C4-9416-F95558E0AD63}"/>
    <cellStyle name="40% - Accent2" xfId="128" builtinId="35" customBuiltin="1"/>
    <cellStyle name="40% - Accent2 10" xfId="129" xr:uid="{00000000-0005-0000-0000-000080000000}"/>
    <cellStyle name="40% - Accent2 10 2" xfId="2828" xr:uid="{B3049129-FA32-4FE2-BF40-3D2C87287C4B}"/>
    <cellStyle name="40% - Accent2 11" xfId="130" xr:uid="{00000000-0005-0000-0000-000081000000}"/>
    <cellStyle name="40% - Accent2 11 2" xfId="2829" xr:uid="{1C76969B-EF6B-4AAA-9982-0A94BDB1E3F0}"/>
    <cellStyle name="40% - Accent2 12" xfId="131" xr:uid="{00000000-0005-0000-0000-000082000000}"/>
    <cellStyle name="40% - Accent2 12 2" xfId="2830" xr:uid="{63B7B345-F197-4C33-9261-F2220397FC61}"/>
    <cellStyle name="40% - Accent2 13" xfId="132" xr:uid="{00000000-0005-0000-0000-000083000000}"/>
    <cellStyle name="40% - Accent2 13 2" xfId="2831" xr:uid="{5B602EF3-6F85-42A7-8AB3-5783434B93C8}"/>
    <cellStyle name="40% - Accent2 14" xfId="133" xr:uid="{00000000-0005-0000-0000-000084000000}"/>
    <cellStyle name="40% - Accent2 14 2" xfId="2832" xr:uid="{3F471BDA-F3CB-45C3-8A32-7214655BDF28}"/>
    <cellStyle name="40% - Accent2 15" xfId="134" xr:uid="{00000000-0005-0000-0000-000085000000}"/>
    <cellStyle name="40% - Accent2 15 2" xfId="2833" xr:uid="{9821CFD2-42DC-4FC0-9FC1-3916816D241E}"/>
    <cellStyle name="40% - Accent2 16" xfId="135" xr:uid="{00000000-0005-0000-0000-000086000000}"/>
    <cellStyle name="40% - Accent2 16 2" xfId="2834" xr:uid="{3B1AABE0-7B10-4418-A2E1-2CFE23E312D3}"/>
    <cellStyle name="40% - Accent2 17" xfId="2686" xr:uid="{C59C79D5-175B-4DA5-9E74-16EE6454F660}"/>
    <cellStyle name="40% - Accent2 2" xfId="136" xr:uid="{00000000-0005-0000-0000-000087000000}"/>
    <cellStyle name="40% - Accent2 2 2" xfId="137" xr:uid="{00000000-0005-0000-0000-000088000000}"/>
    <cellStyle name="40% - Accent2 2 2 2" xfId="2836" xr:uid="{F3836FBD-F8EC-4CBB-BECC-228BA5360FB5}"/>
    <cellStyle name="40% - Accent2 2 3" xfId="138" xr:uid="{00000000-0005-0000-0000-000089000000}"/>
    <cellStyle name="40% - Accent2 2 3 2" xfId="2837" xr:uid="{E0EF9FCC-20C6-4223-85D5-7BDDA48743B3}"/>
    <cellStyle name="40% - Accent2 2 4" xfId="2835" xr:uid="{99DE35CB-985B-4DCA-9897-62AF482B3E58}"/>
    <cellStyle name="40% - Accent2 3" xfId="139" xr:uid="{00000000-0005-0000-0000-00008A000000}"/>
    <cellStyle name="40% - Accent2 3 2" xfId="2838" xr:uid="{3537099F-95BE-4378-BAA3-B1003932A871}"/>
    <cellStyle name="40% - Accent2 4" xfId="140" xr:uid="{00000000-0005-0000-0000-00008B000000}"/>
    <cellStyle name="40% - Accent2 4 2" xfId="2839" xr:uid="{466FDDF4-7650-45BA-8518-BE6AAE441911}"/>
    <cellStyle name="40% - Accent2 5" xfId="141" xr:uid="{00000000-0005-0000-0000-00008C000000}"/>
    <cellStyle name="40% - Accent2 5 2" xfId="2840" xr:uid="{F9D6D787-EF7B-4D4A-AC5D-A68F90008C3A}"/>
    <cellStyle name="40% - Accent2 6" xfId="142" xr:uid="{00000000-0005-0000-0000-00008D000000}"/>
    <cellStyle name="40% - Accent2 6 2" xfId="2841" xr:uid="{DF7C5304-23DA-4489-B454-214A21A3FECB}"/>
    <cellStyle name="40% - Accent2 7" xfId="143" xr:uid="{00000000-0005-0000-0000-00008E000000}"/>
    <cellStyle name="40% - Accent2 7 2" xfId="2842" xr:uid="{FB87D98E-63E0-4DB7-9A2D-4972725C70A9}"/>
    <cellStyle name="40% - Accent2 8" xfId="144" xr:uid="{00000000-0005-0000-0000-00008F000000}"/>
    <cellStyle name="40% - Accent2 8 2" xfId="2843" xr:uid="{9273A99C-E3B7-4E84-BCED-DD9C77D0CBBA}"/>
    <cellStyle name="40% - Accent2 9" xfId="145" xr:uid="{00000000-0005-0000-0000-000090000000}"/>
    <cellStyle name="40% - Accent2 9 2" xfId="2844" xr:uid="{D76E6212-A0C4-4D89-9E3F-B1CCCEFA7FB6}"/>
    <cellStyle name="40% - Accent3" xfId="146" builtinId="39" customBuiltin="1"/>
    <cellStyle name="40% - Accent3 10" xfId="147" xr:uid="{00000000-0005-0000-0000-000092000000}"/>
    <cellStyle name="40% - Accent3 10 2" xfId="2845" xr:uid="{3D0BCCFD-4096-42AA-9D1C-D947B2067D3E}"/>
    <cellStyle name="40% - Accent3 11" xfId="148" xr:uid="{00000000-0005-0000-0000-000093000000}"/>
    <cellStyle name="40% - Accent3 11 2" xfId="2846" xr:uid="{3CC98400-34FF-4B0D-B690-C0D4EC21D64A}"/>
    <cellStyle name="40% - Accent3 12" xfId="149" xr:uid="{00000000-0005-0000-0000-000094000000}"/>
    <cellStyle name="40% - Accent3 12 2" xfId="2847" xr:uid="{C3864775-CAEF-4DA8-A6C7-F6601DAD7430}"/>
    <cellStyle name="40% - Accent3 13" xfId="150" xr:uid="{00000000-0005-0000-0000-000095000000}"/>
    <cellStyle name="40% - Accent3 13 2" xfId="2848" xr:uid="{D755BA51-50FF-49B4-AA9B-C8C5DDD34CF9}"/>
    <cellStyle name="40% - Accent3 14" xfId="151" xr:uid="{00000000-0005-0000-0000-000096000000}"/>
    <cellStyle name="40% - Accent3 14 2" xfId="2849" xr:uid="{CBB3AEC8-4474-497A-BCDF-7708D64CF735}"/>
    <cellStyle name="40% - Accent3 15" xfId="152" xr:uid="{00000000-0005-0000-0000-000097000000}"/>
    <cellStyle name="40% - Accent3 15 2" xfId="2850" xr:uid="{5DEB7F15-670F-4421-BC6A-9C03E689433D}"/>
    <cellStyle name="40% - Accent3 16" xfId="153" xr:uid="{00000000-0005-0000-0000-000098000000}"/>
    <cellStyle name="40% - Accent3 16 2" xfId="2851" xr:uid="{A3AEF9F8-C13E-4A84-AEA0-9E46AA5D983D}"/>
    <cellStyle name="40% - Accent3 17" xfId="2687" xr:uid="{DA7ADE02-01C9-47EB-B217-A4BB7CAB7995}"/>
    <cellStyle name="40% - Accent3 2" xfId="154" xr:uid="{00000000-0005-0000-0000-000099000000}"/>
    <cellStyle name="40% - Accent3 2 2" xfId="155" xr:uid="{00000000-0005-0000-0000-00009A000000}"/>
    <cellStyle name="40% - Accent3 2 2 2" xfId="2853" xr:uid="{5DA1B35A-C0A2-4F53-943F-A7EE1C809653}"/>
    <cellStyle name="40% - Accent3 2 3" xfId="156" xr:uid="{00000000-0005-0000-0000-00009B000000}"/>
    <cellStyle name="40% - Accent3 2 3 2" xfId="2854" xr:uid="{72E42547-9E36-4D4D-85E7-E8B05D109B8B}"/>
    <cellStyle name="40% - Accent3 2 4" xfId="2852" xr:uid="{17307E41-4C8A-4562-AE68-40FD1C007D93}"/>
    <cellStyle name="40% - Accent3 3" xfId="157" xr:uid="{00000000-0005-0000-0000-00009C000000}"/>
    <cellStyle name="40% - Accent3 3 2" xfId="2855" xr:uid="{0A9F6DF6-FB2B-488A-A76C-13C5955C13C7}"/>
    <cellStyle name="40% - Accent3 4" xfId="158" xr:uid="{00000000-0005-0000-0000-00009D000000}"/>
    <cellStyle name="40% - Accent3 4 2" xfId="2856" xr:uid="{21B613D7-3F7E-4B38-B710-D36DD0B6775E}"/>
    <cellStyle name="40% - Accent3 5" xfId="159" xr:uid="{00000000-0005-0000-0000-00009E000000}"/>
    <cellStyle name="40% - Accent3 5 2" xfId="2857" xr:uid="{997A3D62-828F-4C3F-B27E-2FF5AA512DBD}"/>
    <cellStyle name="40% - Accent3 6" xfId="160" xr:uid="{00000000-0005-0000-0000-00009F000000}"/>
    <cellStyle name="40% - Accent3 6 2" xfId="2858" xr:uid="{B3F94838-3384-4593-B0A8-84EFC1BDA511}"/>
    <cellStyle name="40% - Accent3 7" xfId="161" xr:uid="{00000000-0005-0000-0000-0000A0000000}"/>
    <cellStyle name="40% - Accent3 7 2" xfId="2859" xr:uid="{65DD52C5-DAB3-4E59-BDF7-1C48744E7A94}"/>
    <cellStyle name="40% - Accent3 8" xfId="162" xr:uid="{00000000-0005-0000-0000-0000A1000000}"/>
    <cellStyle name="40% - Accent3 8 2" xfId="2860" xr:uid="{278A5572-094A-4488-9161-1212BED5AAFE}"/>
    <cellStyle name="40% - Accent3 9" xfId="163" xr:uid="{00000000-0005-0000-0000-0000A2000000}"/>
    <cellStyle name="40% - Accent3 9 2" xfId="2861" xr:uid="{A5010322-D204-4EBC-9982-979B4A9B762A}"/>
    <cellStyle name="40% - Accent4" xfId="164" builtinId="43" customBuiltin="1"/>
    <cellStyle name="40% - Accent4 10" xfId="165" xr:uid="{00000000-0005-0000-0000-0000A4000000}"/>
    <cellStyle name="40% - Accent4 10 2" xfId="2862" xr:uid="{5D191F98-8714-4F6D-AFB6-6214DC195A42}"/>
    <cellStyle name="40% - Accent4 11" xfId="166" xr:uid="{00000000-0005-0000-0000-0000A5000000}"/>
    <cellStyle name="40% - Accent4 11 2" xfId="2863" xr:uid="{FD78830C-BACB-4DC8-8110-678974E4A1A8}"/>
    <cellStyle name="40% - Accent4 12" xfId="167" xr:uid="{00000000-0005-0000-0000-0000A6000000}"/>
    <cellStyle name="40% - Accent4 12 2" xfId="2864" xr:uid="{E0ACCF2B-76FD-4A22-9E9D-3E29D357C0E3}"/>
    <cellStyle name="40% - Accent4 13" xfId="168" xr:uid="{00000000-0005-0000-0000-0000A7000000}"/>
    <cellStyle name="40% - Accent4 13 2" xfId="2865" xr:uid="{6FC09904-5186-4781-838A-3F5AF9C889B3}"/>
    <cellStyle name="40% - Accent4 14" xfId="169" xr:uid="{00000000-0005-0000-0000-0000A8000000}"/>
    <cellStyle name="40% - Accent4 14 2" xfId="2866" xr:uid="{F4DF3514-1EAC-4867-9CC4-0E5E89B3DAD3}"/>
    <cellStyle name="40% - Accent4 15" xfId="170" xr:uid="{00000000-0005-0000-0000-0000A9000000}"/>
    <cellStyle name="40% - Accent4 15 2" xfId="2867" xr:uid="{AB049FBA-E0E2-42D0-9DA5-31A551D09CD4}"/>
    <cellStyle name="40% - Accent4 16" xfId="171" xr:uid="{00000000-0005-0000-0000-0000AA000000}"/>
    <cellStyle name="40% - Accent4 16 2" xfId="2868" xr:uid="{C0A5F4F9-D04A-4802-B4C9-AACCA030A099}"/>
    <cellStyle name="40% - Accent4 17" xfId="2688" xr:uid="{1E1E03E8-D781-4B28-8291-FFC1396FD14F}"/>
    <cellStyle name="40% - Accent4 2" xfId="172" xr:uid="{00000000-0005-0000-0000-0000AB000000}"/>
    <cellStyle name="40% - Accent4 2 2" xfId="173" xr:uid="{00000000-0005-0000-0000-0000AC000000}"/>
    <cellStyle name="40% - Accent4 2 2 2" xfId="2870" xr:uid="{751DEB8F-01E5-4DA7-A65B-96F8F1B2DCD9}"/>
    <cellStyle name="40% - Accent4 2 3" xfId="174" xr:uid="{00000000-0005-0000-0000-0000AD000000}"/>
    <cellStyle name="40% - Accent4 2 3 2" xfId="2871" xr:uid="{6D2373D2-7C4E-48EB-811D-7E2E82942326}"/>
    <cellStyle name="40% - Accent4 2 4" xfId="2869" xr:uid="{5C91493C-0AA8-406A-A138-47C8FA189208}"/>
    <cellStyle name="40% - Accent4 3" xfId="175" xr:uid="{00000000-0005-0000-0000-0000AE000000}"/>
    <cellStyle name="40% - Accent4 3 2" xfId="2872" xr:uid="{F8BA483F-1830-4F79-8151-D53B7945A195}"/>
    <cellStyle name="40% - Accent4 4" xfId="176" xr:uid="{00000000-0005-0000-0000-0000AF000000}"/>
    <cellStyle name="40% - Accent4 4 2" xfId="2873" xr:uid="{874C537F-0804-4153-8278-9BEEA430BCED}"/>
    <cellStyle name="40% - Accent4 5" xfId="177" xr:uid="{00000000-0005-0000-0000-0000B0000000}"/>
    <cellStyle name="40% - Accent4 5 2" xfId="2874" xr:uid="{0D078B0E-E665-4ADC-B627-D4199307C0B8}"/>
    <cellStyle name="40% - Accent4 6" xfId="178" xr:uid="{00000000-0005-0000-0000-0000B1000000}"/>
    <cellStyle name="40% - Accent4 6 2" xfId="2875" xr:uid="{1E0CA6B9-2FFB-400B-A148-72B07E263C6F}"/>
    <cellStyle name="40% - Accent4 7" xfId="179" xr:uid="{00000000-0005-0000-0000-0000B2000000}"/>
    <cellStyle name="40% - Accent4 7 2" xfId="2876" xr:uid="{D996032E-7331-4B7F-872C-1DD2C4E8CA48}"/>
    <cellStyle name="40% - Accent4 8" xfId="180" xr:uid="{00000000-0005-0000-0000-0000B3000000}"/>
    <cellStyle name="40% - Accent4 8 2" xfId="2877" xr:uid="{9AB0F1AC-3FC3-439F-87AA-03B64152FC90}"/>
    <cellStyle name="40% - Accent4 9" xfId="181" xr:uid="{00000000-0005-0000-0000-0000B4000000}"/>
    <cellStyle name="40% - Accent4 9 2" xfId="2878" xr:uid="{C72E6BC9-3F58-4B56-8E2E-591B6680B1A3}"/>
    <cellStyle name="40% - Accent5" xfId="182" builtinId="47" customBuiltin="1"/>
    <cellStyle name="40% - Accent5 10" xfId="183" xr:uid="{00000000-0005-0000-0000-0000B6000000}"/>
    <cellStyle name="40% - Accent5 10 2" xfId="2879" xr:uid="{5A9F6397-6385-4CFB-9211-9A6DC9F0C171}"/>
    <cellStyle name="40% - Accent5 11" xfId="184" xr:uid="{00000000-0005-0000-0000-0000B7000000}"/>
    <cellStyle name="40% - Accent5 11 2" xfId="2880" xr:uid="{08E34CAD-E9D4-4071-A658-24336FC1B559}"/>
    <cellStyle name="40% - Accent5 12" xfId="185" xr:uid="{00000000-0005-0000-0000-0000B8000000}"/>
    <cellStyle name="40% - Accent5 12 2" xfId="2881" xr:uid="{4F946FF5-E494-4C93-BD0A-6206F325B761}"/>
    <cellStyle name="40% - Accent5 13" xfId="186" xr:uid="{00000000-0005-0000-0000-0000B9000000}"/>
    <cellStyle name="40% - Accent5 13 2" xfId="2882" xr:uid="{7DE2D7A9-46E3-4BB4-B454-5DC46902877B}"/>
    <cellStyle name="40% - Accent5 14" xfId="187" xr:uid="{00000000-0005-0000-0000-0000BA000000}"/>
    <cellStyle name="40% - Accent5 14 2" xfId="2883" xr:uid="{CA8336F3-26A1-4C15-8552-F43C16721B29}"/>
    <cellStyle name="40% - Accent5 15" xfId="188" xr:uid="{00000000-0005-0000-0000-0000BB000000}"/>
    <cellStyle name="40% - Accent5 15 2" xfId="2884" xr:uid="{F7BB4837-8280-4835-BA88-13637D97F35A}"/>
    <cellStyle name="40% - Accent5 16" xfId="189" xr:uid="{00000000-0005-0000-0000-0000BC000000}"/>
    <cellStyle name="40% - Accent5 16 2" xfId="2885" xr:uid="{26D97C98-10EE-42A8-9124-77F3CA8EAFF9}"/>
    <cellStyle name="40% - Accent5 17" xfId="2689" xr:uid="{BBD4E297-0C32-4806-9511-6DC9A4E4E149}"/>
    <cellStyle name="40% - Accent5 2" xfId="190" xr:uid="{00000000-0005-0000-0000-0000BD000000}"/>
    <cellStyle name="40% - Accent5 2 2" xfId="191" xr:uid="{00000000-0005-0000-0000-0000BE000000}"/>
    <cellStyle name="40% - Accent5 2 2 2" xfId="2887" xr:uid="{CFFE5CEC-D145-4EC4-BCEE-4F3374B8ACF3}"/>
    <cellStyle name="40% - Accent5 2 3" xfId="192" xr:uid="{00000000-0005-0000-0000-0000BF000000}"/>
    <cellStyle name="40% - Accent5 2 3 2" xfId="2888" xr:uid="{372AFC55-468D-4D6E-B8F5-8CEA61910BF4}"/>
    <cellStyle name="40% - Accent5 2 4" xfId="2886" xr:uid="{7EDEC865-9624-4AFE-8C31-E4F672DEA97A}"/>
    <cellStyle name="40% - Accent5 3" xfId="193" xr:uid="{00000000-0005-0000-0000-0000C0000000}"/>
    <cellStyle name="40% - Accent5 3 2" xfId="2889" xr:uid="{A4D0ECCC-9A1D-423B-B198-DE843B0E8486}"/>
    <cellStyle name="40% - Accent5 4" xfId="194" xr:uid="{00000000-0005-0000-0000-0000C1000000}"/>
    <cellStyle name="40% - Accent5 4 2" xfId="2890" xr:uid="{A4CE615D-658F-4E76-A1A1-87F4B15CC58A}"/>
    <cellStyle name="40% - Accent5 5" xfId="195" xr:uid="{00000000-0005-0000-0000-0000C2000000}"/>
    <cellStyle name="40% - Accent5 5 2" xfId="2891" xr:uid="{16008E6A-2A3F-4F95-86B9-D0F3482ED2EB}"/>
    <cellStyle name="40% - Accent5 6" xfId="196" xr:uid="{00000000-0005-0000-0000-0000C3000000}"/>
    <cellStyle name="40% - Accent5 6 2" xfId="2892" xr:uid="{8427DA9C-B770-4D15-8A99-F945FB6436CF}"/>
    <cellStyle name="40% - Accent5 7" xfId="197" xr:uid="{00000000-0005-0000-0000-0000C4000000}"/>
    <cellStyle name="40% - Accent5 7 2" xfId="2893" xr:uid="{8E28AC9D-855D-4278-BE59-27D5DEBB1C99}"/>
    <cellStyle name="40% - Accent5 8" xfId="198" xr:uid="{00000000-0005-0000-0000-0000C5000000}"/>
    <cellStyle name="40% - Accent5 8 2" xfId="2894" xr:uid="{494AF6B4-1000-481C-B45D-CE84D6086CFE}"/>
    <cellStyle name="40% - Accent5 9" xfId="199" xr:uid="{00000000-0005-0000-0000-0000C6000000}"/>
    <cellStyle name="40% - Accent5 9 2" xfId="2895" xr:uid="{18CA5014-59F1-4326-A851-F72ED3E9F8F9}"/>
    <cellStyle name="40% - Accent6" xfId="200" builtinId="51" customBuiltin="1"/>
    <cellStyle name="40% - Accent6 10" xfId="201" xr:uid="{00000000-0005-0000-0000-0000C8000000}"/>
    <cellStyle name="40% - Accent6 10 2" xfId="2896" xr:uid="{22FB5E53-FFA6-43C2-9ADB-5F389798091A}"/>
    <cellStyle name="40% - Accent6 11" xfId="202" xr:uid="{00000000-0005-0000-0000-0000C9000000}"/>
    <cellStyle name="40% - Accent6 11 2" xfId="2897" xr:uid="{8E8B7F9B-31FE-425F-845A-22CF4A47B528}"/>
    <cellStyle name="40% - Accent6 12" xfId="203" xr:uid="{00000000-0005-0000-0000-0000CA000000}"/>
    <cellStyle name="40% - Accent6 12 2" xfId="2898" xr:uid="{AD24C338-E0A2-4CAD-B94A-913DE6E4EBAA}"/>
    <cellStyle name="40% - Accent6 13" xfId="204" xr:uid="{00000000-0005-0000-0000-0000CB000000}"/>
    <cellStyle name="40% - Accent6 13 2" xfId="2899" xr:uid="{D82531E8-C06B-47E0-A916-4F055A2B4FAF}"/>
    <cellStyle name="40% - Accent6 14" xfId="205" xr:uid="{00000000-0005-0000-0000-0000CC000000}"/>
    <cellStyle name="40% - Accent6 14 2" xfId="2900" xr:uid="{35D4BA2D-BEBB-4257-A437-9FA79288A254}"/>
    <cellStyle name="40% - Accent6 15" xfId="206" xr:uid="{00000000-0005-0000-0000-0000CD000000}"/>
    <cellStyle name="40% - Accent6 15 2" xfId="2901" xr:uid="{35B13C65-FF4B-45F4-A672-706136D5C09A}"/>
    <cellStyle name="40% - Accent6 16" xfId="207" xr:uid="{00000000-0005-0000-0000-0000CE000000}"/>
    <cellStyle name="40% - Accent6 16 2" xfId="2902" xr:uid="{56354FE0-8700-402D-B751-93AD1CFE2813}"/>
    <cellStyle name="40% - Accent6 17" xfId="2690" xr:uid="{3C7D5C4E-3826-438B-B32C-ABFB84958A3A}"/>
    <cellStyle name="40% - Accent6 2" xfId="208" xr:uid="{00000000-0005-0000-0000-0000CF000000}"/>
    <cellStyle name="40% - Accent6 2 2" xfId="209" xr:uid="{00000000-0005-0000-0000-0000D0000000}"/>
    <cellStyle name="40% - Accent6 2 2 2" xfId="2904" xr:uid="{4CD2DAF8-395D-401D-91E6-85E6E2807984}"/>
    <cellStyle name="40% - Accent6 2 3" xfId="210" xr:uid="{00000000-0005-0000-0000-0000D1000000}"/>
    <cellStyle name="40% - Accent6 2 3 2" xfId="2905" xr:uid="{DDDB2A54-B4F4-4FC2-B551-1A405CC1ED34}"/>
    <cellStyle name="40% - Accent6 2 4" xfId="2903" xr:uid="{FA3FFF27-F4D6-40E8-9D47-28EAEC84643F}"/>
    <cellStyle name="40% - Accent6 3" xfId="211" xr:uid="{00000000-0005-0000-0000-0000D2000000}"/>
    <cellStyle name="40% - Accent6 3 2" xfId="2906" xr:uid="{04ECBBA5-9242-403B-96AC-66C11F4E8DD1}"/>
    <cellStyle name="40% - Accent6 4" xfId="212" xr:uid="{00000000-0005-0000-0000-0000D3000000}"/>
    <cellStyle name="40% - Accent6 4 2" xfId="2907" xr:uid="{0EA58D93-08E9-46A2-AEEE-819AEF5A5F82}"/>
    <cellStyle name="40% - Accent6 5" xfId="213" xr:uid="{00000000-0005-0000-0000-0000D4000000}"/>
    <cellStyle name="40% - Accent6 5 2" xfId="2908" xr:uid="{21440F29-E2F9-4DF0-BB3F-EF54159CE278}"/>
    <cellStyle name="40% - Accent6 6" xfId="214" xr:uid="{00000000-0005-0000-0000-0000D5000000}"/>
    <cellStyle name="40% - Accent6 6 2" xfId="2909" xr:uid="{18C1E173-83A8-4DAE-8D6D-3AE896C46E92}"/>
    <cellStyle name="40% - Accent6 7" xfId="215" xr:uid="{00000000-0005-0000-0000-0000D6000000}"/>
    <cellStyle name="40% - Accent6 7 2" xfId="2910" xr:uid="{DDC7EFEF-E56D-4ED7-8CF5-B4EF2317AD53}"/>
    <cellStyle name="40% - Accent6 8" xfId="216" xr:uid="{00000000-0005-0000-0000-0000D7000000}"/>
    <cellStyle name="40% - Accent6 8 2" xfId="2911" xr:uid="{C6C55046-E5D4-4B25-AA16-F0BE1EB99AC4}"/>
    <cellStyle name="40% - Accent6 9" xfId="217" xr:uid="{00000000-0005-0000-0000-0000D8000000}"/>
    <cellStyle name="40% - Accent6 9 2" xfId="2912" xr:uid="{B28401D8-9385-4433-B0CE-AEE9020502D8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3" xfId="3358" xr:uid="{D9C21148-AFE1-4A9F-AF5E-F6FA83D9D896}"/>
    <cellStyle name="Calculation 10 4" xfId="2913" xr:uid="{67A3C7A2-2640-4244-B43B-18233549C28A}"/>
    <cellStyle name="Calculation 10 5" xfId="3380" xr:uid="{C1C6C30F-9B2B-4FE9-B48D-368734217ABE}"/>
    <cellStyle name="Calculation 11" xfId="470" xr:uid="{00000000-0005-0000-0000-0000D5010000}"/>
    <cellStyle name="Calculation 11 2" xfId="471" xr:uid="{00000000-0005-0000-0000-0000D6010000}"/>
    <cellStyle name="Calculation 11 3" xfId="3357" xr:uid="{FFD791A8-FF94-4C06-97A7-D11374508B91}"/>
    <cellStyle name="Calculation 11 4" xfId="2914" xr:uid="{8A5CC20F-0AFF-4273-8FA8-996D5AA88C89}"/>
    <cellStyle name="Calculation 11 5" xfId="3379" xr:uid="{8C1BC414-2766-4D6E-A899-5CAD7528FB7F}"/>
    <cellStyle name="Calculation 12" xfId="472" xr:uid="{00000000-0005-0000-0000-0000D7010000}"/>
    <cellStyle name="Calculation 12 2" xfId="473" xr:uid="{00000000-0005-0000-0000-0000D8010000}"/>
    <cellStyle name="Calculation 12 3" xfId="2700" xr:uid="{77A047A5-4361-4EFC-8548-E7020A46ACED}"/>
    <cellStyle name="Calculation 12 4" xfId="2915" xr:uid="{1A570244-D305-41D4-B12D-B6D499A2F8EB}"/>
    <cellStyle name="Calculation 12 5" xfId="3378" xr:uid="{6A27064B-4CE3-4C7B-A008-35D906796D9F}"/>
    <cellStyle name="Calculation 13" xfId="474" xr:uid="{00000000-0005-0000-0000-0000D9010000}"/>
    <cellStyle name="Calculation 13 2" xfId="475" xr:uid="{00000000-0005-0000-0000-0000DA010000}"/>
    <cellStyle name="Calculation 13 3" xfId="3565" xr:uid="{EE4E1F8F-1B68-4F7D-8B55-5269AEC66A7F}"/>
    <cellStyle name="Calculation 13 4" xfId="2916" xr:uid="{CE5BEE99-748B-4977-ABE1-373B7090E4C9}"/>
    <cellStyle name="Calculation 13 5" xfId="3377" xr:uid="{5C09C544-6288-4432-A16B-2F433FB57A37}"/>
    <cellStyle name="Calculation 14" xfId="476" xr:uid="{00000000-0005-0000-0000-0000DB010000}"/>
    <cellStyle name="Calculation 14 2" xfId="477" xr:uid="{00000000-0005-0000-0000-0000DC010000}"/>
    <cellStyle name="Calculation 14 3" xfId="2707" xr:uid="{901003AD-E027-4215-9F1C-B2D15D2A8A94}"/>
    <cellStyle name="Calculation 14 4" xfId="2917" xr:uid="{23CEF52C-75D7-4A64-A6AF-1D084E5017DF}"/>
    <cellStyle name="Calculation 14 5" xfId="3376" xr:uid="{F8F8854B-743C-4D99-80FA-D38039AB0E2D}"/>
    <cellStyle name="Calculation 15" xfId="478" xr:uid="{00000000-0005-0000-0000-0000DD010000}"/>
    <cellStyle name="Calculation 15 2" xfId="479" xr:uid="{00000000-0005-0000-0000-0000DE010000}"/>
    <cellStyle name="Calculation 15 3" xfId="3348" xr:uid="{411B0462-F121-4C1C-B679-A87A5959A908}"/>
    <cellStyle name="Calculation 15 4" xfId="2918" xr:uid="{4091D68F-F000-4B3A-9A54-85352A533240}"/>
    <cellStyle name="Calculation 15 5" xfId="3375" xr:uid="{747731BD-5A92-429D-BBD1-F44608C41C6E}"/>
    <cellStyle name="Calculation 16" xfId="480" xr:uid="{00000000-0005-0000-0000-0000DF010000}"/>
    <cellStyle name="Calculation 16 2" xfId="481" xr:uid="{00000000-0005-0000-0000-0000E0010000}"/>
    <cellStyle name="Calculation 16 3" xfId="3346" xr:uid="{7D5E12E6-B965-4E04-903E-CA90F6ECA071}"/>
    <cellStyle name="Calculation 16 4" xfId="2919" xr:uid="{3CE198E1-41EC-4AA8-B3B8-5DF2BEA45AAB}"/>
    <cellStyle name="Calculation 16 5" xfId="3374" xr:uid="{0DEA55FE-60E6-424B-97C7-D57B9DDA7769}"/>
    <cellStyle name="Calculation 17" xfId="3561" xr:uid="{7265602F-F449-45CA-8706-6F1BA4D1887C}"/>
    <cellStyle name="Calculation 18" xfId="3775" xr:uid="{35C0B6D7-7154-4366-B7E0-74939BAC883B}"/>
    <cellStyle name="Calculation 19" xfId="3940" xr:uid="{0C90BD1C-08CC-4F97-8808-B5B255058C3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3" xfId="3344" xr:uid="{BBA6181B-7844-4CF3-8F78-CC51EE99144E}"/>
    <cellStyle name="Calculation 2 2 4" xfId="2691" xr:uid="{D632321B-5D4B-4583-880A-7E31ED2B308A}"/>
    <cellStyle name="Calculation 2 2 5" xfId="3372" xr:uid="{CB916A95-83A9-412B-A821-588DFA84A12D}"/>
    <cellStyle name="Calculation 2 3" xfId="485" xr:uid="{00000000-0005-0000-0000-0000E4010000}"/>
    <cellStyle name="Calculation 2 3 2" xfId="486" xr:uid="{00000000-0005-0000-0000-0000E5010000}"/>
    <cellStyle name="Calculation 2 3 3" xfId="3343" xr:uid="{A24E14E5-8C5C-4CEC-911E-828EDA1D0004}"/>
    <cellStyle name="Calculation 2 3 4" xfId="2921" xr:uid="{34C5383D-D39A-4F0F-A07D-71326B073EFB}"/>
    <cellStyle name="Calculation 2 3 5" xfId="3371" xr:uid="{A9075DE6-4EDF-4B9D-9E7C-D40F9795645A}"/>
    <cellStyle name="Calculation 2 4" xfId="487" xr:uid="{00000000-0005-0000-0000-0000E6010000}"/>
    <cellStyle name="Calculation 2 5" xfId="3345" xr:uid="{047ACCF1-0A42-48F9-9B5F-0B6A80A9C084}"/>
    <cellStyle name="Calculation 2 6" xfId="2920" xr:uid="{14E55955-C538-434D-9A06-9770008BC354}"/>
    <cellStyle name="Calculation 2 7" xfId="3373" xr:uid="{7383E2B4-39B1-4C1A-BB0B-FD7527BB2F38}"/>
    <cellStyle name="Calculation 3" xfId="488" xr:uid="{00000000-0005-0000-0000-0000E7010000}"/>
    <cellStyle name="Calculation 3 2" xfId="489" xr:uid="{00000000-0005-0000-0000-0000E8010000}"/>
    <cellStyle name="Calculation 3 3" xfId="3342" xr:uid="{63BA16E5-F776-4D8A-9A2B-DEBDC51345B5}"/>
    <cellStyle name="Calculation 3 4" xfId="2922" xr:uid="{4E0087A8-2D26-43E2-992A-B1EA44D9EE38}"/>
    <cellStyle name="Calculation 3 5" xfId="3370" xr:uid="{341B1329-2D5D-46A5-8918-EDEFA0A636D2}"/>
    <cellStyle name="Calculation 4" xfId="490" xr:uid="{00000000-0005-0000-0000-0000E9010000}"/>
    <cellStyle name="Calculation 4 2" xfId="491" xr:uid="{00000000-0005-0000-0000-0000EA010000}"/>
    <cellStyle name="Calculation 4 3" xfId="3341" xr:uid="{77FD1495-296F-4DB6-8310-74ABD56E33AB}"/>
    <cellStyle name="Calculation 4 4" xfId="2923" xr:uid="{5B9CCD72-90C6-4F22-AB3C-E45063BA7015}"/>
    <cellStyle name="Calculation 4 5" xfId="3369" xr:uid="{02217443-1A38-46B5-AFC2-B005E3B892FB}"/>
    <cellStyle name="Calculation 5" xfId="492" xr:uid="{00000000-0005-0000-0000-0000EB010000}"/>
    <cellStyle name="Calculation 5 2" xfId="493" xr:uid="{00000000-0005-0000-0000-0000EC010000}"/>
    <cellStyle name="Calculation 5 3" xfId="3340" xr:uid="{18B819DE-8ACB-400F-8B71-459C9BCAA2D1}"/>
    <cellStyle name="Calculation 5 4" xfId="2924" xr:uid="{D8D78448-C221-4FA0-B9C7-231BA30EAF8F}"/>
    <cellStyle name="Calculation 5 5" xfId="2708" xr:uid="{BA0DE3F3-E83B-40EA-BC0E-19A1EAC4B323}"/>
    <cellStyle name="Calculation 6" xfId="494" xr:uid="{00000000-0005-0000-0000-0000ED010000}"/>
    <cellStyle name="Calculation 6 2" xfId="495" xr:uid="{00000000-0005-0000-0000-0000EE010000}"/>
    <cellStyle name="Calculation 6 3" xfId="2699" xr:uid="{E56DF7F4-D9A3-48D1-970A-BECF8F2D72AE}"/>
    <cellStyle name="Calculation 6 4" xfId="2925" xr:uid="{EDE6937A-A24B-4D35-9149-D109EAC9C5C9}"/>
    <cellStyle name="Calculation 6 5" xfId="3368" xr:uid="{FCA8895E-9A68-4BE4-B99E-51F96635B3D3}"/>
    <cellStyle name="Calculation 7" xfId="496" xr:uid="{00000000-0005-0000-0000-0000EF010000}"/>
    <cellStyle name="Calculation 7 2" xfId="497" xr:uid="{00000000-0005-0000-0000-0000F0010000}"/>
    <cellStyle name="Calculation 7 3" xfId="2698" xr:uid="{9EBAF914-D737-4FDD-8D00-564CD583B2A0}"/>
    <cellStyle name="Calculation 7 4" xfId="2926" xr:uid="{B9273BEB-2105-4E65-87E5-2E70CF8C052F}"/>
    <cellStyle name="Calculation 7 5" xfId="3367" xr:uid="{77277D28-43B8-4692-B9A8-ABE72B127E70}"/>
    <cellStyle name="Calculation 8" xfId="498" xr:uid="{00000000-0005-0000-0000-0000F1010000}"/>
    <cellStyle name="Calculation 8 2" xfId="499" xr:uid="{00000000-0005-0000-0000-0000F2010000}"/>
    <cellStyle name="Calculation 8 3" xfId="3338" xr:uid="{50580F3A-4B93-4638-8BD0-02B678A98DF5}"/>
    <cellStyle name="Calculation 8 4" xfId="2927" xr:uid="{23FE984B-2524-4662-8DAD-37FC4F113F8E}"/>
    <cellStyle name="Calculation 8 5" xfId="3366" xr:uid="{A3270CB9-78E8-4A76-AA3F-8CCB939939AD}"/>
    <cellStyle name="Calculation 9" xfId="500" xr:uid="{00000000-0005-0000-0000-0000F3010000}"/>
    <cellStyle name="Calculation 9 2" xfId="501" xr:uid="{00000000-0005-0000-0000-0000F4010000}"/>
    <cellStyle name="Calculation 9 3" xfId="3337" xr:uid="{F2AD207D-95C6-4D69-A228-795853E3C535}"/>
    <cellStyle name="Calculation 9 4" xfId="2928" xr:uid="{7D4A6EC9-BE15-4C62-946A-A41D07C55037}"/>
    <cellStyle name="Calculation 9 5" xfId="2704" xr:uid="{186BCBFE-4A67-496C-9BB1-4F889CC70A4C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706" xr:uid="{7528453B-486E-4413-8936-955BBE84579C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82" xr:uid="{B30A18D6-E05F-4EAD-B424-67FBF93E7DAD}"/>
    <cellStyle name="Comma [0] 11 3" xfId="535" xr:uid="{00000000-0005-0000-0000-000017020000}"/>
    <cellStyle name="Comma [0] 11 4" xfId="2981" xr:uid="{9D48212A-4025-4732-A262-587F925C11E4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84" xr:uid="{E4F68E66-4469-460E-A109-02450A4AD9B6}"/>
    <cellStyle name="Comma [0] 12 3" xfId="539" xr:uid="{00000000-0005-0000-0000-00001B020000}"/>
    <cellStyle name="Comma [0] 12 3 2" xfId="540" xr:uid="{00000000-0005-0000-0000-00001C020000}"/>
    <cellStyle name="Comma [0] 12 3 3" xfId="2985" xr:uid="{2F6C1EEC-3135-4B49-AA7D-BA6A08A177F1}"/>
    <cellStyle name="Comma [0] 12 4" xfId="2983" xr:uid="{D3DA1B8A-369B-4F48-9BB5-C9B5E3E1173A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86" xr:uid="{DD7A0706-92C4-4F71-9A7F-E94A13643F93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88" xr:uid="{77B81899-152F-4FAC-B0C3-770C742A2DAF}"/>
    <cellStyle name="Comma [0] 15 3" xfId="2987" xr:uid="{CE763F6B-C91A-492C-A597-5AF813927184}"/>
    <cellStyle name="Comma [0] 15_Book2" xfId="550" xr:uid="{00000000-0005-0000-0000-000026020000}"/>
    <cellStyle name="Comma [0] 16" xfId="551" xr:uid="{00000000-0005-0000-0000-000027020000}"/>
    <cellStyle name="Comma [0] 16 2" xfId="2989" xr:uid="{8F624DBE-1D77-4729-B288-133E892D57A8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91" xr:uid="{4310CFBB-64B6-4BC9-A24E-8831BACE116C}"/>
    <cellStyle name="Comma [0] 18 3" xfId="557" xr:uid="{00000000-0005-0000-0000-00002D020000}"/>
    <cellStyle name="Comma [0] 18 4" xfId="2990" xr:uid="{9CEB7370-E4F0-4824-A381-B517CABBA666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93" xr:uid="{B787D0C5-83F1-46A4-84BF-A57975A6137F}"/>
    <cellStyle name="Comma [0] 19 3" xfId="561" xr:uid="{00000000-0005-0000-0000-000031020000}"/>
    <cellStyle name="Comma [0] 19 4" xfId="2992" xr:uid="{A9E14D24-88CF-429C-A614-70B6099E14CB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94" xr:uid="{62B477A4-ECF1-4EC0-B463-0075F9EF64A7}"/>
    <cellStyle name="Comma [0] 2 11" xfId="566" xr:uid="{00000000-0005-0000-0000-000036020000}"/>
    <cellStyle name="Comma [0] 2 11 2" xfId="2995" xr:uid="{BA5730DE-883F-4FCB-8E22-8875B9DB9D80}"/>
    <cellStyle name="Comma [0] 2 12" xfId="567" xr:uid="{00000000-0005-0000-0000-000037020000}"/>
    <cellStyle name="Comma [0] 2 13" xfId="2695" xr:uid="{92FD3C63-F69C-490D-93B3-2D8E3F8076FD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3002" xr:uid="{9782D081-822F-4EBD-8E04-78347EDAFBB1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3003" xr:uid="{4465C085-200B-46C5-9DFA-8FCAE3A5E503}"/>
    <cellStyle name="Comma [0] 2 2 2 2 2 2 2 4" xfId="3001" xr:uid="{5B235166-3BDB-431C-B90B-A2FA07C80E74}"/>
    <cellStyle name="Comma [0] 2 2 2 2 2 2 3" xfId="578" xr:uid="{00000000-0005-0000-0000-000042020000}"/>
    <cellStyle name="Comma [0] 2 2 2 2 2 2 3 2" xfId="3004" xr:uid="{57915D43-6CDB-48B4-B57E-95B6F73AC753}"/>
    <cellStyle name="Comma [0] 2 2 2 2 2 2 4" xfId="579" xr:uid="{00000000-0005-0000-0000-000043020000}"/>
    <cellStyle name="Comma [0] 2 2 2 2 2 2 5" xfId="3000" xr:uid="{8D1A640B-9D1A-41E5-BFB9-9012176F77FF}"/>
    <cellStyle name="Comma [0] 2 2 2 2 2 3" xfId="580" xr:uid="{00000000-0005-0000-0000-000044020000}"/>
    <cellStyle name="Comma [0] 2 2 2 2 2 3 2" xfId="581" xr:uid="{00000000-0005-0000-0000-000045020000}"/>
    <cellStyle name="Comma [0] 2 2 2 2 2 3 3" xfId="3005" xr:uid="{9BCCD1C0-8E67-4FB3-870F-DCAF2478AFE5}"/>
    <cellStyle name="Comma [0] 2 2 2 2 2 4" xfId="582" xr:uid="{00000000-0005-0000-0000-000046020000}"/>
    <cellStyle name="Comma [0] 2 2 2 2 2 4 2" xfId="583" xr:uid="{00000000-0005-0000-0000-000047020000}"/>
    <cellStyle name="Comma [0] 2 2 2 2 2 4 3" xfId="3006" xr:uid="{F22B0C7A-74AE-4E27-B66A-D9DFCBE855C8}"/>
    <cellStyle name="Comma [0] 2 2 2 2 2 5" xfId="2999" xr:uid="{03389212-E79E-4C95-80C6-54F8F401A4B0}"/>
    <cellStyle name="Comma [0] 2 2 2 2 3" xfId="584" xr:uid="{00000000-0005-0000-0000-000048020000}"/>
    <cellStyle name="Comma [0] 2 2 2 2 3 2" xfId="3007" xr:uid="{70BACFE3-E197-47D5-9D9A-66566D50623B}"/>
    <cellStyle name="Comma [0] 2 2 2 2 4" xfId="585" xr:uid="{00000000-0005-0000-0000-000049020000}"/>
    <cellStyle name="Comma [0] 2 2 2 2 4 2" xfId="3008" xr:uid="{02A12290-96F8-4E63-8586-2994CBC0B55A}"/>
    <cellStyle name="Comma [0] 2 2 2 2 5" xfId="586" xr:uid="{00000000-0005-0000-0000-00004A020000}"/>
    <cellStyle name="Comma [0] 2 2 2 2 6" xfId="2998" xr:uid="{A5430985-9F3A-4D9C-BD88-63E3A4015EFC}"/>
    <cellStyle name="Comma [0] 2 2 2 3" xfId="587" xr:uid="{00000000-0005-0000-0000-00004B020000}"/>
    <cellStyle name="Comma [0] 2 2 2 3 2" xfId="588" xr:uid="{00000000-0005-0000-0000-00004C020000}"/>
    <cellStyle name="Comma [0] 2 2 2 3 3" xfId="3009" xr:uid="{37FBE02C-59A2-482D-85F1-4F58B21DAA57}"/>
    <cellStyle name="Comma [0] 2 2 2 4" xfId="589" xr:uid="{00000000-0005-0000-0000-00004D020000}"/>
    <cellStyle name="Comma [0] 2 2 2 4 2" xfId="590" xr:uid="{00000000-0005-0000-0000-00004E020000}"/>
    <cellStyle name="Comma [0] 2 2 2 4 3" xfId="3010" xr:uid="{475AF4B6-DA8D-44E1-BE83-7E4A23D14FB4}"/>
    <cellStyle name="Comma [0] 2 2 2 5" xfId="591" xr:uid="{00000000-0005-0000-0000-00004F020000}"/>
    <cellStyle name="Comma [0] 2 2 2 5 2" xfId="592" xr:uid="{00000000-0005-0000-0000-000050020000}"/>
    <cellStyle name="Comma [0] 2 2 2 5 3" xfId="3011" xr:uid="{C9AB0C5B-5B8B-4E07-9394-AC0C2C8B2AF6}"/>
    <cellStyle name="Comma [0] 2 2 2 6" xfId="593" xr:uid="{00000000-0005-0000-0000-000051020000}"/>
    <cellStyle name="Comma [0] 2 2 2 7" xfId="2997" xr:uid="{AE35028D-865B-4842-9DA8-5D04E6F88788}"/>
    <cellStyle name="Comma [0] 2 2 3" xfId="594" xr:uid="{00000000-0005-0000-0000-000052020000}"/>
    <cellStyle name="Comma [0] 2 2 3 2" xfId="3012" xr:uid="{A9A72E38-8F22-4E88-9E73-118EF03E2792}"/>
    <cellStyle name="Comma [0] 2 2 4" xfId="595" xr:uid="{00000000-0005-0000-0000-000053020000}"/>
    <cellStyle name="Comma [0] 2 2 4 2" xfId="3013" xr:uid="{49671FFB-BF89-460F-AFFB-27B640117894}"/>
    <cellStyle name="Comma [0] 2 2 5" xfId="596" xr:uid="{00000000-0005-0000-0000-000054020000}"/>
    <cellStyle name="Comma [0] 2 2 5 2" xfId="3014" xr:uid="{C6F72A21-8A12-43DC-9723-CD98EFDF0C91}"/>
    <cellStyle name="Comma [0] 2 2 6" xfId="597" xr:uid="{00000000-0005-0000-0000-000055020000}"/>
    <cellStyle name="Comma [0] 2 2 6 2" xfId="598" xr:uid="{00000000-0005-0000-0000-000056020000}"/>
    <cellStyle name="Comma [0] 2 2 6 3" xfId="3015" xr:uid="{4E2A368F-8CB1-4140-87DA-9213E8232C8F}"/>
    <cellStyle name="Comma [0] 2 2 7" xfId="2996" xr:uid="{267327DC-66A2-4A2C-84DB-D033D5BC3C08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3019" xr:uid="{6FE57DA3-E080-429A-83C2-26A2E3AD81BE}"/>
    <cellStyle name="Comma [0] 2 3 2 2 3" xfId="603" xr:uid="{00000000-0005-0000-0000-00005B020000}"/>
    <cellStyle name="Comma [0] 2 3 2 2 3 2" xfId="3020" xr:uid="{A7A8038C-7B4C-47BD-ACA9-2618F69702B9}"/>
    <cellStyle name="Comma [0] 2 3 2 2 4" xfId="604" xr:uid="{00000000-0005-0000-0000-00005C020000}"/>
    <cellStyle name="Comma [0] 2 3 2 2 4 2" xfId="3021" xr:uid="{845D2E5C-38E2-4A60-A43B-4F81BD9B2441}"/>
    <cellStyle name="Comma [0] 2 3 2 2 5" xfId="3018" xr:uid="{2F0ED4B4-DBD4-44DD-9F86-87E5DF29D19E}"/>
    <cellStyle name="Comma [0] 2 3 2 3" xfId="605" xr:uid="{00000000-0005-0000-0000-00005D020000}"/>
    <cellStyle name="Comma [0] 2 3 2 3 2" xfId="3022" xr:uid="{4C0AA4F2-E674-4023-90DD-C1FA8459B666}"/>
    <cellStyle name="Comma [0] 2 3 2 4" xfId="606" xr:uid="{00000000-0005-0000-0000-00005E020000}"/>
    <cellStyle name="Comma [0] 2 3 2 4 2" xfId="3023" xr:uid="{374A6223-331C-423B-B407-4D3415ADD011}"/>
    <cellStyle name="Comma [0] 2 3 2 5" xfId="607" xr:uid="{00000000-0005-0000-0000-00005F020000}"/>
    <cellStyle name="Comma [0] 2 3 2 5 2" xfId="3024" xr:uid="{CE40C9B6-7A64-426C-8ACE-86655A853093}"/>
    <cellStyle name="Comma [0] 2 3 2 6" xfId="608" xr:uid="{00000000-0005-0000-0000-000060020000}"/>
    <cellStyle name="Comma [0] 2 3 2 7" xfId="3017" xr:uid="{C1A6AC41-F97E-4991-8A8B-29C8CDDBA8DD}"/>
    <cellStyle name="Comma [0] 2 3 3" xfId="609" xr:uid="{00000000-0005-0000-0000-000061020000}"/>
    <cellStyle name="Comma [0] 2 3 3 2" xfId="3025" xr:uid="{2264F017-3565-42B8-AC75-3B96350BEF1B}"/>
    <cellStyle name="Comma [0] 2 3 4" xfId="610" xr:uid="{00000000-0005-0000-0000-000062020000}"/>
    <cellStyle name="Comma [0] 2 3 4 2" xfId="3026" xr:uid="{A1ABAA07-CAB0-49DC-AD80-B4FC1E6E19AC}"/>
    <cellStyle name="Comma [0] 2 3 5" xfId="611" xr:uid="{00000000-0005-0000-0000-000063020000}"/>
    <cellStyle name="Comma [0] 2 3 5 2" xfId="3027" xr:uid="{CCAB5358-5227-464A-AB16-68E170D5D217}"/>
    <cellStyle name="Comma [0] 2 3 6" xfId="612" xr:uid="{00000000-0005-0000-0000-000064020000}"/>
    <cellStyle name="Comma [0] 2 3 6 2" xfId="3028" xr:uid="{14A22898-0896-455B-9223-C9D92CE8F983}"/>
    <cellStyle name="Comma [0] 2 3 7" xfId="613" xr:uid="{00000000-0005-0000-0000-000065020000}"/>
    <cellStyle name="Comma [0] 2 3 8" xfId="614" xr:uid="{00000000-0005-0000-0000-000066020000}"/>
    <cellStyle name="Comma [0] 2 3 9" xfId="3016" xr:uid="{0A564BF6-C989-4DE9-A4D9-924651489BF7}"/>
    <cellStyle name="Comma [0] 2 4" xfId="615" xr:uid="{00000000-0005-0000-0000-000067020000}"/>
    <cellStyle name="Comma [0] 2 4 2" xfId="616" xr:uid="{00000000-0005-0000-0000-000068020000}"/>
    <cellStyle name="Comma [0] 2 4 2 2" xfId="3029" xr:uid="{F627C481-186B-4FAB-9F40-B40C877D169C}"/>
    <cellStyle name="Comma [0] 2 4 3" xfId="617" xr:uid="{00000000-0005-0000-0000-000069020000}"/>
    <cellStyle name="Comma [0] 2 4 3 2" xfId="3030" xr:uid="{0B673454-D82A-47D6-81F9-AED1FBA83FE5}"/>
    <cellStyle name="Comma [0] 2 4 4" xfId="618" xr:uid="{00000000-0005-0000-0000-00006A020000}"/>
    <cellStyle name="Comma [0] 2 4 4 2" xfId="3031" xr:uid="{372C2F2C-B1A2-451B-8BF1-8A9D6EE62749}"/>
    <cellStyle name="Comma [0] 2 4 5" xfId="619" xr:uid="{00000000-0005-0000-0000-00006B020000}"/>
    <cellStyle name="Comma [0] 2 4 5 2" xfId="620" xr:uid="{00000000-0005-0000-0000-00006C020000}"/>
    <cellStyle name="Comma [0] 2 4 5 3" xfId="3032" xr:uid="{A06A0AB3-5BB4-4844-B7C1-97990F8D9B86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3034" xr:uid="{D585A807-8C59-4A4F-8608-8A5A30378451}"/>
    <cellStyle name="Comma [0] 2 5 3" xfId="624" xr:uid="{00000000-0005-0000-0000-000070020000}"/>
    <cellStyle name="Comma [0] 2 5 3 2" xfId="3035" xr:uid="{26D90999-08AD-4842-B1B6-9C6B36A34EA6}"/>
    <cellStyle name="Comma [0] 2 5 4" xfId="625" xr:uid="{00000000-0005-0000-0000-000071020000}"/>
    <cellStyle name="Comma [0] 2 5 4 2" xfId="3036" xr:uid="{E780103B-8CA4-45EA-AF91-8674E8CB6FCA}"/>
    <cellStyle name="Comma [0] 2 5 5" xfId="3033" xr:uid="{72BB0A89-46AB-4FD2-BFD3-E90D4C283B5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3042" xr:uid="{62E15AD9-AA56-4541-AE74-A5C766AB260F}"/>
    <cellStyle name="Comma [0] 2 6 2 2 2 2 3" xfId="632" xr:uid="{00000000-0005-0000-0000-000078020000}"/>
    <cellStyle name="Comma [0] 2 6 2 2 2 2 3 2" xfId="3043" xr:uid="{0B4A5F6B-8B62-4DB1-A2DE-6690FF3BADBF}"/>
    <cellStyle name="Comma [0] 2 6 2 2 2 2 4" xfId="633" xr:uid="{00000000-0005-0000-0000-000079020000}"/>
    <cellStyle name="Comma [0] 2 6 2 2 2 2 4 2" xfId="3044" xr:uid="{339A4F84-B823-44D2-882F-3B366CDB869B}"/>
    <cellStyle name="Comma [0] 2 6 2 2 2 2 5" xfId="634" xr:uid="{00000000-0005-0000-0000-00007A020000}"/>
    <cellStyle name="Comma [0] 2 6 2 2 2 2 5 2" xfId="3045" xr:uid="{7D145F94-5BBD-4E1E-8800-1CED032810D9}"/>
    <cellStyle name="Comma [0] 2 6 2 2 2 2 6" xfId="3041" xr:uid="{5B75CE73-7F02-43A0-884F-C5E1923E3EA0}"/>
    <cellStyle name="Comma [0] 2 6 2 2 2 3" xfId="635" xr:uid="{00000000-0005-0000-0000-00007B020000}"/>
    <cellStyle name="Comma [0] 2 6 2 2 2 3 2" xfId="3046" xr:uid="{24A8A480-F170-4100-9760-34092A3313D9}"/>
    <cellStyle name="Comma [0] 2 6 2 2 2 4" xfId="636" xr:uid="{00000000-0005-0000-0000-00007C020000}"/>
    <cellStyle name="Comma [0] 2 6 2 2 2 4 2" xfId="3047" xr:uid="{05534A4C-7B60-48C4-9A27-6BB2940A954F}"/>
    <cellStyle name="Comma [0] 2 6 2 2 2 5" xfId="637" xr:uid="{00000000-0005-0000-0000-00007D020000}"/>
    <cellStyle name="Comma [0] 2 6 2 2 2 5 2" xfId="3048" xr:uid="{14E8EA1C-5E8D-4603-B4BC-97D163015120}"/>
    <cellStyle name="Comma [0] 2 6 2 2 2 6" xfId="3040" xr:uid="{13209B5C-9230-476B-ACCD-A6A4DBCD7A2F}"/>
    <cellStyle name="Comma [0] 2 6 2 2 3" xfId="638" xr:uid="{00000000-0005-0000-0000-00007E020000}"/>
    <cellStyle name="Comma [0] 2 6 2 2 3 2" xfId="3049" xr:uid="{8E729FAB-0FD1-49DA-AB07-9AAF7E08134C}"/>
    <cellStyle name="Comma [0] 2 6 2 2 4" xfId="639" xr:uid="{00000000-0005-0000-0000-00007F020000}"/>
    <cellStyle name="Comma [0] 2 6 2 2 4 2" xfId="3050" xr:uid="{8C84BFBF-40D5-45B5-A658-AA180605E3AE}"/>
    <cellStyle name="Comma [0] 2 6 2 2 5" xfId="640" xr:uid="{00000000-0005-0000-0000-000080020000}"/>
    <cellStyle name="Comma [0] 2 6 2 2 5 2" xfId="3051" xr:uid="{4AA15F4C-B581-4A07-BAEB-B3192D8F7E6A}"/>
    <cellStyle name="Comma [0] 2 6 2 2 6" xfId="3039" xr:uid="{97351DAC-8A62-4749-9102-7E9C53BDE32F}"/>
    <cellStyle name="Comma [0] 2 6 2 3" xfId="641" xr:uid="{00000000-0005-0000-0000-000081020000}"/>
    <cellStyle name="Comma [0] 2 6 2 3 2" xfId="3052" xr:uid="{1E573E09-724E-47B6-85C6-E6E57EBEDB6E}"/>
    <cellStyle name="Comma [0] 2 6 2 4" xfId="642" xr:uid="{00000000-0005-0000-0000-000082020000}"/>
    <cellStyle name="Comma [0] 2 6 2 4 2" xfId="3053" xr:uid="{F4D8DD1B-7DF9-4BE7-83B5-116536589D25}"/>
    <cellStyle name="Comma [0] 2 6 2 5" xfId="643" xr:uid="{00000000-0005-0000-0000-000083020000}"/>
    <cellStyle name="Comma [0] 2 6 2 5 2" xfId="3054" xr:uid="{49BCC093-17EA-452A-861E-580016B44234}"/>
    <cellStyle name="Comma [0] 2 6 2 6" xfId="3038" xr:uid="{284DAED3-5B6C-45D9-A67E-9D319ECB95B9}"/>
    <cellStyle name="Comma [0] 2 6 3" xfId="644" xr:uid="{00000000-0005-0000-0000-000084020000}"/>
    <cellStyle name="Comma [0] 2 6 3 2" xfId="3055" xr:uid="{D90FE3E9-96B3-43AB-BEC6-1336C61DEA10}"/>
    <cellStyle name="Comma [0] 2 6 4" xfId="645" xr:uid="{00000000-0005-0000-0000-000085020000}"/>
    <cellStyle name="Comma [0] 2 6 4 2" xfId="3056" xr:uid="{B779D3B1-3D77-4A70-AE58-50590A19355F}"/>
    <cellStyle name="Comma [0] 2 6 5" xfId="646" xr:uid="{00000000-0005-0000-0000-000086020000}"/>
    <cellStyle name="Comma [0] 2 6 5 2" xfId="3057" xr:uid="{4EC77F3E-A881-4FD2-BFC7-05C538F8D457}"/>
    <cellStyle name="Comma [0] 2 6 6" xfId="3037" xr:uid="{C641D5B3-5C1E-42F4-99AB-B6285DF3EA05}"/>
    <cellStyle name="Comma [0] 2 7" xfId="647" xr:uid="{00000000-0005-0000-0000-000087020000}"/>
    <cellStyle name="Comma [0] 2 7 2" xfId="648" xr:uid="{00000000-0005-0000-0000-000088020000}"/>
    <cellStyle name="Comma [0] 2 7 3" xfId="3058" xr:uid="{4D02167F-5E8C-47A2-9937-45E8D4F964BA}"/>
    <cellStyle name="Comma [0] 2 8" xfId="649" xr:uid="{00000000-0005-0000-0000-000089020000}"/>
    <cellStyle name="Comma [0] 2 8 2" xfId="3059" xr:uid="{F3F79DF3-B072-48AD-B2B5-99EC8937AF08}"/>
    <cellStyle name="Comma [0] 2 9" xfId="650" xr:uid="{00000000-0005-0000-0000-00008A020000}"/>
    <cellStyle name="Comma [0] 2 9 2" xfId="3060" xr:uid="{B2F3A564-A1A2-4A89-A9A8-0C361F8F14DD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61" xr:uid="{80733774-27A6-4D9C-9A4F-7D18908BD421}"/>
    <cellStyle name="Comma [0] 23" xfId="656" xr:uid="{00000000-0005-0000-0000-000090020000}"/>
    <cellStyle name="Comma [0] 23 2" xfId="3062" xr:uid="{E5C65C7E-A0B7-41F6-8A51-80BB5240B8D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3064" xr:uid="{ABE039D3-0791-4F5E-905D-BA6CB8871F29}"/>
    <cellStyle name="Comma [0] 24 3" xfId="660" xr:uid="{00000000-0005-0000-0000-000094020000}"/>
    <cellStyle name="Comma [0] 24 4" xfId="3063" xr:uid="{8C6BA65B-83D2-428D-B369-EB38F850C9E2}"/>
    <cellStyle name="Comma [0] 25" xfId="661" xr:uid="{00000000-0005-0000-0000-000095020000}"/>
    <cellStyle name="Comma [0] 25 2" xfId="3065" xr:uid="{085DB0EF-19F6-4C5C-89B9-A06748A4486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3066" xr:uid="{43FCD73B-FEFB-4527-AB66-A77E4996E6E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68" xr:uid="{FD9BD1C7-5E71-4321-A0FF-8E3ADC926F95}"/>
    <cellStyle name="Comma [0] 3 2 3" xfId="668" xr:uid="{00000000-0005-0000-0000-00009C020000}"/>
    <cellStyle name="Comma [0] 3 2 4" xfId="3067" xr:uid="{5E9F756C-7D08-4762-AEFE-9A2B72E01A74}"/>
    <cellStyle name="Comma [0] 3 3" xfId="669" xr:uid="{00000000-0005-0000-0000-00009D020000}"/>
    <cellStyle name="Comma [0] 3 4" xfId="2703" xr:uid="{CC0ED1C6-80C6-4EEC-B31C-FA014AD53EF5}"/>
    <cellStyle name="Comma [0] 32" xfId="670" xr:uid="{00000000-0005-0000-0000-00009E020000}"/>
    <cellStyle name="Comma [0] 32 2" xfId="671" xr:uid="{00000000-0005-0000-0000-00009F020000}"/>
    <cellStyle name="Comma [0] 32 3" xfId="3069" xr:uid="{C192A995-9690-4914-AE44-06E605E89D96}"/>
    <cellStyle name="Comma [0] 35" xfId="672" xr:uid="{00000000-0005-0000-0000-0000A0020000}"/>
    <cellStyle name="Comma [0] 35 2" xfId="3070" xr:uid="{B3521A9D-9B42-474C-BD40-A844172B9D93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3072" xr:uid="{CDC9D84E-CEF8-41F0-98B9-C0FDD169A21B}"/>
    <cellStyle name="Comma [0] 4 3" xfId="676" xr:uid="{00000000-0005-0000-0000-0000A4020000}"/>
    <cellStyle name="Comma [0] 4 3 2" xfId="677" xr:uid="{00000000-0005-0000-0000-0000A5020000}"/>
    <cellStyle name="Comma [0] 4 3 3" xfId="3073" xr:uid="{9B5FB48B-9619-43D1-BDE3-F19A41A5D0DC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3071" xr:uid="{6C0B3F67-6179-4196-B20B-564E43DC971C}"/>
    <cellStyle name="Comma [0] 5" xfId="682" xr:uid="{00000000-0005-0000-0000-0000AA020000}"/>
    <cellStyle name="Comma [0] 5 2" xfId="683" xr:uid="{00000000-0005-0000-0000-0000AB020000}"/>
    <cellStyle name="Comma [0] 5 2 2" xfId="3075" xr:uid="{4E790F74-C48C-42B6-A01B-495A683B91DD}"/>
    <cellStyle name="Comma [0] 5 3" xfId="684" xr:uid="{00000000-0005-0000-0000-0000AC020000}"/>
    <cellStyle name="Comma [0] 5 3 2" xfId="3076" xr:uid="{180F31F0-A943-4949-8968-BDC2CB38398B}"/>
    <cellStyle name="Comma [0] 5 4" xfId="3074" xr:uid="{7339533F-AEFD-4B20-BCF8-7671FE9550C1}"/>
    <cellStyle name="Comma [0] 6" xfId="685" xr:uid="{00000000-0005-0000-0000-0000AD020000}"/>
    <cellStyle name="Comma [0] 6 2" xfId="686" xr:uid="{00000000-0005-0000-0000-0000AE020000}"/>
    <cellStyle name="Comma [0] 6 2 2" xfId="3078" xr:uid="{49555E58-9405-4DD2-BDC0-59C741AAF6E6}"/>
    <cellStyle name="Comma [0] 6 3" xfId="687" xr:uid="{00000000-0005-0000-0000-0000AF020000}"/>
    <cellStyle name="Comma [0] 6 3 2" xfId="688" xr:uid="{00000000-0005-0000-0000-0000B0020000}"/>
    <cellStyle name="Comma [0] 6 3 3" xfId="3079" xr:uid="{5954DE9F-DAAD-42D9-A92A-7D4A6E148E6E}"/>
    <cellStyle name="Comma [0] 6 4" xfId="3077" xr:uid="{DE5DBDF1-4696-406E-AD8A-EEEAD4F43C29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3080" xr:uid="{577C843C-14A8-4D4F-B29B-59E1ECE24206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82" xr:uid="{E6E2E8E0-12CC-4F2B-B196-DEA08E580210}"/>
    <cellStyle name="Comma [0] 8 3" xfId="696" xr:uid="{00000000-0005-0000-0000-0000B8020000}"/>
    <cellStyle name="Comma [0] 8 3 2" xfId="697" xr:uid="{00000000-0005-0000-0000-0000B9020000}"/>
    <cellStyle name="Comma [0] 8 3 3" xfId="3083" xr:uid="{928920C8-5AC9-41D4-8F1D-508F7D6DF83F}"/>
    <cellStyle name="Comma [0] 8 4" xfId="698" xr:uid="{00000000-0005-0000-0000-0000BA020000}"/>
    <cellStyle name="Comma [0] 8 5" xfId="3081" xr:uid="{2A0A7C26-5847-4349-B1FB-89E8AB42C52B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85" xr:uid="{ACA526A5-92CD-4ECE-8012-6DFEF45282F6}"/>
    <cellStyle name="Comma [0] 9 3" xfId="702" xr:uid="{00000000-0005-0000-0000-0000BE020000}"/>
    <cellStyle name="Comma [0] 9 3 2" xfId="703" xr:uid="{00000000-0005-0000-0000-0000BF020000}"/>
    <cellStyle name="Comma [0] 9 3 3" xfId="3086" xr:uid="{0475DF1F-E570-420B-B6DA-4173F0E87290}"/>
    <cellStyle name="Comma [0] 9 4" xfId="3084" xr:uid="{44BAECB9-0575-486F-B69C-1A9C9A21A877}"/>
    <cellStyle name="Comma [0] 90" xfId="704" xr:uid="{00000000-0005-0000-0000-0000C0020000}"/>
    <cellStyle name="Comma [0] 90 2" xfId="705" xr:uid="{00000000-0005-0000-0000-0000C1020000}"/>
    <cellStyle name="Comma [0] 90 3" xfId="3087" xr:uid="{E1F76136-E4B4-497D-97B1-277BBD86992C}"/>
    <cellStyle name="Comma [0] 91" xfId="706" xr:uid="{00000000-0005-0000-0000-0000C2020000}"/>
    <cellStyle name="Comma [0] 91 2" xfId="707" xr:uid="{00000000-0005-0000-0000-0000C3020000}"/>
    <cellStyle name="Comma [0] 91 3" xfId="3088" xr:uid="{D948969B-A696-4870-9103-8CE4E92796C0}"/>
    <cellStyle name="Comma [0] 93" xfId="708" xr:uid="{00000000-0005-0000-0000-0000C4020000}"/>
    <cellStyle name="Comma [0] 93 2" xfId="709" xr:uid="{00000000-0005-0000-0000-0000C5020000}"/>
    <cellStyle name="Comma [0] 93 3" xfId="3089" xr:uid="{1F2C9385-3844-45C2-8E33-C35C4B1ECA10}"/>
    <cellStyle name="Comma [0] 94" xfId="710" xr:uid="{00000000-0005-0000-0000-0000C6020000}"/>
    <cellStyle name="Comma [0] 94 2" xfId="711" xr:uid="{00000000-0005-0000-0000-0000C7020000}"/>
    <cellStyle name="Comma [0] 94 3" xfId="3090" xr:uid="{7415C6B8-D649-49FB-B7E3-A0683B93BA03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564" xr:uid="{09AB285F-7F3F-405D-8740-F849EBB7A47A}"/>
    <cellStyle name="Comma 10 2 2 3" xfId="3092" xr:uid="{E7155382-C7BA-4BB0-8032-7BFE44C905DC}"/>
    <cellStyle name="Comma 10 2 3" xfId="718" xr:uid="{00000000-0005-0000-0000-0000CE020000}"/>
    <cellStyle name="Comma 10 2 4" xfId="3091" xr:uid="{604F923A-E3BF-446D-B5E9-655CB5EE2D70}"/>
    <cellStyle name="Comma 10 3" xfId="719" xr:uid="{00000000-0005-0000-0000-0000CF020000}"/>
    <cellStyle name="Comma 10 3 2" xfId="720" xr:uid="{00000000-0005-0000-0000-0000D0020000}"/>
    <cellStyle name="Comma 10 3 3" xfId="3093" xr:uid="{EE45DC1C-A53A-4F53-A6BB-89C4D20E0E71}"/>
    <cellStyle name="Comma 10 4" xfId="721" xr:uid="{00000000-0005-0000-0000-0000D1020000}"/>
    <cellStyle name="Comma 10 4 2" xfId="722" xr:uid="{00000000-0005-0000-0000-0000D2020000}"/>
    <cellStyle name="Comma 10 4 3" xfId="3094" xr:uid="{82EEA700-0CA5-406D-8237-E9C964DE0739}"/>
    <cellStyle name="Comma 10 5" xfId="723" xr:uid="{00000000-0005-0000-0000-0000D3020000}"/>
    <cellStyle name="Comma 10 5 2" xfId="724" xr:uid="{00000000-0005-0000-0000-0000D4020000}"/>
    <cellStyle name="Comma 10 5 3" xfId="3095" xr:uid="{0BBE824E-6B35-4C57-89A5-C20D74F7E49E}"/>
    <cellStyle name="Comma 10 6" xfId="725" xr:uid="{00000000-0005-0000-0000-0000D5020000}"/>
    <cellStyle name="Comma 10 6 2" xfId="726" xr:uid="{00000000-0005-0000-0000-0000D6020000}"/>
    <cellStyle name="Comma 10 6 3" xfId="3096" xr:uid="{8D2422BE-B23E-4876-B399-04920038127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97" xr:uid="{6F34164C-32D5-4F32-A9D2-50D48796CE8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99" xr:uid="{17ED7A0B-56E6-42B2-BD53-65AE4BF47631}"/>
    <cellStyle name="Comma 12 3" xfId="734" xr:uid="{00000000-0005-0000-0000-0000DE020000}"/>
    <cellStyle name="Comma 12 3 2" xfId="735" xr:uid="{00000000-0005-0000-0000-0000DF020000}"/>
    <cellStyle name="Comma 12 3 3" xfId="3100" xr:uid="{EECC0FC9-3BC4-4F27-9204-90A1341CC98A}"/>
    <cellStyle name="Comma 12 4" xfId="736" xr:uid="{00000000-0005-0000-0000-0000E0020000}"/>
    <cellStyle name="Comma 12 4 2" xfId="737" xr:uid="{00000000-0005-0000-0000-0000E1020000}"/>
    <cellStyle name="Comma 12 4 3" xfId="3101" xr:uid="{9EADCD6E-107B-47E4-B475-46FB9F39E0AB}"/>
    <cellStyle name="Comma 12 5" xfId="738" xr:uid="{00000000-0005-0000-0000-0000E2020000}"/>
    <cellStyle name="Comma 12 5 2" xfId="739" xr:uid="{00000000-0005-0000-0000-0000E3020000}"/>
    <cellStyle name="Comma 12 5 3" xfId="3102" xr:uid="{A7D677F1-61CD-41AC-AF95-9FEB3935ABC9}"/>
    <cellStyle name="Comma 12 6" xfId="740" xr:uid="{00000000-0005-0000-0000-0000E4020000}"/>
    <cellStyle name="Comma 12 6 2" xfId="741" xr:uid="{00000000-0005-0000-0000-0000E5020000}"/>
    <cellStyle name="Comma 12 6 3" xfId="3103" xr:uid="{861B0EC2-3C1E-4E60-A15D-DBF016FE3149}"/>
    <cellStyle name="Comma 12 7" xfId="742" xr:uid="{00000000-0005-0000-0000-0000E6020000}"/>
    <cellStyle name="Comma 12 8" xfId="3098" xr:uid="{7274E558-E676-4F64-941F-F36D5D11A23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105" xr:uid="{DE37F086-0E5D-4ECB-9F85-319DADEB5CE9}"/>
    <cellStyle name="Comma 13 3" xfId="746" xr:uid="{00000000-0005-0000-0000-0000EA020000}"/>
    <cellStyle name="Comma 13 4" xfId="3104" xr:uid="{FC01D1DF-1B18-429F-8F17-292E35DF0A8F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108" xr:uid="{8F38030E-CDA5-492C-A56A-A9F774D0C96E}"/>
    <cellStyle name="Comma 14 2 3" xfId="751" xr:uid="{00000000-0005-0000-0000-0000EF020000}"/>
    <cellStyle name="Comma 14 2 4" xfId="3107" xr:uid="{A2C52BCF-77D6-476B-9F09-8DA4EEBAB079}"/>
    <cellStyle name="Comma 14 3" xfId="752" xr:uid="{00000000-0005-0000-0000-0000F0020000}"/>
    <cellStyle name="Comma 14 4" xfId="3106" xr:uid="{E4E0B858-5A55-416E-92F5-C57D27F89D9C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110" xr:uid="{29E69C6B-909E-439A-A326-F899C34E030A}"/>
    <cellStyle name="Comma 15 3" xfId="756" xr:uid="{00000000-0005-0000-0000-0000F4020000}"/>
    <cellStyle name="Comma 15 3 2" xfId="757" xr:uid="{00000000-0005-0000-0000-0000F5020000}"/>
    <cellStyle name="Comma 15 3 3" xfId="3111" xr:uid="{DE4C6F8B-5729-48B6-944B-31841542F56A}"/>
    <cellStyle name="Comma 15 4" xfId="758" xr:uid="{00000000-0005-0000-0000-0000F6020000}"/>
    <cellStyle name="Comma 15 4 2" xfId="759" xr:uid="{00000000-0005-0000-0000-0000F7020000}"/>
    <cellStyle name="Comma 15 4 3" xfId="3112" xr:uid="{7C0A9940-D0F2-40BB-B5DA-B257352A847E}"/>
    <cellStyle name="Comma 15 5" xfId="760" xr:uid="{00000000-0005-0000-0000-0000F8020000}"/>
    <cellStyle name="Comma 15 6" xfId="3109" xr:uid="{DC5A375D-2602-4168-A383-0399A9D1352A}"/>
    <cellStyle name="Comma 16" xfId="761" xr:uid="{00000000-0005-0000-0000-0000F9020000}"/>
    <cellStyle name="Comma 16 2" xfId="762" xr:uid="{00000000-0005-0000-0000-0000FA020000}"/>
    <cellStyle name="Comma 16 3" xfId="3113" xr:uid="{0B51464B-FE89-481F-A7EE-5E2CB5F6C1F9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115" xr:uid="{FA6B97F7-86BD-4046-B677-B5F52E112586}"/>
    <cellStyle name="Comma 17 3" xfId="3114" xr:uid="{415F4FAE-1671-4182-8B56-8DE0B82A0F9B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117" xr:uid="{50290058-344E-419B-8494-3D71AC33B476}"/>
    <cellStyle name="Comma 18 3" xfId="769" xr:uid="{00000000-0005-0000-0000-000001030000}"/>
    <cellStyle name="Comma 18 4" xfId="3116" xr:uid="{454C2A5E-AFDC-4CC6-A706-D3855B4DAB50}"/>
    <cellStyle name="Comma 19" xfId="770" xr:uid="{00000000-0005-0000-0000-000002030000}"/>
    <cellStyle name="Comma 19 2" xfId="771" xr:uid="{00000000-0005-0000-0000-000003030000}"/>
    <cellStyle name="Comma 19 2 2" xfId="3119" xr:uid="{8BC17B66-1246-4370-8D8A-2A8C91D67AA6}"/>
    <cellStyle name="Comma 19 3" xfId="772" xr:uid="{00000000-0005-0000-0000-000004030000}"/>
    <cellStyle name="Comma 19 3 2" xfId="3120" xr:uid="{4C6F88AF-7D43-4B51-8225-E14F1FEBA462}"/>
    <cellStyle name="Comma 19 4" xfId="773" xr:uid="{00000000-0005-0000-0000-000005030000}"/>
    <cellStyle name="Comma 19 4 2" xfId="3121" xr:uid="{5801C612-48D7-4164-947F-59D4CC533DD6}"/>
    <cellStyle name="Comma 19 5" xfId="774" xr:uid="{00000000-0005-0000-0000-000006030000}"/>
    <cellStyle name="Comma 19 6" xfId="3118" xr:uid="{CEAA62BE-445A-491C-B680-B57CBBB871F5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122" xr:uid="{ED95DD2D-B788-4BD7-9A9B-D9CA51FAB05A}"/>
    <cellStyle name="Comma 2 11" xfId="778" xr:uid="{00000000-0005-0000-0000-00000A030000}"/>
    <cellStyle name="Comma 2 11 2" xfId="779" xr:uid="{00000000-0005-0000-0000-00000B030000}"/>
    <cellStyle name="Comma 2 11 3" xfId="3123" xr:uid="{4DE41DB1-FF6C-46A7-9C76-30DDDD72A0B1}"/>
    <cellStyle name="Comma 2 12" xfId="780" xr:uid="{00000000-0005-0000-0000-00000C030000}"/>
    <cellStyle name="Comma 2 12 2" xfId="781" xr:uid="{00000000-0005-0000-0000-00000D030000}"/>
    <cellStyle name="Comma 2 12 3" xfId="3124" xr:uid="{D8CE8AC6-ECB5-4F15-A40D-C318AFB2EAA4}"/>
    <cellStyle name="Comma 2 13" xfId="782" xr:uid="{00000000-0005-0000-0000-00000E030000}"/>
    <cellStyle name="Comma 2 13 2" xfId="783" xr:uid="{00000000-0005-0000-0000-00000F030000}"/>
    <cellStyle name="Comma 2 13 3" xfId="3125" xr:uid="{56B342D5-9919-4AE0-BF3D-07754DD801BF}"/>
    <cellStyle name="Comma 2 14" xfId="784" xr:uid="{00000000-0005-0000-0000-000010030000}"/>
    <cellStyle name="Comma 2 14 2" xfId="785" xr:uid="{00000000-0005-0000-0000-000011030000}"/>
    <cellStyle name="Comma 2 14 3" xfId="3126" xr:uid="{7EF50643-FFE2-4273-BE51-DDB77221A94B}"/>
    <cellStyle name="Comma 2 15" xfId="786" xr:uid="{00000000-0005-0000-0000-000012030000}"/>
    <cellStyle name="Comma 2 15 2" xfId="787" xr:uid="{00000000-0005-0000-0000-000013030000}"/>
    <cellStyle name="Comma 2 15 3" xfId="3127" xr:uid="{878F410C-8186-4403-9932-4591AC25A9A0}"/>
    <cellStyle name="Comma 2 16" xfId="788" xr:uid="{00000000-0005-0000-0000-000014030000}"/>
    <cellStyle name="Comma 2 16 2" xfId="789" xr:uid="{00000000-0005-0000-0000-000015030000}"/>
    <cellStyle name="Comma 2 16 3" xfId="3128" xr:uid="{42E81328-FA17-4BCD-997E-72C37F4C8A52}"/>
    <cellStyle name="Comma 2 17" xfId="790" xr:uid="{00000000-0005-0000-0000-000016030000}"/>
    <cellStyle name="Comma 2 17 2" xfId="791" xr:uid="{00000000-0005-0000-0000-000017030000}"/>
    <cellStyle name="Comma 2 17 3" xfId="3129" xr:uid="{86CCC82F-125C-4861-8ACD-A43655A1E9D8}"/>
    <cellStyle name="Comma 2 18" xfId="792" xr:uid="{00000000-0005-0000-0000-000018030000}"/>
    <cellStyle name="Comma 2 18 2" xfId="793" xr:uid="{00000000-0005-0000-0000-000019030000}"/>
    <cellStyle name="Comma 2 18 3" xfId="3130" xr:uid="{4AB896D5-A106-4E0A-A9D6-F473EC750729}"/>
    <cellStyle name="Comma 2 19" xfId="794" xr:uid="{00000000-0005-0000-0000-00001A030000}"/>
    <cellStyle name="Comma 2 19 2" xfId="795" xr:uid="{00000000-0005-0000-0000-00001B030000}"/>
    <cellStyle name="Comma 2 19 3" xfId="3131" xr:uid="{8410B663-458A-492A-916B-7509C2F4998F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137" xr:uid="{8C6764BA-E913-4C05-8B42-418057A60B8F}"/>
    <cellStyle name="Comma 2 2 2 2 2 2 2 3" xfId="804" xr:uid="{00000000-0005-0000-0000-000024030000}"/>
    <cellStyle name="Comma 2 2 2 2 2 2 2 3 2" xfId="805" xr:uid="{00000000-0005-0000-0000-000025030000}"/>
    <cellStyle name="Comma 2 2 2 2 2 2 2 3 3" xfId="3138" xr:uid="{2FD4F0B2-7C70-417E-98F6-2B3997AC261B}"/>
    <cellStyle name="Comma 2 2 2 2 2 2 2 4" xfId="3136" xr:uid="{C03DE2CA-B10F-4D9E-ADA9-9576E75C65BA}"/>
    <cellStyle name="Comma 2 2 2 2 2 2 3" xfId="806" xr:uid="{00000000-0005-0000-0000-000026030000}"/>
    <cellStyle name="Comma 2 2 2 2 2 2 3 2" xfId="3139" xr:uid="{4D419668-5F6B-45C3-9998-737B76B26A91}"/>
    <cellStyle name="Comma 2 2 2 2 2 2 4" xfId="807" xr:uid="{00000000-0005-0000-0000-000027030000}"/>
    <cellStyle name="Comma 2 2 2 2 2 2 5" xfId="3135" xr:uid="{1B9C844D-040B-4B18-A493-5BD6891351F1}"/>
    <cellStyle name="Comma 2 2 2 2 2 3" xfId="808" xr:uid="{00000000-0005-0000-0000-000028030000}"/>
    <cellStyle name="Comma 2 2 2 2 2 3 2" xfId="809" xr:uid="{00000000-0005-0000-0000-000029030000}"/>
    <cellStyle name="Comma 2 2 2 2 2 3 3" xfId="3140" xr:uid="{C2799DA1-6BE9-4B8E-B72C-EB36034DD892}"/>
    <cellStyle name="Comma 2 2 2 2 2 4" xfId="810" xr:uid="{00000000-0005-0000-0000-00002A030000}"/>
    <cellStyle name="Comma 2 2 2 2 2 4 2" xfId="811" xr:uid="{00000000-0005-0000-0000-00002B030000}"/>
    <cellStyle name="Comma 2 2 2 2 2 4 3" xfId="3141" xr:uid="{4F772C78-0193-4794-A6C1-9140E6F07744}"/>
    <cellStyle name="Comma 2 2 2 2 2 5" xfId="3134" xr:uid="{D045516E-D90D-4636-82E9-31B4324BD291}"/>
    <cellStyle name="Comma 2 2 2 2 3" xfId="812" xr:uid="{00000000-0005-0000-0000-00002C030000}"/>
    <cellStyle name="Comma 2 2 2 2 3 2" xfId="3142" xr:uid="{DB7183B0-00F9-46A0-87D6-5981E63CDAAE}"/>
    <cellStyle name="Comma 2 2 2 2 4" xfId="813" xr:uid="{00000000-0005-0000-0000-00002D030000}"/>
    <cellStyle name="Comma 2 2 2 2 4 2" xfId="3143" xr:uid="{DC3FB78C-82EE-4076-8D7F-B96C9992FC02}"/>
    <cellStyle name="Comma 2 2 2 2 5" xfId="814" xr:uid="{00000000-0005-0000-0000-00002E030000}"/>
    <cellStyle name="Comma 2 2 2 2 6" xfId="3133" xr:uid="{A987E616-D874-45EB-9E57-15537DE76FB4}"/>
    <cellStyle name="Comma 2 2 2 3" xfId="815" xr:uid="{00000000-0005-0000-0000-00002F030000}"/>
    <cellStyle name="Comma 2 2 2 3 2" xfId="816" xr:uid="{00000000-0005-0000-0000-000030030000}"/>
    <cellStyle name="Comma 2 2 2 3 3" xfId="3144" xr:uid="{2A73103A-5375-42EA-B347-12B729DEDE7C}"/>
    <cellStyle name="Comma 2 2 2 4" xfId="817" xr:uid="{00000000-0005-0000-0000-000031030000}"/>
    <cellStyle name="Comma 2 2 2 4 2" xfId="818" xr:uid="{00000000-0005-0000-0000-000032030000}"/>
    <cellStyle name="Comma 2 2 2 4 3" xfId="3145" xr:uid="{561A667E-D255-48E4-A673-2A92D113660E}"/>
    <cellStyle name="Comma 2 2 2 5" xfId="819" xr:uid="{00000000-0005-0000-0000-000033030000}"/>
    <cellStyle name="Comma 2 2 2 5 2" xfId="820" xr:uid="{00000000-0005-0000-0000-000034030000}"/>
    <cellStyle name="Comma 2 2 2 5 3" xfId="3146" xr:uid="{477F3640-EE6D-4B9B-9C07-FB8F7A5CBFA3}"/>
    <cellStyle name="Comma 2 2 2 6" xfId="3132" xr:uid="{A7161F40-E7AC-44A2-93DB-E9FD522102A0}"/>
    <cellStyle name="Comma 2 2 3" xfId="821" xr:uid="{00000000-0005-0000-0000-000035030000}"/>
    <cellStyle name="Comma 2 2 3 2" xfId="822" xr:uid="{00000000-0005-0000-0000-000036030000}"/>
    <cellStyle name="Comma 2 2 3 3" xfId="3147" xr:uid="{5CE51B08-566A-4AFF-8847-CCAA12B85DA9}"/>
    <cellStyle name="Comma 2 2 4" xfId="823" xr:uid="{00000000-0005-0000-0000-000037030000}"/>
    <cellStyle name="Comma 2 2 4 2" xfId="3148" xr:uid="{3390CEC6-B93B-4313-B969-BAAF09094EAA}"/>
    <cellStyle name="Comma 2 2 5" xfId="824" xr:uid="{00000000-0005-0000-0000-000038030000}"/>
    <cellStyle name="Comma 2 2 5 2" xfId="3149" xr:uid="{FE47AE50-5580-44CB-93DE-EDAA51D0B3CE}"/>
    <cellStyle name="Comma 2 2 6" xfId="825" xr:uid="{00000000-0005-0000-0000-000039030000}"/>
    <cellStyle name="Comma 2 2 6 2" xfId="3150" xr:uid="{432D401D-17DD-4D61-8791-5E0972D39BA9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151" xr:uid="{4EB09B7D-3FFA-4581-B2A0-8855AE2B5AD8}"/>
    <cellStyle name="Comma 2 21" xfId="829" xr:uid="{00000000-0005-0000-0000-00003D030000}"/>
    <cellStyle name="Comma 2 21 2" xfId="830" xr:uid="{00000000-0005-0000-0000-00003E030000}"/>
    <cellStyle name="Comma 2 21 3" xfId="3152" xr:uid="{FC3791DA-DB81-4636-ABA5-583F73B10630}"/>
    <cellStyle name="Comma 2 22" xfId="831" xr:uid="{00000000-0005-0000-0000-00003F030000}"/>
    <cellStyle name="Comma 2 22 2" xfId="832" xr:uid="{00000000-0005-0000-0000-000040030000}"/>
    <cellStyle name="Comma 2 22 3" xfId="3153" xr:uid="{053ED47E-81F6-4540-80C7-E9974B6AF015}"/>
    <cellStyle name="Comma 2 23" xfId="833" xr:uid="{00000000-0005-0000-0000-000041030000}"/>
    <cellStyle name="Comma 2 23 2" xfId="834" xr:uid="{00000000-0005-0000-0000-000042030000}"/>
    <cellStyle name="Comma 2 23 3" xfId="3154" xr:uid="{E0B45764-0C66-4B85-8ACE-139F9B30EA94}"/>
    <cellStyle name="Comma 2 24" xfId="835" xr:uid="{00000000-0005-0000-0000-000043030000}"/>
    <cellStyle name="Comma 2 24 2" xfId="836" xr:uid="{00000000-0005-0000-0000-000044030000}"/>
    <cellStyle name="Comma 2 24 3" xfId="3155" xr:uid="{AF8E173D-060D-4680-BB0C-94165B9B87C1}"/>
    <cellStyle name="Comma 2 25" xfId="837" xr:uid="{00000000-0005-0000-0000-000045030000}"/>
    <cellStyle name="Comma 2 25 2" xfId="838" xr:uid="{00000000-0005-0000-0000-000046030000}"/>
    <cellStyle name="Comma 2 25 3" xfId="3156" xr:uid="{5BBD8BC8-19D9-4A03-AC02-1EBF8D098C19}"/>
    <cellStyle name="Comma 2 26" xfId="839" xr:uid="{00000000-0005-0000-0000-000047030000}"/>
    <cellStyle name="Comma 2 26 2" xfId="840" xr:uid="{00000000-0005-0000-0000-000048030000}"/>
    <cellStyle name="Comma 2 26 3" xfId="3157" xr:uid="{557A6F30-B59B-401F-A1DA-94C6226E2223}"/>
    <cellStyle name="Comma 2 27" xfId="841" xr:uid="{00000000-0005-0000-0000-000049030000}"/>
    <cellStyle name="Comma 2 27 2" xfId="842" xr:uid="{00000000-0005-0000-0000-00004A030000}"/>
    <cellStyle name="Comma 2 27 3" xfId="3158" xr:uid="{240E0871-5B27-40A0-B5DE-32E3EF9F5958}"/>
    <cellStyle name="Comma 2 28" xfId="843" xr:uid="{00000000-0005-0000-0000-00004B030000}"/>
    <cellStyle name="Comma 2 28 2" xfId="844" xr:uid="{00000000-0005-0000-0000-00004C030000}"/>
    <cellStyle name="Comma 2 28 3" xfId="3159" xr:uid="{0DFF01CE-C1CC-44D9-9DC6-FB6FE509F4DE}"/>
    <cellStyle name="Comma 2 29" xfId="845" xr:uid="{00000000-0005-0000-0000-00004D030000}"/>
    <cellStyle name="Comma 2 29 2" xfId="846" xr:uid="{00000000-0005-0000-0000-00004E030000}"/>
    <cellStyle name="Comma 2 29 3" xfId="3160" xr:uid="{16D8D6E9-848D-4F6B-9B16-4B1EED751483}"/>
    <cellStyle name="Comma 2 3" xfId="847" xr:uid="{00000000-0005-0000-0000-00004F030000}"/>
    <cellStyle name="Comma 2 3 2" xfId="848" xr:uid="{00000000-0005-0000-0000-000050030000}"/>
    <cellStyle name="Comma 2 3 3" xfId="3161" xr:uid="{D3BF63A3-F066-4337-9BD8-C4AD6CEB6A33}"/>
    <cellStyle name="Comma 2 30" xfId="849" xr:uid="{00000000-0005-0000-0000-000051030000}"/>
    <cellStyle name="Comma 2 30 2" xfId="850" xr:uid="{00000000-0005-0000-0000-000052030000}"/>
    <cellStyle name="Comma 2 30 3" xfId="3162" xr:uid="{366BAA18-BABC-466A-991D-CAE086D52A22}"/>
    <cellStyle name="Comma 2 31" xfId="851" xr:uid="{00000000-0005-0000-0000-000053030000}"/>
    <cellStyle name="Comma 2 31 2" xfId="852" xr:uid="{00000000-0005-0000-0000-000054030000}"/>
    <cellStyle name="Comma 2 31 3" xfId="3163" xr:uid="{78534987-5DF8-4B76-BE87-C281EB181B21}"/>
    <cellStyle name="Comma 2 32" xfId="853" xr:uid="{00000000-0005-0000-0000-000055030000}"/>
    <cellStyle name="Comma 2 32 2" xfId="854" xr:uid="{00000000-0005-0000-0000-000056030000}"/>
    <cellStyle name="Comma 2 32 3" xfId="3164" xr:uid="{AE656C50-3E59-4C6B-9038-2D989DCAB76A}"/>
    <cellStyle name="Comma 2 33" xfId="855" xr:uid="{00000000-0005-0000-0000-000057030000}"/>
    <cellStyle name="Comma 2 33 2" xfId="856" xr:uid="{00000000-0005-0000-0000-000058030000}"/>
    <cellStyle name="Comma 2 33 3" xfId="3165" xr:uid="{7E1A705C-2267-42A3-9DE9-3DC32DBFB6E6}"/>
    <cellStyle name="Comma 2 34" xfId="857" xr:uid="{00000000-0005-0000-0000-000059030000}"/>
    <cellStyle name="Comma 2 34 2" xfId="858" xr:uid="{00000000-0005-0000-0000-00005A030000}"/>
    <cellStyle name="Comma 2 34 3" xfId="3166" xr:uid="{BCB4E74C-B514-4A88-9C99-66EA5E304CAA}"/>
    <cellStyle name="Comma 2 35" xfId="859" xr:uid="{00000000-0005-0000-0000-00005B030000}"/>
    <cellStyle name="Comma 2 35 2" xfId="860" xr:uid="{00000000-0005-0000-0000-00005C030000}"/>
    <cellStyle name="Comma 2 35 3" xfId="3167" xr:uid="{0A0690DC-29B9-4967-94C3-8EA439236C20}"/>
    <cellStyle name="Comma 2 36" xfId="861" xr:uid="{00000000-0005-0000-0000-00005D030000}"/>
    <cellStyle name="Comma 2 36 2" xfId="862" xr:uid="{00000000-0005-0000-0000-00005E030000}"/>
    <cellStyle name="Comma 2 36 3" xfId="3168" xr:uid="{50B4C28D-EBA7-4ED9-85B0-03E5F0B2DDA3}"/>
    <cellStyle name="Comma 2 37" xfId="863" xr:uid="{00000000-0005-0000-0000-00005F030000}"/>
    <cellStyle name="Comma 2 37 2" xfId="864" xr:uid="{00000000-0005-0000-0000-000060030000}"/>
    <cellStyle name="Comma 2 37 3" xfId="3169" xr:uid="{19696295-ED56-4ED1-ADE7-0E9875749918}"/>
    <cellStyle name="Comma 2 38" xfId="865" xr:uid="{00000000-0005-0000-0000-000061030000}"/>
    <cellStyle name="Comma 2 38 2" xfId="866" xr:uid="{00000000-0005-0000-0000-000062030000}"/>
    <cellStyle name="Comma 2 38 3" xfId="3170" xr:uid="{94B9FF16-9152-4B77-80BD-0F5DC64FAD8E}"/>
    <cellStyle name="Comma 2 39" xfId="867" xr:uid="{00000000-0005-0000-0000-000063030000}"/>
    <cellStyle name="Comma 2 39 2" xfId="868" xr:uid="{00000000-0005-0000-0000-000064030000}"/>
    <cellStyle name="Comma 2 39 3" xfId="3171" xr:uid="{9C80A52A-09CA-49E6-BBD1-54C650AAB929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172" xr:uid="{2462A8BE-DF76-4536-839A-4CEA5579CB7B}"/>
    <cellStyle name="Comma 2 41" xfId="875" xr:uid="{00000000-0005-0000-0000-00006B030000}"/>
    <cellStyle name="Comma 2 41 2" xfId="876" xr:uid="{00000000-0005-0000-0000-00006C030000}"/>
    <cellStyle name="Comma 2 41 3" xfId="3173" xr:uid="{5E51005F-72D7-4C60-8BDC-80347CDAE4F8}"/>
    <cellStyle name="Comma 2 42" xfId="877" xr:uid="{00000000-0005-0000-0000-00006D030000}"/>
    <cellStyle name="Comma 2 42 2" xfId="878" xr:uid="{00000000-0005-0000-0000-00006E030000}"/>
    <cellStyle name="Comma 2 42 3" xfId="3174" xr:uid="{C1977FD8-C415-403B-9907-7151CC32DE82}"/>
    <cellStyle name="Comma 2 43" xfId="879" xr:uid="{00000000-0005-0000-0000-00006F030000}"/>
    <cellStyle name="Comma 2 43 2" xfId="880" xr:uid="{00000000-0005-0000-0000-000070030000}"/>
    <cellStyle name="Comma 2 43 3" xfId="3175" xr:uid="{0C0A0050-070B-4E47-BE8D-051D2D240E2A}"/>
    <cellStyle name="Comma 2 44" xfId="881" xr:uid="{00000000-0005-0000-0000-000071030000}"/>
    <cellStyle name="Comma 2 44 2" xfId="882" xr:uid="{00000000-0005-0000-0000-000072030000}"/>
    <cellStyle name="Comma 2 44 3" xfId="3176" xr:uid="{738D23FD-CB7B-419E-8E08-E286DD09D166}"/>
    <cellStyle name="Comma 2 45" xfId="883" xr:uid="{00000000-0005-0000-0000-000073030000}"/>
    <cellStyle name="Comma 2 45 2" xfId="884" xr:uid="{00000000-0005-0000-0000-000074030000}"/>
    <cellStyle name="Comma 2 45 3" xfId="3177" xr:uid="{028C7B04-D9E9-485C-B5E3-EAC80B94D95D}"/>
    <cellStyle name="Comma 2 46" xfId="885" xr:uid="{00000000-0005-0000-0000-000075030000}"/>
    <cellStyle name="Comma 2 46 2" xfId="886" xr:uid="{00000000-0005-0000-0000-000076030000}"/>
    <cellStyle name="Comma 2 46 3" xfId="3178" xr:uid="{698BE668-E5E6-46F6-8607-B7DD0837EC00}"/>
    <cellStyle name="Comma 2 47" xfId="887" xr:uid="{00000000-0005-0000-0000-000077030000}"/>
    <cellStyle name="Comma 2 47 2" xfId="888" xr:uid="{00000000-0005-0000-0000-000078030000}"/>
    <cellStyle name="Comma 2 47 3" xfId="3179" xr:uid="{976555E4-1622-4C83-857F-A6856DB56CF9}"/>
    <cellStyle name="Comma 2 48" xfId="889" xr:uid="{00000000-0005-0000-0000-000079030000}"/>
    <cellStyle name="Comma 2 48 2" xfId="890" xr:uid="{00000000-0005-0000-0000-00007A030000}"/>
    <cellStyle name="Comma 2 48 3" xfId="3180" xr:uid="{29856D41-5DE8-4B08-B5C1-DB230405D166}"/>
    <cellStyle name="Comma 2 49" xfId="891" xr:uid="{00000000-0005-0000-0000-00007B030000}"/>
    <cellStyle name="Comma 2 49 2" xfId="892" xr:uid="{00000000-0005-0000-0000-00007C030000}"/>
    <cellStyle name="Comma 2 49 3" xfId="3181" xr:uid="{C099AF59-FB1F-4B47-A004-6B29ED825178}"/>
    <cellStyle name="Comma 2 5" xfId="893" xr:uid="{00000000-0005-0000-0000-00007D030000}"/>
    <cellStyle name="Comma 2 5 2" xfId="894" xr:uid="{00000000-0005-0000-0000-00007E030000}"/>
    <cellStyle name="Comma 2 5 3" xfId="3182" xr:uid="{529E6DD0-285C-4F6F-811D-EB29E06EBB38}"/>
    <cellStyle name="Comma 2 50" xfId="895" xr:uid="{00000000-0005-0000-0000-00007F030000}"/>
    <cellStyle name="Comma 2 50 2" xfId="896" xr:uid="{00000000-0005-0000-0000-000080030000}"/>
    <cellStyle name="Comma 2 50 3" xfId="3183" xr:uid="{A621DD28-7EF1-494D-9CC5-EF29AD1346A3}"/>
    <cellStyle name="Comma 2 51" xfId="897" xr:uid="{00000000-0005-0000-0000-000081030000}"/>
    <cellStyle name="Comma 2 51 2" xfId="898" xr:uid="{00000000-0005-0000-0000-000082030000}"/>
    <cellStyle name="Comma 2 51 3" xfId="3184" xr:uid="{6AB8ECB6-3C9D-4CDB-87C3-C669FBFB67F8}"/>
    <cellStyle name="Comma 2 52" xfId="899" xr:uid="{00000000-0005-0000-0000-000083030000}"/>
    <cellStyle name="Comma 2 52 2" xfId="900" xr:uid="{00000000-0005-0000-0000-000084030000}"/>
    <cellStyle name="Comma 2 52 3" xfId="3185" xr:uid="{28FEC8A2-D363-4CE1-B4FC-F319603419D9}"/>
    <cellStyle name="Comma 2 53" xfId="901" xr:uid="{00000000-0005-0000-0000-000085030000}"/>
    <cellStyle name="Comma 2 53 2" xfId="902" xr:uid="{00000000-0005-0000-0000-000086030000}"/>
    <cellStyle name="Comma 2 53 3" xfId="3186" xr:uid="{B7CEBDB2-0E6F-4D41-A35F-958147A87B75}"/>
    <cellStyle name="Comma 2 54" xfId="903" xr:uid="{00000000-0005-0000-0000-000087030000}"/>
    <cellStyle name="Comma 2 54 2" xfId="904" xr:uid="{00000000-0005-0000-0000-000088030000}"/>
    <cellStyle name="Comma 2 54 3" xfId="3187" xr:uid="{75240201-C12C-44BD-8770-EE0E0C36FBF0}"/>
    <cellStyle name="Comma 2 55" xfId="905" xr:uid="{00000000-0005-0000-0000-000089030000}"/>
    <cellStyle name="Comma 2 55 2" xfId="906" xr:uid="{00000000-0005-0000-0000-00008A030000}"/>
    <cellStyle name="Comma 2 55 3" xfId="3188" xr:uid="{F25EFBE5-1C26-4D17-B512-D2BE374727B0}"/>
    <cellStyle name="Comma 2 56" xfId="907" xr:uid="{00000000-0005-0000-0000-00008B030000}"/>
    <cellStyle name="Comma 2 56 2" xfId="908" xr:uid="{00000000-0005-0000-0000-00008C030000}"/>
    <cellStyle name="Comma 2 56 3" xfId="3189" xr:uid="{AC736044-3C1F-417D-BB7E-85C0D1660DB2}"/>
    <cellStyle name="Comma 2 57" xfId="909" xr:uid="{00000000-0005-0000-0000-00008D030000}"/>
    <cellStyle name="Comma 2 57 2" xfId="910" xr:uid="{00000000-0005-0000-0000-00008E030000}"/>
    <cellStyle name="Comma 2 57 3" xfId="3190" xr:uid="{2C175B7E-4F67-47F9-97D9-CBA239D92F54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92" xr:uid="{BA0C6ADD-9A66-47ED-B921-327EF9720B94}"/>
    <cellStyle name="Comma 2 58 3" xfId="914" xr:uid="{00000000-0005-0000-0000-000092030000}"/>
    <cellStyle name="Comma 2 58 3 2" xfId="915" xr:uid="{00000000-0005-0000-0000-000093030000}"/>
    <cellStyle name="Comma 2 58 3 3" xfId="3193" xr:uid="{CBBF4BB7-A02A-4244-9F1F-B26BED371097}"/>
    <cellStyle name="Comma 2 58 4" xfId="916" xr:uid="{00000000-0005-0000-0000-000094030000}"/>
    <cellStyle name="Comma 2 58 4 2" xfId="917" xr:uid="{00000000-0005-0000-0000-000095030000}"/>
    <cellStyle name="Comma 2 58 4 3" xfId="3194" xr:uid="{6BC35AE2-7AB1-43EE-AB5C-1ABAC94FFFC7}"/>
    <cellStyle name="Comma 2 58 5" xfId="918" xr:uid="{00000000-0005-0000-0000-000096030000}"/>
    <cellStyle name="Comma 2 58 6" xfId="3191" xr:uid="{5C9F1326-ED22-4912-A476-8254A367787B}"/>
    <cellStyle name="Comma 2 59" xfId="919" xr:uid="{00000000-0005-0000-0000-000097030000}"/>
    <cellStyle name="Comma 2 59 2" xfId="920" xr:uid="{00000000-0005-0000-0000-000098030000}"/>
    <cellStyle name="Comma 2 59 3" xfId="3195" xr:uid="{27FA31FB-5FCB-46DE-B206-05449E8D0265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96" xr:uid="{FDF64AED-2875-4A0F-B2EF-7114A9C13FA8}"/>
    <cellStyle name="Comma 2 61" xfId="2696" xr:uid="{EFF0960C-A0DF-434F-8745-95AEF4933801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97" xr:uid="{45D446F6-8CB5-4F28-979E-22BCEBF02B9B}"/>
    <cellStyle name="Comma 2 9" xfId="948" xr:uid="{00000000-0005-0000-0000-0000B4030000}"/>
    <cellStyle name="Comma 2 9 2" xfId="949" xr:uid="{00000000-0005-0000-0000-0000B5030000}"/>
    <cellStyle name="Comma 2 9 3" xfId="3198" xr:uid="{9FC57357-D07D-4673-99D4-FD076BBC46DE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200" xr:uid="{31F3EE10-7961-4E72-9290-BCB8571C3E99}"/>
    <cellStyle name="Comma 20 3" xfId="953" xr:uid="{00000000-0005-0000-0000-0000B9030000}"/>
    <cellStyle name="Comma 20 4" xfId="3199" xr:uid="{E234A9CC-BBF0-4D56-8104-0A56C879B05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202" xr:uid="{D2F5A73C-5728-423B-8875-CFC67DAEA38D}"/>
    <cellStyle name="Comma 21 3" xfId="957" xr:uid="{00000000-0005-0000-0000-0000BD030000}"/>
    <cellStyle name="Comma 21 4" xfId="3201" xr:uid="{C0D4A550-A8AE-462C-8208-2BC8C745E3B5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204" xr:uid="{12C4DFDE-D08C-469C-B795-FDE2338DB470}"/>
    <cellStyle name="Comma 22 3" xfId="961" xr:uid="{00000000-0005-0000-0000-0000C1030000}"/>
    <cellStyle name="Comma 22 4" xfId="3203" xr:uid="{3545E327-BF5D-40D6-B0DA-C5887BB4F969}"/>
    <cellStyle name="Comma 23" xfId="962" xr:uid="{00000000-0005-0000-0000-0000C2030000}"/>
    <cellStyle name="Comma 23 2" xfId="963" xr:uid="{00000000-0005-0000-0000-0000C3030000}"/>
    <cellStyle name="Comma 23 3" xfId="3205" xr:uid="{A3BCF734-E5D3-4445-A580-8B6040883145}"/>
    <cellStyle name="Comma 24" xfId="964" xr:uid="{00000000-0005-0000-0000-0000C4030000}"/>
    <cellStyle name="Comma 24 2" xfId="965" xr:uid="{00000000-0005-0000-0000-0000C5030000}"/>
    <cellStyle name="Comma 24 3" xfId="3206" xr:uid="{06E6C543-7D73-47D3-B444-68DC86049D3D}"/>
    <cellStyle name="Comma 25" xfId="966" xr:uid="{00000000-0005-0000-0000-0000C6030000}"/>
    <cellStyle name="Comma 25 2" xfId="967" xr:uid="{00000000-0005-0000-0000-0000C7030000}"/>
    <cellStyle name="Comma 25 3" xfId="3207" xr:uid="{579E13A6-94C5-4A1D-81ED-348FB1B4824F}"/>
    <cellStyle name="Comma 26" xfId="968" xr:uid="{00000000-0005-0000-0000-0000C8030000}"/>
    <cellStyle name="Comma 26 2" xfId="969" xr:uid="{00000000-0005-0000-0000-0000C9030000}"/>
    <cellStyle name="Comma 26 3" xfId="3208" xr:uid="{BF8D390D-575C-4E3F-A06A-48612A09CF93}"/>
    <cellStyle name="Comma 27" xfId="970" xr:uid="{00000000-0005-0000-0000-0000CA030000}"/>
    <cellStyle name="Comma 27 2" xfId="3209" xr:uid="{549BEB6D-D690-45E2-8332-EACBFDDA85FC}"/>
    <cellStyle name="Comma 28" xfId="971" xr:uid="{00000000-0005-0000-0000-0000CB030000}"/>
    <cellStyle name="Comma 28 2" xfId="972" xr:uid="{00000000-0005-0000-0000-0000CC030000}"/>
    <cellStyle name="Comma 28 3" xfId="3210" xr:uid="{C9E14DAC-6EFD-4D3D-B9D5-C4EE0D4E7A23}"/>
    <cellStyle name="Comma 29" xfId="973" xr:uid="{00000000-0005-0000-0000-0000CD030000}"/>
    <cellStyle name="Comma 29 2" xfId="974" xr:uid="{00000000-0005-0000-0000-0000CE030000}"/>
    <cellStyle name="Comma 29 3" xfId="3211" xr:uid="{303C71A6-AE9E-493F-8C51-CD29C492D972}"/>
    <cellStyle name="Comma 3" xfId="975" xr:uid="{00000000-0005-0000-0000-0000CF030000}"/>
    <cellStyle name="Comma 3 10" xfId="976" xr:uid="{00000000-0005-0000-0000-0000D0030000}"/>
    <cellStyle name="Comma 3 11" xfId="3212" xr:uid="{B043A8C2-8E72-4442-AC2D-B8F3C59EEB2E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16" xr:uid="{E88C1B5B-F082-4499-B69F-7988E3711A7C}"/>
    <cellStyle name="Comma 3 2 2 2 3" xfId="981" xr:uid="{00000000-0005-0000-0000-0000D5030000}"/>
    <cellStyle name="Comma 3 2 2 2 3 2" xfId="3217" xr:uid="{FA718362-E658-46A9-B589-79200F807A75}"/>
    <cellStyle name="Comma 3 2 2 2 4" xfId="982" xr:uid="{00000000-0005-0000-0000-0000D6030000}"/>
    <cellStyle name="Comma 3 2 2 2 4 2" xfId="3218" xr:uid="{8D6AC2BB-BFCF-463E-8A1D-1AA6346E7B8F}"/>
    <cellStyle name="Comma 3 2 2 2 5" xfId="3215" xr:uid="{AE80BDE1-78B2-4983-BAB0-17DC02C4C100}"/>
    <cellStyle name="Comma 3 2 2 3" xfId="983" xr:uid="{00000000-0005-0000-0000-0000D7030000}"/>
    <cellStyle name="Comma 3 2 2 3 2" xfId="3219" xr:uid="{9B240FB4-2F30-4923-91A1-CE694A385232}"/>
    <cellStyle name="Comma 3 2 2 4" xfId="984" xr:uid="{00000000-0005-0000-0000-0000D8030000}"/>
    <cellStyle name="Comma 3 2 2 4 2" xfId="3220" xr:uid="{016E2370-BA1C-4F04-943C-E14B0EC21456}"/>
    <cellStyle name="Comma 3 2 2 5" xfId="985" xr:uid="{00000000-0005-0000-0000-0000D9030000}"/>
    <cellStyle name="Comma 3 2 2 5 2" xfId="3221" xr:uid="{53513917-18D1-4AC8-A5FC-593F3780A683}"/>
    <cellStyle name="Comma 3 2 2 6" xfId="3214" xr:uid="{9E23A7D3-3A15-4BD4-B63D-8373107106B6}"/>
    <cellStyle name="Comma 3 2 3" xfId="986" xr:uid="{00000000-0005-0000-0000-0000DA030000}"/>
    <cellStyle name="Comma 3 2 3 2" xfId="3222" xr:uid="{55DF7E84-2E4B-4302-AD7C-7FAF9F576679}"/>
    <cellStyle name="Comma 3 2 4" xfId="987" xr:uid="{00000000-0005-0000-0000-0000DB030000}"/>
    <cellStyle name="Comma 3 2 4 2" xfId="3223" xr:uid="{8A249841-BCDF-4316-B142-C614A8C23829}"/>
    <cellStyle name="Comma 3 2 5" xfId="988" xr:uid="{00000000-0005-0000-0000-0000DC030000}"/>
    <cellStyle name="Comma 3 2 5 2" xfId="3224" xr:uid="{AA12451E-043A-4CD5-AB3C-5D7FFB130837}"/>
    <cellStyle name="Comma 3 2 6" xfId="989" xr:uid="{00000000-0005-0000-0000-0000DD030000}"/>
    <cellStyle name="Comma 3 2 7" xfId="3213" xr:uid="{4BA18695-7BAB-41D6-B902-81B80FAE16A9}"/>
    <cellStyle name="Comma 3 3" xfId="990" xr:uid="{00000000-0005-0000-0000-0000DE030000}"/>
    <cellStyle name="Comma 3 3 2" xfId="991" xr:uid="{00000000-0005-0000-0000-0000DF030000}"/>
    <cellStyle name="Comma 3 3 2 2" xfId="3226" xr:uid="{BA1D3C92-2F49-4CEA-85E0-C699BE372E41}"/>
    <cellStyle name="Comma 3 3 3" xfId="992" xr:uid="{00000000-0005-0000-0000-0000E0030000}"/>
    <cellStyle name="Comma 3 3 3 2" xfId="3227" xr:uid="{54157FCE-CFF3-4532-9626-178A8CE73A87}"/>
    <cellStyle name="Comma 3 3 4" xfId="993" xr:uid="{00000000-0005-0000-0000-0000E1030000}"/>
    <cellStyle name="Comma 3 3 4 2" xfId="3228" xr:uid="{62ABCDCF-43A0-43DE-B457-7F6550D8CC8B}"/>
    <cellStyle name="Comma 3 3 5" xfId="3225" xr:uid="{ED85E3FC-1A60-49E2-89B4-16ACD4676509}"/>
    <cellStyle name="Comma 3 4" xfId="994" xr:uid="{00000000-0005-0000-0000-0000E2030000}"/>
    <cellStyle name="Comma 3 4 2" xfId="995" xr:uid="{00000000-0005-0000-0000-0000E3030000}"/>
    <cellStyle name="Comma 3 4 2 2" xfId="3230" xr:uid="{E9ECF27C-64C3-47FE-BC38-952895E04454}"/>
    <cellStyle name="Comma 3 4 3" xfId="996" xr:uid="{00000000-0005-0000-0000-0000E4030000}"/>
    <cellStyle name="Comma 3 4 3 2" xfId="3231" xr:uid="{FFD00AB6-688A-4C49-A80B-3EA8934B6925}"/>
    <cellStyle name="Comma 3 4 4" xfId="997" xr:uid="{00000000-0005-0000-0000-0000E5030000}"/>
    <cellStyle name="Comma 3 4 4 2" xfId="3232" xr:uid="{8E798DB5-1751-42B4-BFEE-74B3E0B30436}"/>
    <cellStyle name="Comma 3 4 5" xfId="3229" xr:uid="{A318CEF0-BEA4-4512-9B50-E4C35C522939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238" xr:uid="{2176E4F7-AA16-4275-B7A3-F5BA94BB0886}"/>
    <cellStyle name="Comma 3 5 2 2 2 2 3" xfId="1004" xr:uid="{00000000-0005-0000-0000-0000EC030000}"/>
    <cellStyle name="Comma 3 5 2 2 2 2 3 2" xfId="3239" xr:uid="{59BE9288-15E1-43DF-860A-462930A1D832}"/>
    <cellStyle name="Comma 3 5 2 2 2 2 4" xfId="1005" xr:uid="{00000000-0005-0000-0000-0000ED030000}"/>
    <cellStyle name="Comma 3 5 2 2 2 2 4 2" xfId="3240" xr:uid="{AFDAFAF4-F6ED-4B79-8F4F-3728A954F00A}"/>
    <cellStyle name="Comma 3 5 2 2 2 2 5" xfId="1006" xr:uid="{00000000-0005-0000-0000-0000EE030000}"/>
    <cellStyle name="Comma 3 5 2 2 2 2 5 2" xfId="3241" xr:uid="{1581945E-50C5-4DD3-B396-BCDE12FE5051}"/>
    <cellStyle name="Comma 3 5 2 2 2 2 6" xfId="3237" xr:uid="{1079A7EE-2817-4C56-9562-B41EA5C037D5}"/>
    <cellStyle name="Comma 3 5 2 2 2 3" xfId="1007" xr:uid="{00000000-0005-0000-0000-0000EF030000}"/>
    <cellStyle name="Comma 3 5 2 2 2 3 2" xfId="3242" xr:uid="{0408821F-96A3-46C0-83B8-352C4C2FFA86}"/>
    <cellStyle name="Comma 3 5 2 2 2 4" xfId="1008" xr:uid="{00000000-0005-0000-0000-0000F0030000}"/>
    <cellStyle name="Comma 3 5 2 2 2 4 2" xfId="3243" xr:uid="{76007336-417C-47E3-9B3A-A98F5375EFAE}"/>
    <cellStyle name="Comma 3 5 2 2 2 5" xfId="1009" xr:uid="{00000000-0005-0000-0000-0000F1030000}"/>
    <cellStyle name="Comma 3 5 2 2 2 5 2" xfId="3244" xr:uid="{72914985-58BF-4BB5-B19E-69EE881737C0}"/>
    <cellStyle name="Comma 3 5 2 2 2 6" xfId="3236" xr:uid="{C59C9A7D-DF4D-4B94-BDBD-0FBC8E71C94A}"/>
    <cellStyle name="Comma 3 5 2 2 3" xfId="1010" xr:uid="{00000000-0005-0000-0000-0000F2030000}"/>
    <cellStyle name="Comma 3 5 2 2 3 2" xfId="3245" xr:uid="{9CD7EFEE-D971-4BB0-A706-7E61ACAD60F7}"/>
    <cellStyle name="Comma 3 5 2 2 4" xfId="1011" xr:uid="{00000000-0005-0000-0000-0000F3030000}"/>
    <cellStyle name="Comma 3 5 2 2 4 2" xfId="3246" xr:uid="{3CC3FE03-F02E-4F44-B723-A67B7B9B44C7}"/>
    <cellStyle name="Comma 3 5 2 2 5" xfId="1012" xr:uid="{00000000-0005-0000-0000-0000F4030000}"/>
    <cellStyle name="Comma 3 5 2 2 5 2" xfId="3247" xr:uid="{328BE23E-AA62-4867-9135-9A02B4C408B6}"/>
    <cellStyle name="Comma 3 5 2 2 6" xfId="3235" xr:uid="{2EC84500-9B95-4190-A1C2-70BB4428DEFF}"/>
    <cellStyle name="Comma 3 5 2 3" xfId="1013" xr:uid="{00000000-0005-0000-0000-0000F5030000}"/>
    <cellStyle name="Comma 3 5 2 3 2" xfId="3248" xr:uid="{25773A25-050B-405B-BF06-DFFA1F8F0A46}"/>
    <cellStyle name="Comma 3 5 2 4" xfId="1014" xr:uid="{00000000-0005-0000-0000-0000F6030000}"/>
    <cellStyle name="Comma 3 5 2 4 2" xfId="3249" xr:uid="{96A41D9A-4A21-4B21-B459-1FEAF8EFC4D1}"/>
    <cellStyle name="Comma 3 5 2 5" xfId="1015" xr:uid="{00000000-0005-0000-0000-0000F7030000}"/>
    <cellStyle name="Comma 3 5 2 5 2" xfId="3250" xr:uid="{3B5212C0-DDAC-4AB9-A5A4-28407537A24E}"/>
    <cellStyle name="Comma 3 5 2 6" xfId="3234" xr:uid="{D7A01757-5CC7-4C98-B77A-9377C83DF619}"/>
    <cellStyle name="Comma 3 5 3" xfId="1016" xr:uid="{00000000-0005-0000-0000-0000F8030000}"/>
    <cellStyle name="Comma 3 5 3 2" xfId="1017" xr:uid="{00000000-0005-0000-0000-0000F9030000}"/>
    <cellStyle name="Comma 3 5 3 2 2" xfId="3252" xr:uid="{02DEE6EA-FCAB-41F3-8070-AE474AB202CC}"/>
    <cellStyle name="Comma 3 5 3 3" xfId="1018" xr:uid="{00000000-0005-0000-0000-0000FA030000}"/>
    <cellStyle name="Comma 3 5 3 3 2" xfId="3253" xr:uid="{66086502-744C-4D1B-AE2C-9BD86D27D1DA}"/>
    <cellStyle name="Comma 3 5 3 4" xfId="1019" xr:uid="{00000000-0005-0000-0000-0000FB030000}"/>
    <cellStyle name="Comma 3 5 3 4 2" xfId="3254" xr:uid="{68C5147E-F5A1-4AD6-88A7-A40BF606E875}"/>
    <cellStyle name="Comma 3 5 3 5" xfId="3251" xr:uid="{552278E2-3948-4532-A543-3E267D3DA1B4}"/>
    <cellStyle name="Comma 3 5 4" xfId="1020" xr:uid="{00000000-0005-0000-0000-0000FC030000}"/>
    <cellStyle name="Comma 3 5 4 2" xfId="3255" xr:uid="{9FABC22B-F85B-4041-85F3-55DFB7547D3F}"/>
    <cellStyle name="Comma 3 5 5" xfId="1021" xr:uid="{00000000-0005-0000-0000-0000FD030000}"/>
    <cellStyle name="Comma 3 5 5 2" xfId="3256" xr:uid="{C0F59A78-89F0-4BF1-9CF0-4079F5D32AAC}"/>
    <cellStyle name="Comma 3 5 6" xfId="1022" xr:uid="{00000000-0005-0000-0000-0000FE030000}"/>
    <cellStyle name="Comma 3 5 6 2" xfId="3257" xr:uid="{5DD9129A-2EB5-4914-9518-4265522B137D}"/>
    <cellStyle name="Comma 3 5 7" xfId="3233" xr:uid="{AA4C6C2E-D654-43AA-8ACC-82F726FE6AC8}"/>
    <cellStyle name="Comma 3 6" xfId="1023" xr:uid="{00000000-0005-0000-0000-0000FF030000}"/>
    <cellStyle name="Comma 3 6 2" xfId="3258" xr:uid="{CD4758F1-74CC-4925-92E3-13915895E161}"/>
    <cellStyle name="Comma 3 7" xfId="1024" xr:uid="{00000000-0005-0000-0000-000000040000}"/>
    <cellStyle name="Comma 3 7 2" xfId="3259" xr:uid="{9B1BE43D-0AE0-467E-AD50-5AAA6393CF7A}"/>
    <cellStyle name="Comma 3 8" xfId="1025" xr:uid="{00000000-0005-0000-0000-000001040000}"/>
    <cellStyle name="Comma 3 8 2" xfId="3260" xr:uid="{D05F0637-9E59-45C8-93E8-ADA1AE404C23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261" xr:uid="{740CE7CB-9428-4F85-A034-E0EAF4D56A93}"/>
    <cellStyle name="Comma 31" xfId="1030" xr:uid="{00000000-0005-0000-0000-000006040000}"/>
    <cellStyle name="Comma 31 2" xfId="1031" xr:uid="{00000000-0005-0000-0000-000007040000}"/>
    <cellStyle name="Comma 31 3" xfId="3262" xr:uid="{87DE993A-97F0-4C97-B077-D74467DD6D17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263" xr:uid="{B31B0E61-2A8E-4848-980D-CE3D9305CEC5}"/>
    <cellStyle name="Comma 34" xfId="1038" xr:uid="{00000000-0005-0000-0000-00000E040000}"/>
    <cellStyle name="Comma 34 2" xfId="1039" xr:uid="{00000000-0005-0000-0000-00000F040000}"/>
    <cellStyle name="Comma 34 3" xfId="3264" xr:uid="{9D7208DD-BB8E-4209-AC69-EA5A95313A3B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265" xr:uid="{2A7E39D4-D9D2-4C30-A022-7930D3A7284C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267" xr:uid="{86C35361-12CE-4D86-81B4-1B34AA539CD2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266" xr:uid="{CE23261C-A7B7-4E62-B84A-08376A57576D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268" xr:uid="{A836F51C-B759-4DC2-BB45-051FD09DBCF1}"/>
    <cellStyle name="Comma 45" xfId="1056" xr:uid="{00000000-0005-0000-0000-000020040000}"/>
    <cellStyle name="Comma 45 2" xfId="1057" xr:uid="{00000000-0005-0000-0000-000021040000}"/>
    <cellStyle name="Comma 45 3" xfId="3269" xr:uid="{1D1D90A7-4803-41DB-BDC9-075B0BCC4B7E}"/>
    <cellStyle name="Comma 46" xfId="1058" xr:uid="{00000000-0005-0000-0000-000022040000}"/>
    <cellStyle name="Comma 46 2" xfId="1059" xr:uid="{00000000-0005-0000-0000-000023040000}"/>
    <cellStyle name="Comma 46 3" xfId="3270" xr:uid="{962884A0-8B8F-4CC9-B901-69C62973D9E8}"/>
    <cellStyle name="Comma 47" xfId="1060" xr:uid="{00000000-0005-0000-0000-000024040000}"/>
    <cellStyle name="Comma 47 2" xfId="1061" xr:uid="{00000000-0005-0000-0000-000025040000}"/>
    <cellStyle name="Comma 47 3" xfId="3271" xr:uid="{172D12D5-F052-45F3-B163-B8216788ED6E}"/>
    <cellStyle name="Comma 48" xfId="1062" xr:uid="{00000000-0005-0000-0000-000026040000}"/>
    <cellStyle name="Comma 48 2" xfId="1063" xr:uid="{00000000-0005-0000-0000-000027040000}"/>
    <cellStyle name="Comma 48 3" xfId="3272" xr:uid="{5E95F07F-8432-4FF2-A463-27BCDDFB2C5A}"/>
    <cellStyle name="Comma 49" xfId="1064" xr:uid="{00000000-0005-0000-0000-000028040000}"/>
    <cellStyle name="Comma 49 2" xfId="1065" xr:uid="{00000000-0005-0000-0000-000029040000}"/>
    <cellStyle name="Comma 49 3" xfId="3273" xr:uid="{D4441791-6B85-4BFB-9DC5-6E94CF1B6BC4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274" xr:uid="{64054104-395B-450F-9ED1-696F99812723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275" xr:uid="{D385B644-9C89-46F8-9724-B9DBAD3F3269}"/>
    <cellStyle name="Comma 51" xfId="1072" xr:uid="{00000000-0005-0000-0000-000030040000}"/>
    <cellStyle name="Comma 51 2" xfId="1073" xr:uid="{00000000-0005-0000-0000-000031040000}"/>
    <cellStyle name="Comma 51 3" xfId="3276" xr:uid="{6A552A79-70B2-4B7D-8AB6-5B5FE27FC9D3}"/>
    <cellStyle name="Comma 52" xfId="1074" xr:uid="{00000000-0005-0000-0000-000032040000}"/>
    <cellStyle name="Comma 52 2" xfId="1075" xr:uid="{00000000-0005-0000-0000-000033040000}"/>
    <cellStyle name="Comma 52 3" xfId="3277" xr:uid="{95E08FDE-C30A-4AFD-9B7E-5C0645275671}"/>
    <cellStyle name="Comma 58" xfId="1076" xr:uid="{00000000-0005-0000-0000-000034040000}"/>
    <cellStyle name="Comma 58 2" xfId="1077" xr:uid="{00000000-0005-0000-0000-000035040000}"/>
    <cellStyle name="Comma 58 3" xfId="3278" xr:uid="{F1210611-E12C-4F4C-A4DD-0D30C399F5FC}"/>
    <cellStyle name="Comma 59" xfId="1078" xr:uid="{00000000-0005-0000-0000-000036040000}"/>
    <cellStyle name="Comma 59 2" xfId="1079" xr:uid="{00000000-0005-0000-0000-000037040000}"/>
    <cellStyle name="Comma 59 3" xfId="3279" xr:uid="{65F2C3FB-9713-44F6-B937-54EA66DC46FE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81" xr:uid="{5D6C4341-CF7F-43B9-BAA2-FEDA8E9A530D}"/>
    <cellStyle name="Comma 6 3" xfId="3280" xr:uid="{E9AACA35-0D46-4DDF-9CBC-A5BCD15E2B2D}"/>
    <cellStyle name="Comma 62" xfId="1083" xr:uid="{00000000-0005-0000-0000-00003B040000}"/>
    <cellStyle name="Comma 62 2" xfId="1084" xr:uid="{00000000-0005-0000-0000-00003C040000}"/>
    <cellStyle name="Comma 62 3" xfId="3282" xr:uid="{12CB6336-D332-4900-8DA8-5E571AEEFE8C}"/>
    <cellStyle name="Comma 63" xfId="1085" xr:uid="{00000000-0005-0000-0000-00003D040000}"/>
    <cellStyle name="Comma 63 2" xfId="1086" xr:uid="{00000000-0005-0000-0000-00003E040000}"/>
    <cellStyle name="Comma 63 3" xfId="3283" xr:uid="{836E1D0C-FA2F-4E44-A484-96C313A615FA}"/>
    <cellStyle name="Comma 66" xfId="1087" xr:uid="{00000000-0005-0000-0000-00003F040000}"/>
    <cellStyle name="Comma 66 2" xfId="3284" xr:uid="{09E2F5A9-4E67-46CE-BA7F-C7E12F6FE45B}"/>
    <cellStyle name="Comma 67" xfId="1088" xr:uid="{00000000-0005-0000-0000-000040040000}"/>
    <cellStyle name="Comma 67 2" xfId="1089" xr:uid="{00000000-0005-0000-0000-000041040000}"/>
    <cellStyle name="Comma 67 3" xfId="3285" xr:uid="{76073746-9364-4949-8BE8-95364AD4962E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87" xr:uid="{005CE22B-AB61-4251-97B3-7DC014CA397C}"/>
    <cellStyle name="Comma 7 3" xfId="1093" xr:uid="{00000000-0005-0000-0000-000045040000}"/>
    <cellStyle name="Comma 7 3 2" xfId="1094" xr:uid="{00000000-0005-0000-0000-000046040000}"/>
    <cellStyle name="Comma 7 3 3" xfId="3288" xr:uid="{F0E160E2-22AC-47C1-A991-EBFE1D9117E6}"/>
    <cellStyle name="Comma 7 4" xfId="3286" xr:uid="{A8462293-EA4B-4311-AD52-170D34245854}"/>
    <cellStyle name="Comma 72" xfId="1095" xr:uid="{00000000-0005-0000-0000-000047040000}"/>
    <cellStyle name="Comma 72 2" xfId="3289" xr:uid="{3FEE4B2E-DC04-4621-A945-6E7AF460423A}"/>
    <cellStyle name="Comma 74" xfId="1096" xr:uid="{00000000-0005-0000-0000-000048040000}"/>
    <cellStyle name="Comma 74 2" xfId="1097" xr:uid="{00000000-0005-0000-0000-000049040000}"/>
    <cellStyle name="Comma 74 3" xfId="3290" xr:uid="{9DA9C488-86E9-4ABB-9E59-EAF5A1AAC919}"/>
    <cellStyle name="Comma 75" xfId="1098" xr:uid="{00000000-0005-0000-0000-00004A040000}"/>
    <cellStyle name="Comma 75 2" xfId="1099" xr:uid="{00000000-0005-0000-0000-00004B040000}"/>
    <cellStyle name="Comma 75 3" xfId="3291" xr:uid="{C3C43B02-D619-48BE-89B4-0522CB42DED3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94" xr:uid="{4D1DEFFC-66B0-48F8-9AC7-26AD699E3215}"/>
    <cellStyle name="Comma 8 2 3" xfId="1104" xr:uid="{00000000-0005-0000-0000-000050040000}"/>
    <cellStyle name="Comma 8 2 4" xfId="3293" xr:uid="{8D3D76B4-EC8D-4EF8-8343-6323C1EBB3D0}"/>
    <cellStyle name="Comma 8 3" xfId="1105" xr:uid="{00000000-0005-0000-0000-000051040000}"/>
    <cellStyle name="Comma 8 4" xfId="3292" xr:uid="{CEAADD50-6FEC-444D-B95F-7C43BD348551}"/>
    <cellStyle name="Comma 82" xfId="1106" xr:uid="{00000000-0005-0000-0000-000052040000}"/>
    <cellStyle name="Comma 82 2" xfId="1107" xr:uid="{00000000-0005-0000-0000-000053040000}"/>
    <cellStyle name="Comma 82 3" xfId="3295" xr:uid="{CB74D54F-E0FB-4F56-9785-033E979264C6}"/>
    <cellStyle name="Comma 83" xfId="1108" xr:uid="{00000000-0005-0000-0000-000054040000}"/>
    <cellStyle name="Comma 83 2" xfId="1109" xr:uid="{00000000-0005-0000-0000-000055040000}"/>
    <cellStyle name="Comma 83 3" xfId="3296" xr:uid="{B4B75BD4-F601-4E1D-AA11-0D507FF37ABF}"/>
    <cellStyle name="Comma 85" xfId="1110" xr:uid="{00000000-0005-0000-0000-000056040000}"/>
    <cellStyle name="Comma 85 2" xfId="1111" xr:uid="{00000000-0005-0000-0000-000057040000}"/>
    <cellStyle name="Comma 85 3" xfId="3297" xr:uid="{9D79AFA8-3F2D-4EE0-9397-8580D6929E83}"/>
    <cellStyle name="Comma 86" xfId="1112" xr:uid="{00000000-0005-0000-0000-000058040000}"/>
    <cellStyle name="Comma 86 2" xfId="1113" xr:uid="{00000000-0005-0000-0000-000059040000}"/>
    <cellStyle name="Comma 86 3" xfId="3298" xr:uid="{449BF121-A92D-4295-9C4B-42A9F63EB4A6}"/>
    <cellStyle name="Comma 89" xfId="1114" xr:uid="{00000000-0005-0000-0000-00005A040000}"/>
    <cellStyle name="Comma 89 2" xfId="3299" xr:uid="{26954F95-F0C3-4204-8515-D385ADBABE14}"/>
    <cellStyle name="Comma 9" xfId="1115" xr:uid="{00000000-0005-0000-0000-00005B040000}"/>
    <cellStyle name="Comma 9 2" xfId="1116" xr:uid="{00000000-0005-0000-0000-00005C040000}"/>
    <cellStyle name="Comma 9 2 2" xfId="3301" xr:uid="{73B616C2-B971-412A-B7EB-4AC893F28C84}"/>
    <cellStyle name="Comma 9 3" xfId="1117" xr:uid="{00000000-0005-0000-0000-00005D040000}"/>
    <cellStyle name="Comma 9 3 2" xfId="3302" xr:uid="{3DE6771D-93D6-42C7-B91D-935E9CA54B77}"/>
    <cellStyle name="Comma 9 4" xfId="1118" xr:uid="{00000000-0005-0000-0000-00005E040000}"/>
    <cellStyle name="Comma 9 5" xfId="3300" xr:uid="{50CB0A49-E1F6-4918-80EB-DBD457B4840D}"/>
    <cellStyle name="Comma 98" xfId="1119" xr:uid="{00000000-0005-0000-0000-00005F040000}"/>
    <cellStyle name="Comma 98 2" xfId="3303" xr:uid="{1E474D6D-495E-4BAA-8DB6-C24AC0A01401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304" xr:uid="{55D2FB76-10D1-4A03-A3C7-7FE28BE64661}"/>
    <cellStyle name="Currency [0] 3" xfId="1127" xr:uid="{00000000-0005-0000-0000-000067040000}"/>
    <cellStyle name="Currency [0] 3 2" xfId="3305" xr:uid="{43452FC4-7B1E-437C-965B-12909484735B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3" xfId="2978" xr:uid="{7228F8EC-8284-49D9-AA3B-EC5916FB02D5}"/>
    <cellStyle name="Draw lines around data in range 4" xfId="3306" xr:uid="{DE4333AB-7E3E-41AD-ADE5-35B11BA5B98D}"/>
    <cellStyle name="Draw lines around data in range 5" xfId="2980" xr:uid="{FB7F8DD4-33DC-43EF-ACE3-5DCECA89D131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3" xfId="2977" xr:uid="{4AA4531F-404C-45B7-9E70-28CF82928BD3}"/>
    <cellStyle name="Draw shadow and lines within range 4" xfId="3307" xr:uid="{41A03CF7-F221-46CB-9BDF-064AE51F2C58}"/>
    <cellStyle name="Draw shadow and lines within range 5" xfId="2979" xr:uid="{E72F6C31-AF8A-4EDF-A3BB-536B77851AC5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a row of totals 3" xfId="2974" xr:uid="{1AE155E4-9F87-4B59-AC09-070B5F4FBF90}"/>
    <cellStyle name="Format a row of totals 4" xfId="3308" xr:uid="{1D3A31CF-623D-4AE3-9C57-8AD8319804D0}"/>
    <cellStyle name="Format a row of totals 5" xfId="2976" xr:uid="{D2C2D0BD-E169-4418-884F-6013E3F2A556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3" xfId="2973" xr:uid="{926279B9-8E67-4822-89A1-D18133AE99DB}"/>
    <cellStyle name="Format text as bold, black on yellow 4" xfId="2697" xr:uid="{B0084449-9471-45E3-B30F-1171C6319810}"/>
    <cellStyle name="Format text as bold, black on yellow 5" xfId="2975" xr:uid="{FDA9DFA9-2896-4AA3-B254-D3A6DA0E21DC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3" xfId="2962" xr:uid="{6ED0109C-1F40-4F37-900A-981E5CBF07B5}"/>
    <cellStyle name="Input 10 4" xfId="3309" xr:uid="{E2928996-A1BB-4E49-8DC4-36249C658EF5}"/>
    <cellStyle name="Input 10 5" xfId="2972" xr:uid="{4C8B2E08-97B1-4830-9DA9-25F9AB0762E2}"/>
    <cellStyle name="Input 11" xfId="1350" xr:uid="{00000000-0005-0000-0000-000046050000}"/>
    <cellStyle name="Input 11 2" xfId="1351" xr:uid="{00000000-0005-0000-0000-000047050000}"/>
    <cellStyle name="Input 11 3" xfId="2961" xr:uid="{84101156-C89A-4E3A-B5CC-AEF10AD86B56}"/>
    <cellStyle name="Input 11 4" xfId="3310" xr:uid="{FC7F8F02-7AC5-46A5-B9D1-ADAC1CE535FB}"/>
    <cellStyle name="Input 11 5" xfId="2971" xr:uid="{E7A208CD-71FF-42C4-8015-2CED1F1C38B0}"/>
    <cellStyle name="Input 12" xfId="1352" xr:uid="{00000000-0005-0000-0000-000048050000}"/>
    <cellStyle name="Input 12 2" xfId="1353" xr:uid="{00000000-0005-0000-0000-000049050000}"/>
    <cellStyle name="Input 12 3" xfId="2960" xr:uid="{412E66C1-108E-4A33-B17A-AEBB90A29675}"/>
    <cellStyle name="Input 12 4" xfId="3311" xr:uid="{D5F38A14-AB2E-4713-BD3F-719332F83798}"/>
    <cellStyle name="Input 12 5" xfId="2970" xr:uid="{0875A61B-5481-478C-9ADC-6261CB3F00FE}"/>
    <cellStyle name="Input 13" xfId="1354" xr:uid="{00000000-0005-0000-0000-00004A050000}"/>
    <cellStyle name="Input 13 2" xfId="1355" xr:uid="{00000000-0005-0000-0000-00004B050000}"/>
    <cellStyle name="Input 13 3" xfId="2959" xr:uid="{FA89B499-E82B-41E5-A3D3-B9E5FA3877A7}"/>
    <cellStyle name="Input 13 4" xfId="3312" xr:uid="{22095768-D69E-4230-BE56-D1C4EACED540}"/>
    <cellStyle name="Input 13 5" xfId="2694" xr:uid="{CCFC823F-7231-4E3B-96FE-0F205AAC74B1}"/>
    <cellStyle name="Input 14" xfId="1356" xr:uid="{00000000-0005-0000-0000-00004C050000}"/>
    <cellStyle name="Input 14 2" xfId="1357" xr:uid="{00000000-0005-0000-0000-00004D050000}"/>
    <cellStyle name="Input 14 3" xfId="2958" xr:uid="{6D72E839-9746-4609-8205-4226B0B16200}"/>
    <cellStyle name="Input 14 4" xfId="3313" xr:uid="{2F0A0900-BC38-4364-ACF3-8538041F9044}"/>
    <cellStyle name="Input 14 5" xfId="2969" xr:uid="{D004DF3E-7870-4817-842B-8721A051C8D2}"/>
    <cellStyle name="Input 15" xfId="1358" xr:uid="{00000000-0005-0000-0000-00004E050000}"/>
    <cellStyle name="Input 15 2" xfId="1359" xr:uid="{00000000-0005-0000-0000-00004F050000}"/>
    <cellStyle name="Input 15 3" xfId="2957" xr:uid="{951039F5-7B02-4525-9EAF-88E08080F5C6}"/>
    <cellStyle name="Input 15 4" xfId="3314" xr:uid="{8A39D99D-0E7B-436F-B9F5-980AAAC6A6D5}"/>
    <cellStyle name="Input 15 5" xfId="2968" xr:uid="{8091DF97-695E-431C-A55C-DD4B2FAFC88E}"/>
    <cellStyle name="Input 16" xfId="1360" xr:uid="{00000000-0005-0000-0000-000050050000}"/>
    <cellStyle name="Input 16 2" xfId="1361" xr:uid="{00000000-0005-0000-0000-000051050000}"/>
    <cellStyle name="Input 16 3" xfId="2956" xr:uid="{1D3C91AE-5E9D-4669-82FB-CB443AFD8756}"/>
    <cellStyle name="Input 16 4" xfId="3315" xr:uid="{E3BB8F1D-E0FB-4E2F-BC1E-9BE8F2BA0312}"/>
    <cellStyle name="Input 16 5" xfId="2967" xr:uid="{35429249-0B8B-49C5-B7D4-C462ADD1C5F7}"/>
    <cellStyle name="Input 17" xfId="1362" xr:uid="{00000000-0005-0000-0000-000052050000}"/>
    <cellStyle name="Input 17 2" xfId="1363" xr:uid="{00000000-0005-0000-0000-000053050000}"/>
    <cellStyle name="Input 17 3" xfId="2955" xr:uid="{ED690967-A33F-412B-838A-166FC617D49D}"/>
    <cellStyle name="Input 17 4" xfId="3316" xr:uid="{13BDBD45-2543-45D3-9828-2FD10760B7DF}"/>
    <cellStyle name="Input 17 5" xfId="2966" xr:uid="{81C91D64-3737-4286-842B-266CA68167E9}"/>
    <cellStyle name="Input 18" xfId="1364" xr:uid="{00000000-0005-0000-0000-000054050000}"/>
    <cellStyle name="Input 18 2" xfId="1365" xr:uid="{00000000-0005-0000-0000-000055050000}"/>
    <cellStyle name="Input 18 3" xfId="2954" xr:uid="{61F54388-7F95-43E6-8821-50D0A47C138A}"/>
    <cellStyle name="Input 18 4" xfId="3317" xr:uid="{D8A3F8FF-1CDE-4BC0-85D7-9835C4207397}"/>
    <cellStyle name="Input 18 5" xfId="2965" xr:uid="{426EB8B4-352A-45D5-8698-0E586CD90648}"/>
    <cellStyle name="Input 19" xfId="1366" xr:uid="{00000000-0005-0000-0000-000056050000}"/>
    <cellStyle name="Input 19 2" xfId="1367" xr:uid="{00000000-0005-0000-0000-000057050000}"/>
    <cellStyle name="Input 19 3" xfId="2953" xr:uid="{9772FA40-231D-4618-877D-BF879B94946F}"/>
    <cellStyle name="Input 19 4" xfId="3318" xr:uid="{2B6B5F32-05C5-4D6D-B40C-9180941AEC4D}"/>
    <cellStyle name="Input 19 5" xfId="2964" xr:uid="{D5795899-A4C2-49D3-8E96-DF0B2C838827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3" xfId="2952" xr:uid="{A2A35F2B-C6FD-4069-B723-3C6D71DCFC64}"/>
    <cellStyle name="Input 2 2 4" xfId="3320" xr:uid="{69C05C09-5F56-46B8-B755-7DFF6671F94C}"/>
    <cellStyle name="Input 2 2 5" xfId="2939" xr:uid="{15D48B7D-60FE-44F7-AC1E-77F4C8D5D57E}"/>
    <cellStyle name="Input 2 3" xfId="1371" xr:uid="{00000000-0005-0000-0000-00005B050000}"/>
    <cellStyle name="Input 2 3 2" xfId="1372" xr:uid="{00000000-0005-0000-0000-00005C050000}"/>
    <cellStyle name="Input 2 3 3" xfId="2951" xr:uid="{35AFF4FB-1B1C-4AB4-8B60-ACD93C9D9FDB}"/>
    <cellStyle name="Input 2 3 4" xfId="3321" xr:uid="{F9EBC4AC-5A3B-4523-B5EA-A7BFFADB4E06}"/>
    <cellStyle name="Input 2 3 5" xfId="2938" xr:uid="{D3768336-4DAD-4257-A35E-6E05D042454D}"/>
    <cellStyle name="Input 2 4" xfId="1373" xr:uid="{00000000-0005-0000-0000-00005D050000}"/>
    <cellStyle name="Input 2 5" xfId="2693" xr:uid="{BEEB77D4-28F5-47D9-A7CC-A8CBA4F4605E}"/>
    <cellStyle name="Input 2 6" xfId="3319" xr:uid="{91D5BD9A-B162-4DBC-92E8-FCA27786B270}"/>
    <cellStyle name="Input 2 7" xfId="2963" xr:uid="{7BA002E7-6AEE-4378-8A93-5114559392C3}"/>
    <cellStyle name="Input 20" xfId="1374" xr:uid="{00000000-0005-0000-0000-00005E050000}"/>
    <cellStyle name="Input 20 2" xfId="1375" xr:uid="{00000000-0005-0000-0000-00005F050000}"/>
    <cellStyle name="Input 20 3" xfId="2950" xr:uid="{329FE029-085D-4190-B8BA-17C1DC6957F7}"/>
    <cellStyle name="Input 20 4" xfId="3322" xr:uid="{159D4239-DE42-4E95-A3AB-3DF87415A705}"/>
    <cellStyle name="Input 20 5" xfId="2937" xr:uid="{62053971-AA2A-4DD9-A715-1D478D900159}"/>
    <cellStyle name="Input 21" xfId="1376" xr:uid="{00000000-0005-0000-0000-000060050000}"/>
    <cellStyle name="Input 21 2" xfId="1377" xr:uid="{00000000-0005-0000-0000-000061050000}"/>
    <cellStyle name="Input 21 3" xfId="2949" xr:uid="{3ACEF6EA-C822-4646-BCCA-20907250DA12}"/>
    <cellStyle name="Input 21 4" xfId="3323" xr:uid="{81925FB8-79C3-4963-BBDE-E69A70A929F2}"/>
    <cellStyle name="Input 21 5" xfId="2936" xr:uid="{A9BA5661-4021-4D9D-9F05-0A799295E204}"/>
    <cellStyle name="Input 22" xfId="3560" xr:uid="{195BD969-138D-4B0F-A524-828AA63FF2A4}"/>
    <cellStyle name="Input 23" xfId="3774" xr:uid="{A01BE879-40BD-44FA-9436-DF1D83785DFE}"/>
    <cellStyle name="Input 24" xfId="3939" xr:uid="{E25DEF61-80D1-4ECD-9BE9-A8B63215965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3" xfId="2947" xr:uid="{FA945745-6EA7-4A3F-936F-162EB3EB8651}"/>
    <cellStyle name="Input 3 2 4" xfId="3325" xr:uid="{83B53308-525F-4A90-AB25-BA0FF99D67C3}"/>
    <cellStyle name="Input 3 2 5" xfId="3559" xr:uid="{F02863EE-A08A-423D-8C2A-E0C8989941DF}"/>
    <cellStyle name="Input 3 3" xfId="1381" xr:uid="{00000000-0005-0000-0000-000065050000}"/>
    <cellStyle name="Input 3 4" xfId="2948" xr:uid="{F1792C0B-B502-456A-8CF3-C2B5C5501B20}"/>
    <cellStyle name="Input 3 5" xfId="3324" xr:uid="{8FB1F5B2-8A70-4C8D-A6FB-02D4A49C04CF}"/>
    <cellStyle name="Input 3 6" xfId="2692" xr:uid="{19F162A3-7447-4D31-86DA-75D26AD9AB71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3" xfId="2945" xr:uid="{9AF02389-F5F4-491F-BE77-331F62DC2766}"/>
    <cellStyle name="Input 4 2 4" xfId="3327" xr:uid="{58A9B57A-85C1-496F-809B-B916541A812B}"/>
    <cellStyle name="Input 4 2 5" xfId="2934" xr:uid="{E10A340B-F65C-42AB-880F-D5E0CD208614}"/>
    <cellStyle name="Input 4 3" xfId="1385" xr:uid="{00000000-0005-0000-0000-000069050000}"/>
    <cellStyle name="Input 4 4" xfId="2946" xr:uid="{9153C1B4-597C-49CA-AD04-1B1C4573BCD6}"/>
    <cellStyle name="Input 4 5" xfId="3326" xr:uid="{F0C0463D-C307-41A9-A06B-CFDC44438D77}"/>
    <cellStyle name="Input 4 6" xfId="2935" xr:uid="{DB5DAB6B-0DBE-49E9-8BB9-4CFB08754FE4}"/>
    <cellStyle name="Input 5" xfId="1386" xr:uid="{00000000-0005-0000-0000-00006A050000}"/>
    <cellStyle name="Input 5 2" xfId="1387" xr:uid="{00000000-0005-0000-0000-00006B050000}"/>
    <cellStyle name="Input 5 3" xfId="2944" xr:uid="{77D6AB79-4B8C-4510-8E42-5956A06533E4}"/>
    <cellStyle name="Input 5 4" xfId="3328" xr:uid="{474B0E67-D9E5-462B-9AD0-3769D2824D89}"/>
    <cellStyle name="Input 5 5" xfId="2933" xr:uid="{7FDE8788-5205-4F32-9BE6-E4F112E7AD3C}"/>
    <cellStyle name="Input 6" xfId="1388" xr:uid="{00000000-0005-0000-0000-00006C050000}"/>
    <cellStyle name="Input 6 2" xfId="1389" xr:uid="{00000000-0005-0000-0000-00006D050000}"/>
    <cellStyle name="Input 6 3" xfId="2943" xr:uid="{15AF880A-1968-4A9B-B0CE-9BAA65912361}"/>
    <cellStyle name="Input 6 4" xfId="3329" xr:uid="{BB568DEF-B25E-4B4F-B99E-93761CDB5C52}"/>
    <cellStyle name="Input 6 5" xfId="2932" xr:uid="{ECDC2059-340E-4A5D-82D0-FC17CE26C5F6}"/>
    <cellStyle name="Input 7" xfId="1390" xr:uid="{00000000-0005-0000-0000-00006E050000}"/>
    <cellStyle name="Input 7 2" xfId="1391" xr:uid="{00000000-0005-0000-0000-00006F050000}"/>
    <cellStyle name="Input 7 3" xfId="2942" xr:uid="{9A592703-E3DC-44B9-B268-40425284C4A9}"/>
    <cellStyle name="Input 7 4" xfId="3330" xr:uid="{C473262A-62E9-47DF-8598-CB9B8A93C725}"/>
    <cellStyle name="Input 7 5" xfId="2931" xr:uid="{AC07D02C-D8E8-4217-ADD2-0090F9E5F794}"/>
    <cellStyle name="Input 8" xfId="1392" xr:uid="{00000000-0005-0000-0000-000070050000}"/>
    <cellStyle name="Input 8 2" xfId="1393" xr:uid="{00000000-0005-0000-0000-000071050000}"/>
    <cellStyle name="Input 8 3" xfId="2941" xr:uid="{ED8CFA9C-E7F3-4117-80D3-E2A501F7304F}"/>
    <cellStyle name="Input 8 4" xfId="3331" xr:uid="{8058E503-DF74-4A09-AE08-02DDC4C0B384}"/>
    <cellStyle name="Input 8 5" xfId="2930" xr:uid="{0C13FE09-CDC3-48BE-AFE7-DD09C3767D1D}"/>
    <cellStyle name="Input 9" xfId="1394" xr:uid="{00000000-0005-0000-0000-000072050000}"/>
    <cellStyle name="Input 9 2" xfId="1395" xr:uid="{00000000-0005-0000-0000-000073050000}"/>
    <cellStyle name="Input 9 3" xfId="2940" xr:uid="{F2472FDE-0920-4139-9F31-5927C3DCA0D5}"/>
    <cellStyle name="Input 9 4" xfId="3332" xr:uid="{4CE98397-1C0B-45FA-9B43-C5E74B4764E2}"/>
    <cellStyle name="Input 9 5" xfId="2929" xr:uid="{BF4E51ED-6DD6-408C-99E8-08264AC10279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F85D0C50-F2E3-4730-89D3-BEFFB4156BAD}"/>
    <cellStyle name="Normal 139" xfId="3563" xr:uid="{E0DE5CC7-A2AD-481D-98E9-82A370DC7292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3794" xr:uid="{E3E9D5C0-9B0C-493E-9CB7-05F82CEBD9EF}"/>
    <cellStyle name="Normal 141" xfId="3958" xr:uid="{200E4B2D-A2FE-4548-8731-0128E14DA2F8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333" xr:uid="{C98D9BFC-9BFE-4F04-BB38-907D66701D88}"/>
    <cellStyle name="Normal 16 3" xfId="1573" xr:uid="{00000000-0005-0000-0000-000026060000}"/>
    <cellStyle name="Normal 16 3 2" xfId="1574" xr:uid="{00000000-0005-0000-0000-000027060000}"/>
    <cellStyle name="Normal 16 3 2 2" xfId="3335" xr:uid="{698D7C25-D84A-44B1-A232-0034C02FF9D4}"/>
    <cellStyle name="Normal 16 3 3" xfId="3334" xr:uid="{4746740E-A9DF-46B3-8E97-8AE6769DEA8C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336" xr:uid="{88A0CC92-351E-408E-8F27-7A6F39D8FD34}"/>
    <cellStyle name="Normal 18_4_Pembangunan JTM Baru Penyulang CPU 5" xfId="1596" xr:uid="{00000000-0005-0000-0000-00003D060000}"/>
    <cellStyle name="Normal 19" xfId="1597" xr:uid="{00000000-0005-0000-0000-00003E060000}"/>
    <cellStyle name="Normal 19 2" xfId="3339" xr:uid="{592A1F78-08FC-4F46-9347-8F12412A06F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347" xr:uid="{93C57E15-FB1E-4C7C-9122-7BB29D964E1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3566" xr:uid="{AC9B5248-24EC-42CA-A10C-3F4BB90CD23E}"/>
    <cellStyle name="Normal 2 11" xfId="1616" xr:uid="{00000000-0005-0000-0000-000051060000}"/>
    <cellStyle name="Normal 2 11 2" xfId="1617" xr:uid="{00000000-0005-0000-0000-000052060000}"/>
    <cellStyle name="Normal 2 11 2 2" xfId="3350" xr:uid="{8B43336B-31BD-4642-826C-CFCD85C1B2B3}"/>
    <cellStyle name="Normal 2 11 3" xfId="1618" xr:uid="{00000000-0005-0000-0000-000053060000}"/>
    <cellStyle name="Normal 2 11 3 2" xfId="3351" xr:uid="{8C21531A-B513-4F06-86E4-5A0ABF9814A4}"/>
    <cellStyle name="Normal 2 11 4" xfId="1619" xr:uid="{00000000-0005-0000-0000-000054060000}"/>
    <cellStyle name="Normal 2 11 4 2" xfId="3352" xr:uid="{9C885B9B-18E9-47A2-AA6A-F5BBC1C6FEEB}"/>
    <cellStyle name="Normal 2 11 5" xfId="3349" xr:uid="{FC4BE5AA-9164-4237-BE3B-0F159FF77272}"/>
    <cellStyle name="Normal 2 12" xfId="1620" xr:uid="{00000000-0005-0000-0000-000055060000}"/>
    <cellStyle name="Normal 2 12 2" xfId="1621" xr:uid="{00000000-0005-0000-0000-000056060000}"/>
    <cellStyle name="Normal 2 12 2 2" xfId="3354" xr:uid="{4AA58CCB-9252-4605-BF94-1B32ED06B4A0}"/>
    <cellStyle name="Normal 2 12 3" xfId="3353" xr:uid="{E81891A5-BD57-4392-808E-AE95F1B96B7F}"/>
    <cellStyle name="Normal 2 12_SR DERET_ASLI" xfId="1622" xr:uid="{00000000-0005-0000-0000-000057060000}"/>
    <cellStyle name="Normal 2 13" xfId="1623" xr:uid="{00000000-0005-0000-0000-000058060000}"/>
    <cellStyle name="Normal 2 13 2" xfId="3355" xr:uid="{97C45AE0-794B-42C5-BAD6-3F7B6BA14470}"/>
    <cellStyle name="Normal 2 14" xfId="1624" xr:uid="{00000000-0005-0000-0000-000059060000}"/>
    <cellStyle name="Normal 2 15" xfId="1625" xr:uid="{00000000-0005-0000-0000-00005A060000}"/>
    <cellStyle name="Normal 2 15 2" xfId="3356" xr:uid="{F9044E3B-D7C7-43E9-A065-F32BDD98BD75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359" xr:uid="{20DE27FE-4FE4-4939-B994-FFBF46B84800}"/>
    <cellStyle name="Normal 2 2 11" xfId="1636" xr:uid="{00000000-0005-0000-0000-000065060000}"/>
    <cellStyle name="Normal 2 2 11 2" xfId="3360" xr:uid="{22B4ED5C-1980-47C6-942C-DEA488C39577}"/>
    <cellStyle name="Normal 2 2 12" xfId="1637" xr:uid="{00000000-0005-0000-0000-000066060000}"/>
    <cellStyle name="Normal 2 2 12 2" xfId="3361" xr:uid="{5DF7ABC4-9BF5-401C-A057-E5C0F6B00CB8}"/>
    <cellStyle name="Normal 2 2 13" xfId="1638" xr:uid="{00000000-0005-0000-0000-000067060000}"/>
    <cellStyle name="Normal 2 2 13 2" xfId="3362" xr:uid="{C8E888A0-7322-48CB-9BD2-6C130C29BC71}"/>
    <cellStyle name="Normal 2 2 14" xfId="1639" xr:uid="{00000000-0005-0000-0000-000068060000}"/>
    <cellStyle name="Normal 2 2 14 2" xfId="3363" xr:uid="{6F486CFD-A254-4BFD-A6F5-091E050297F5}"/>
    <cellStyle name="Normal 2 2 15" xfId="1640" xr:uid="{00000000-0005-0000-0000-000069060000}"/>
    <cellStyle name="Normal 2 2 15 2" xfId="3364" xr:uid="{EA4B0E94-48BB-44EA-8B31-748D2BBB0A4F}"/>
    <cellStyle name="Normal 2 2 16" xfId="1641" xr:uid="{00000000-0005-0000-0000-00006A060000}"/>
    <cellStyle name="Normal 2 2 16 2" xfId="3365" xr:uid="{00FB168B-FEFF-44E7-8960-DAF4ACC3958A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381" xr:uid="{08A2B6F3-61BD-40F0-859B-565D62585BD6}"/>
    <cellStyle name="Normal 2 2 5" xfId="1674" xr:uid="{00000000-0005-0000-0000-00008B060000}"/>
    <cellStyle name="Normal 2 2 5 2" xfId="3382" xr:uid="{3E01C43C-C95C-4A4D-95E0-100076A8E017}"/>
    <cellStyle name="Normal 2 2 6" xfId="1675" xr:uid="{00000000-0005-0000-0000-00008C060000}"/>
    <cellStyle name="Normal 2 2 6 2" xfId="3383" xr:uid="{8003BF43-EF75-4677-8F3A-1F6FD18653DA}"/>
    <cellStyle name="Normal 2 2 7" xfId="1676" xr:uid="{00000000-0005-0000-0000-00008D060000}"/>
    <cellStyle name="Normal 2 2 7 2" xfId="3384" xr:uid="{5B7F4416-CBBF-4976-9DFF-E3EA365EEDB7}"/>
    <cellStyle name="Normal 2 2 8" xfId="1677" xr:uid="{00000000-0005-0000-0000-00008E060000}"/>
    <cellStyle name="Normal 2 2 8 2" xfId="3385" xr:uid="{4AE02F13-7697-4F8E-ADF1-B4BF5571FBC6}"/>
    <cellStyle name="Normal 2 2 9" xfId="1678" xr:uid="{00000000-0005-0000-0000-00008F060000}"/>
    <cellStyle name="Normal 2 2 9 2" xfId="3386" xr:uid="{3A10DC63-1EF3-4C5F-91CB-BFC09D5B316E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705" xr:uid="{CFE568F3-ADF0-402E-8F11-EC67E53457B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387" xr:uid="{2C21FB48-D9BA-490C-8A38-FBA2440EEF14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388" xr:uid="{EA6D54A9-3B1A-4982-8CDE-CA0737A61F21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89" xr:uid="{A0766E7C-F154-4E04-883A-5E5A5C5571FF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90" xr:uid="{72012D02-4CEB-4617-ABBA-10BC4A79419C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91" xr:uid="{A8D2A27F-2CC4-45AB-A9C9-2B16D30CCD6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92" xr:uid="{D46AD48D-15D4-434B-9428-9AD1439B6802}"/>
    <cellStyle name="Normal 21_DATA DINGO &amp; IMG _OK" xfId="1884" xr:uid="{00000000-0005-0000-0000-00005D070000}"/>
    <cellStyle name="Normal 22" xfId="1885" xr:uid="{00000000-0005-0000-0000-00005E070000}"/>
    <cellStyle name="Normal 22 2" xfId="3393" xr:uid="{A1AC2B71-B5B9-49A6-A3F0-0E18FF05130E}"/>
    <cellStyle name="Normal 23" xfId="1886" xr:uid="{00000000-0005-0000-0000-00005F070000}"/>
    <cellStyle name="Normal 23 2" xfId="3394" xr:uid="{980135B0-01CF-468E-A6B5-61EEEA9530FE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702" xr:uid="{5638737C-E789-4304-AA25-7559F55CEA1F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396" xr:uid="{2A1B5770-2C2D-4F26-A8C3-EE2623E2069C}"/>
    <cellStyle name="Normal 8 3" xfId="2024" xr:uid="{00000000-0005-0000-0000-0000E9070000}"/>
    <cellStyle name="Normal 8 4" xfId="3395" xr:uid="{FEFC0D7E-A86B-4CE4-A3AB-04423119278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64" xr:uid="{008F1AF8-ECFF-478E-B97F-C6223DCC7F36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00" xr:uid="{CDB690DE-12B3-49FB-96D8-B149090992B5}"/>
    <cellStyle name="Normal 9 2 2 3" xfId="2046" xr:uid="{00000000-0005-0000-0000-0000FF070000}"/>
    <cellStyle name="Normal 9 2 2 3 2" xfId="3401" xr:uid="{6FEB9CFF-982D-4563-854C-1D65C9236AB6}"/>
    <cellStyle name="Normal 9 2 2 4" xfId="2047" xr:uid="{00000000-0005-0000-0000-000000080000}"/>
    <cellStyle name="Normal 9 2 2 4 2" xfId="3402" xr:uid="{114D72CE-4CD7-4DC5-8FD7-231FDBE293D6}"/>
    <cellStyle name="Normal 9 2 2 5" xfId="3399" xr:uid="{20F5FE0B-FC5D-496E-B9A5-1AC540B6935C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06" xr:uid="{A4322226-5E7D-49C3-91EA-69A3BA724607}"/>
    <cellStyle name="Normal 9 2 3 2 2 3" xfId="2052" xr:uid="{00000000-0005-0000-0000-000005080000}"/>
    <cellStyle name="Normal 9 2 3 2 2 3 2" xfId="3407" xr:uid="{DB8CC106-64CE-4B98-B6EB-7E094DAF6C32}"/>
    <cellStyle name="Normal 9 2 3 2 2 4" xfId="2053" xr:uid="{00000000-0005-0000-0000-000006080000}"/>
    <cellStyle name="Normal 9 2 3 2 2 4 2" xfId="3408" xr:uid="{FA01E2EE-EEDF-4B2A-A193-C4AB94B1C157}"/>
    <cellStyle name="Normal 9 2 3 2 2 5" xfId="2054" xr:uid="{00000000-0005-0000-0000-000007080000}"/>
    <cellStyle name="Normal 9 2 3 2 2 5 2" xfId="3409" xr:uid="{66123C89-47E2-4587-855A-5D2C2428AF36}"/>
    <cellStyle name="Normal 9 2 3 2 2 6" xfId="3405" xr:uid="{E0F263BE-717F-4C94-97AE-D6D84BE78350}"/>
    <cellStyle name="Normal 9 2 3 2 3" xfId="2055" xr:uid="{00000000-0005-0000-0000-000008080000}"/>
    <cellStyle name="Normal 9 2 3 2 3 2" xfId="2056" xr:uid="{00000000-0005-0000-0000-000009080000}"/>
    <cellStyle name="Normal 9 2 3 2 3 2 2" xfId="3411" xr:uid="{4964CCA2-3C2E-41E5-AEA8-5F10E26491B8}"/>
    <cellStyle name="Normal 9 2 3 2 3 3" xfId="2057" xr:uid="{00000000-0005-0000-0000-00000A080000}"/>
    <cellStyle name="Normal 9 2 3 2 3 3 2" xfId="3412" xr:uid="{7016DFC7-CFEA-4EAC-94C2-FC56D9741896}"/>
    <cellStyle name="Normal 9 2 3 2 3 4" xfId="2058" xr:uid="{00000000-0005-0000-0000-00000B080000}"/>
    <cellStyle name="Normal 9 2 3 2 3 4 2" xfId="3413" xr:uid="{A75C1461-8FF0-460D-A784-32D4F6FB6B4B}"/>
    <cellStyle name="Normal 9 2 3 2 3 5" xfId="3410" xr:uid="{0FB2D6D8-0AED-4975-B46C-A47A7A848A7F}"/>
    <cellStyle name="Normal 9 2 3 2 4" xfId="2059" xr:uid="{00000000-0005-0000-0000-00000C080000}"/>
    <cellStyle name="Normal 9 2 3 2 4 2" xfId="3414" xr:uid="{66263C96-ADF8-41EF-85D3-D0E89FAB55B7}"/>
    <cellStyle name="Normal 9 2 3 2 5" xfId="2060" xr:uid="{00000000-0005-0000-0000-00000D080000}"/>
    <cellStyle name="Normal 9 2 3 2 5 2" xfId="3415" xr:uid="{A7CB7A86-0DF5-4867-97DD-B78410B128AA}"/>
    <cellStyle name="Normal 9 2 3 2 6" xfId="2061" xr:uid="{00000000-0005-0000-0000-00000E080000}"/>
    <cellStyle name="Normal 9 2 3 2 6 2" xfId="3416" xr:uid="{BF7F1693-9D79-4907-9ABF-61D59975C287}"/>
    <cellStyle name="Normal 9 2 3 2 7" xfId="3404" xr:uid="{29802F40-50F0-40FE-B8C7-465EFA726AEF}"/>
    <cellStyle name="Normal 9 2 3 2_PETA POHON LITA TRW I 2010" xfId="2062" xr:uid="{00000000-0005-0000-0000-00000F080000}"/>
    <cellStyle name="Normal 9 2 3 3" xfId="2063" xr:uid="{00000000-0005-0000-0000-000010080000}"/>
    <cellStyle name="Normal 9 2 3 3 2" xfId="3417" xr:uid="{D4B737E8-D8B8-4F48-B542-3FAD4E88917A}"/>
    <cellStyle name="Normal 9 2 3 4" xfId="2064" xr:uid="{00000000-0005-0000-0000-000011080000}"/>
    <cellStyle name="Normal 9 2 3 4 2" xfId="3418" xr:uid="{6B38F9DA-0DD5-465F-98DA-CD8FF326A1D6}"/>
    <cellStyle name="Normal 9 2 3 5" xfId="2065" xr:uid="{00000000-0005-0000-0000-000012080000}"/>
    <cellStyle name="Normal 9 2 3 5 2" xfId="3419" xr:uid="{9793DB96-E977-461A-ABBD-3037C6EAFA6B}"/>
    <cellStyle name="Normal 9 2 3 6" xfId="3403" xr:uid="{3365BD56-33B8-4C6C-993E-BA4138F07DE5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420" xr:uid="{4C54A48E-B26B-4BD6-972F-03D2F3BA9E70}"/>
    <cellStyle name="Normal 9 2 5" xfId="2068" xr:uid="{00000000-0005-0000-0000-000015080000}"/>
    <cellStyle name="Normal 9 2 5 2" xfId="3421" xr:uid="{7D55D662-005F-46EC-A052-6AC80EC2FB62}"/>
    <cellStyle name="Normal 9 2 6" xfId="2069" xr:uid="{00000000-0005-0000-0000-000016080000}"/>
    <cellStyle name="Normal 9 2 6 2" xfId="3422" xr:uid="{51AADD71-05D4-4F4B-B589-896D3B37E0FD}"/>
    <cellStyle name="Normal 9 2 7" xfId="3398" xr:uid="{6CAF87EC-D8C1-4F6E-BFEA-7150C5140A61}"/>
    <cellStyle name="Normal 9 2_ENTRI RABAS-RABAS TRW IV_LT_qq" xfId="2070" xr:uid="{00000000-0005-0000-0000-000017080000}"/>
    <cellStyle name="Normal 9 3" xfId="2071" xr:uid="{00000000-0005-0000-0000-000018080000}"/>
    <cellStyle name="Normal 9 3 2" xfId="3423" xr:uid="{6BF177F5-38BF-413E-9050-B8817E3AAEA6}"/>
    <cellStyle name="Normal 9 4" xfId="2072" xr:uid="{00000000-0005-0000-0000-000019080000}"/>
    <cellStyle name="Normal 9 4 2" xfId="3424" xr:uid="{CB6E756D-308F-412A-8122-9AA401D387DF}"/>
    <cellStyle name="Normal 9 5" xfId="2073" xr:uid="{00000000-0005-0000-0000-00001A080000}"/>
    <cellStyle name="Normal 9 5 2" xfId="3425" xr:uid="{1FEAC498-41A0-4D3C-95E9-634D208A447F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397" xr:uid="{7E596167-BA31-40E9-B6FF-362CFFA5343E}"/>
    <cellStyle name="Normal 9 9" xfId="3567" xr:uid="{8D9A74DC-577F-43DD-B7A8-F5D36D6B5EBC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3" xfId="3586" xr:uid="{81F097D3-69B5-4699-872F-E0FD1CE72E53}"/>
    <cellStyle name="Note 10 2 4" xfId="3484" xr:uid="{CFBDFD69-FA31-44DC-B8F3-78A906F1BD31}"/>
    <cellStyle name="Note 10 2 5" xfId="3569" xr:uid="{BFD07A25-9943-48DB-BB1A-69D7C630E56E}"/>
    <cellStyle name="Note 10 3" xfId="2095" xr:uid="{00000000-0005-0000-0000-000030080000}"/>
    <cellStyle name="Note 10 4" xfId="3585" xr:uid="{EA2DB0FB-BCEE-435D-A8B1-9FCC895E44B5}"/>
    <cellStyle name="Note 10 5" xfId="3483" xr:uid="{4FAD57C3-1890-4D70-AEA0-2B2FD9B307D7}"/>
    <cellStyle name="Note 10 6" xfId="3568" xr:uid="{2F50EE71-D73C-40C6-8E8C-ACC2E0A8991A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3" xfId="3588" xr:uid="{84C84611-3AFC-4390-A515-1E5ED0FC5AF0}"/>
    <cellStyle name="Note 11 2 4" xfId="3488" xr:uid="{128649FF-BB10-43C4-B85D-D9A2C3A73EE4}"/>
    <cellStyle name="Note 11 2 5" xfId="3571" xr:uid="{4958E667-8C41-4781-8C22-60F47A0B0838}"/>
    <cellStyle name="Note 11 3" xfId="2100" xr:uid="{00000000-0005-0000-0000-000035080000}"/>
    <cellStyle name="Note 11 4" xfId="3587" xr:uid="{DBA15170-4647-4D79-A20D-89BD5D669D7A}"/>
    <cellStyle name="Note 11 5" xfId="3486" xr:uid="{064DD4C6-675F-4DB3-9647-19C29E657523}"/>
    <cellStyle name="Note 11 6" xfId="3570" xr:uid="{08DD8EFE-042C-450F-B055-FB739BC1BCD5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3" xfId="3590" xr:uid="{CEAAAB15-7AB6-4369-AE9B-D6D6434509B5}"/>
    <cellStyle name="Note 12 2 4" xfId="3491" xr:uid="{A4799972-5048-494F-B5C5-0E814ED23E6A}"/>
    <cellStyle name="Note 12 2 5" xfId="3573" xr:uid="{E132233B-0A2E-49B2-B53A-CA97E9A44B5A}"/>
    <cellStyle name="Note 12 3" xfId="2105" xr:uid="{00000000-0005-0000-0000-00003A080000}"/>
    <cellStyle name="Note 12 4" xfId="3589" xr:uid="{120089D5-1F39-49CB-87B7-3E4D70C9C245}"/>
    <cellStyle name="Note 12 5" xfId="3490" xr:uid="{BB015EA2-2646-450C-B19C-8D3E4FEFE7C5}"/>
    <cellStyle name="Note 12 6" xfId="3572" xr:uid="{4352F9BA-9848-4033-91C4-A54895369E9B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3" xfId="3592" xr:uid="{858B22D6-E81F-4E0F-B2E6-853B72EAAB19}"/>
    <cellStyle name="Note 13 2 4" xfId="3495" xr:uid="{0BCF66E2-3168-48BC-999F-70A03BD4A76D}"/>
    <cellStyle name="Note 13 2 5" xfId="3575" xr:uid="{140BCF98-F002-437F-8DFC-CBD29A9A0DDD}"/>
    <cellStyle name="Note 13 3" xfId="2110" xr:uid="{00000000-0005-0000-0000-00003F080000}"/>
    <cellStyle name="Note 13 4" xfId="3591" xr:uid="{B3BBFB6F-355D-4FC5-99BD-BD5F2C768D33}"/>
    <cellStyle name="Note 13 5" xfId="3493" xr:uid="{8EB509DC-B624-4140-AD17-E4E94F6CADAD}"/>
    <cellStyle name="Note 13 6" xfId="3574" xr:uid="{A1A23A85-DDA2-4059-8124-85A94B642327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3" xfId="3594" xr:uid="{E6D4DD76-398D-4343-BAC5-336F5E9C0959}"/>
    <cellStyle name="Note 14 2 4" xfId="3498" xr:uid="{E671B910-C996-4024-A0B4-BF3BB790FE5C}"/>
    <cellStyle name="Note 14 2 5" xfId="3577" xr:uid="{9018E5BE-BCE9-4519-A889-B3021F1C56D9}"/>
    <cellStyle name="Note 14 3" xfId="2115" xr:uid="{00000000-0005-0000-0000-000044080000}"/>
    <cellStyle name="Note 14 4" xfId="3593" xr:uid="{F33A73A8-DFD9-457D-9706-28FAD55006C9}"/>
    <cellStyle name="Note 14 5" xfId="3496" xr:uid="{CF7EFF3E-4839-4011-B5EF-373ABF1FB6B5}"/>
    <cellStyle name="Note 14 6" xfId="3576" xr:uid="{C2AE4105-C36B-4514-A1D7-B75BDBEB2C1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3" xfId="3596" xr:uid="{B4E56B26-9B8A-4A87-BA2C-67803824F640}"/>
    <cellStyle name="Note 15 2 4" xfId="3501" xr:uid="{B63B52AC-2B81-4E93-9498-E56D992828AC}"/>
    <cellStyle name="Note 15 2 5" xfId="3579" xr:uid="{889DD841-B1F6-49D7-BCFD-647A3AFBB351}"/>
    <cellStyle name="Note 15 3" xfId="2120" xr:uid="{00000000-0005-0000-0000-000049080000}"/>
    <cellStyle name="Note 15 4" xfId="3595" xr:uid="{738E52A6-3DC3-4045-9785-557B5FBDC5CE}"/>
    <cellStyle name="Note 15 5" xfId="3500" xr:uid="{6CDA2A06-0C64-4897-ABBD-E58057A32CCE}"/>
    <cellStyle name="Note 15 6" xfId="3578" xr:uid="{30EBD1FF-3516-471A-B1EA-83E804447E9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3" xfId="3598" xr:uid="{679EDF52-EF6D-4AB6-A0A3-7D8F336FCDA8}"/>
    <cellStyle name="Note 16 2 4" xfId="3503" xr:uid="{AF843B10-740B-41A4-AE48-057E3D185B82}"/>
    <cellStyle name="Note 16 2 5" xfId="3581" xr:uid="{608BBF43-68C3-44F2-A82C-79BE005C7089}"/>
    <cellStyle name="Note 16 3" xfId="2125" xr:uid="{00000000-0005-0000-0000-00004E080000}"/>
    <cellStyle name="Note 16 4" xfId="3426" xr:uid="{CB3F2BC5-5F35-45A4-95D2-692FF723638F}"/>
    <cellStyle name="Note 16 5" xfId="3597" xr:uid="{8131911C-5A16-41EF-894C-D1F5302269F3}"/>
    <cellStyle name="Note 16 6" xfId="3502" xr:uid="{603D9D97-7863-4A6D-B0EB-A9580B2FAEB8}"/>
    <cellStyle name="Note 16 7" xfId="3580" xr:uid="{BED594F7-FA53-4364-9CC0-778AAB5CAD19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3" xfId="3600" xr:uid="{9EFFD535-8913-41C9-8FC8-876A6483BCFF}"/>
    <cellStyle name="Note 17 2 4" xfId="3505" xr:uid="{F4725E1E-A07F-4148-8EF1-A49E3146D410}"/>
    <cellStyle name="Note 17 2 5" xfId="3583" xr:uid="{11B9F321-6D64-49D5-9F92-4851464F03E5}"/>
    <cellStyle name="Note 17 3" xfId="2130" xr:uid="{00000000-0005-0000-0000-000053080000}"/>
    <cellStyle name="Note 17 4" xfId="3427" xr:uid="{0B7A7506-567B-4C2D-85CF-8C31EDD3DA18}"/>
    <cellStyle name="Note 17 5" xfId="3599" xr:uid="{8B72AC11-D642-40DC-AC37-08FFE16C6C83}"/>
    <cellStyle name="Note 17 6" xfId="3504" xr:uid="{80829611-54C9-45AD-9CAD-7A95BE0E0999}"/>
    <cellStyle name="Note 17 7" xfId="3582" xr:uid="{6AFCC7AA-21C2-496A-BB0F-ADF6CF79598A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3" xfId="3602" xr:uid="{71220966-7859-4081-9563-F69DB268C3D3}"/>
    <cellStyle name="Note 18 2 4" xfId="3507" xr:uid="{29511381-7724-4B41-BADE-3E1A80817FDA}"/>
    <cellStyle name="Note 18 2 5" xfId="3795" xr:uid="{BDE8DAA7-A769-4D0C-BBFF-901D160634C4}"/>
    <cellStyle name="Note 18 3" xfId="2135" xr:uid="{00000000-0005-0000-0000-000058080000}"/>
    <cellStyle name="Note 18 4" xfId="3428" xr:uid="{BFA75793-B912-4382-87FB-BE34A0557492}"/>
    <cellStyle name="Note 18 5" xfId="3601" xr:uid="{C3CE596E-7E97-4354-854C-A3DECF2DFE5E}"/>
    <cellStyle name="Note 18 6" xfId="3506" xr:uid="{BE15EE68-B0C4-49B4-814C-028433BF757C}"/>
    <cellStyle name="Note 18 7" xfId="3584" xr:uid="{63C32E40-D5B6-4D29-ABF3-FE16DBB1FDBD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3" xfId="3604" xr:uid="{18141D0D-89A9-4AA7-A8FB-C17400FC406A}"/>
    <cellStyle name="Note 19 2 4" xfId="3509" xr:uid="{9D6D0709-29B4-4877-A80E-D8B4AFE28813}"/>
    <cellStyle name="Note 19 2 5" xfId="3758" xr:uid="{2F64F75C-01AD-4D7A-B74D-4F184A3B7F28}"/>
    <cellStyle name="Note 19 3" xfId="2140" xr:uid="{00000000-0005-0000-0000-00005D080000}"/>
    <cellStyle name="Note 19 4" xfId="3429" xr:uid="{1A59C62A-2ED0-4525-9953-72CDE9CF499B}"/>
    <cellStyle name="Note 19 5" xfId="3603" xr:uid="{090DBB59-79E8-4F6C-94CC-9F12953DA8E9}"/>
    <cellStyle name="Note 19 6" xfId="3508" xr:uid="{91D23E1D-14C6-4578-8DB5-6BD7F20091F6}"/>
    <cellStyle name="Note 19 7" xfId="3757" xr:uid="{B2DA76E7-F635-4F40-A8E9-91AA07A72C5F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3" xfId="3606" xr:uid="{56210BF4-9FD8-45D8-B443-864D2737A004}"/>
    <cellStyle name="Note 2 2 4" xfId="3511" xr:uid="{3E635A80-E714-4183-A47D-012FEFF71591}"/>
    <cellStyle name="Note 2 2 5" xfId="3759" xr:uid="{592799C6-D8F8-4356-A894-9748EF617675}"/>
    <cellStyle name="Note 2 3" xfId="2145" xr:uid="{00000000-0005-0000-0000-000062080000}"/>
    <cellStyle name="Note 2 3 2" xfId="2146" xr:uid="{00000000-0005-0000-0000-000063080000}"/>
    <cellStyle name="Note 2 3 3" xfId="3607" xr:uid="{8B587E9A-6FCF-4DA7-84DF-01AA94E33BFE}"/>
    <cellStyle name="Note 2 3 4" xfId="3512" xr:uid="{1E3889ED-3D4C-4769-AAE0-5D5DE9942E30}"/>
    <cellStyle name="Note 2 3 5" xfId="3760" xr:uid="{35AA0909-926E-40D0-B4B6-2BAEAEE49EFB}"/>
    <cellStyle name="Note 2 4" xfId="2147" xr:uid="{00000000-0005-0000-0000-000064080000}"/>
    <cellStyle name="Note 2 5" xfId="3605" xr:uid="{22B1B052-9516-4C5F-9E1B-9B588F041956}"/>
    <cellStyle name="Note 2 6" xfId="3510" xr:uid="{E9FA5D7D-3A14-4F98-889F-4BCDB5944A46}"/>
    <cellStyle name="Note 2 7" xfId="3553" xr:uid="{F0AF66FE-15E4-4619-B398-CF09A7741C6C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3" xfId="3609" xr:uid="{56AC75C9-D629-42A0-B9B2-8F2B9767D02C}"/>
    <cellStyle name="Note 20 2 4" xfId="3514" xr:uid="{13288140-3559-4585-B23A-6D291D0A728C}"/>
    <cellStyle name="Note 20 2 5" xfId="3762" xr:uid="{536E5D3D-1AC5-447A-9610-DE83E2A598B3}"/>
    <cellStyle name="Note 20 3" xfId="2152" xr:uid="{00000000-0005-0000-0000-000069080000}"/>
    <cellStyle name="Note 20 4" xfId="3430" xr:uid="{2309DB13-BAB7-4E8A-8FFE-5900180062F1}"/>
    <cellStyle name="Note 20 5" xfId="3608" xr:uid="{24E75D4F-91F6-48DF-9F49-159F2110A12E}"/>
    <cellStyle name="Note 20 6" xfId="3513" xr:uid="{6A96B5D0-57E6-4C1F-928C-6FBE282E61DE}"/>
    <cellStyle name="Note 20 7" xfId="3761" xr:uid="{0DB0E089-5272-40EF-BF6D-1A8A40ABD805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3" xfId="3611" xr:uid="{292BCBB9-2E53-4403-A676-B27ADE0AD5BF}"/>
    <cellStyle name="Note 21 2 4" xfId="3516" xr:uid="{6CAFBF75-8C5A-4CF8-B744-FF886A74D667}"/>
    <cellStyle name="Note 21 2 5" xfId="3764" xr:uid="{E140E89B-8C6E-4D1F-B084-A26CFCBF764D}"/>
    <cellStyle name="Note 21 3" xfId="2157" xr:uid="{00000000-0005-0000-0000-00006E080000}"/>
    <cellStyle name="Note 21 4" xfId="3431" xr:uid="{11BC21AE-21DF-4C80-91E7-9E99C5282A0E}"/>
    <cellStyle name="Note 21 5" xfId="3610" xr:uid="{4A0E285A-B04E-4F89-B766-F2C414DC2565}"/>
    <cellStyle name="Note 21 6" xfId="3515" xr:uid="{28F68D4C-B364-49F2-A4E6-2A3C951E0A38}"/>
    <cellStyle name="Note 21 7" xfId="3763" xr:uid="{3A32D439-A0FA-4DD3-B376-A010D7BAF62B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3" xfId="3613" xr:uid="{3E4274D9-054A-468B-9869-397EE68EF418}"/>
    <cellStyle name="Note 22 2 4" xfId="3518" xr:uid="{03E90D4A-E753-4624-8665-C2012C2C5E74}"/>
    <cellStyle name="Note 22 2 5" xfId="3766" xr:uid="{4AF8C6FF-688F-43CD-B1BD-CB7E8F4E103D}"/>
    <cellStyle name="Note 22 3" xfId="2162" xr:uid="{00000000-0005-0000-0000-000073080000}"/>
    <cellStyle name="Note 22 4" xfId="3432" xr:uid="{BE733268-6C69-473C-8238-E8F037B4042B}"/>
    <cellStyle name="Note 22 5" xfId="3612" xr:uid="{A9FE83E3-90F7-4555-BF9D-46F1B6E4D64C}"/>
    <cellStyle name="Note 22 6" xfId="3517" xr:uid="{E52E7E17-F8B2-4CC6-8D81-F181FEAC1766}"/>
    <cellStyle name="Note 22 7" xfId="3765" xr:uid="{A9FC3307-90CB-439F-94AE-EEBC764278FC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3" xfId="3615" xr:uid="{69B0BF83-C1F6-4226-BADB-9DF556AC4B30}"/>
    <cellStyle name="Note 23 2 4" xfId="3520" xr:uid="{7FD9FDEE-5316-4FEF-A4E7-D5C072204C65}"/>
    <cellStyle name="Note 23 2 5" xfId="3768" xr:uid="{BB5DA7B1-A0A7-4EFA-B228-A6F57663C3EA}"/>
    <cellStyle name="Note 23 3" xfId="2167" xr:uid="{00000000-0005-0000-0000-000078080000}"/>
    <cellStyle name="Note 23 4" xfId="3433" xr:uid="{DE50E1BF-C6A2-4BDA-BD5F-72171F71704F}"/>
    <cellStyle name="Note 23 5" xfId="3614" xr:uid="{776D10D9-9314-46AB-B6A0-A183E69C5D39}"/>
    <cellStyle name="Note 23 6" xfId="3519" xr:uid="{B1A50398-7FF2-47B8-931B-CCA71CE1AF98}"/>
    <cellStyle name="Note 23 7" xfId="3767" xr:uid="{80FDAF4D-9E52-466B-AD5E-3D3FDF0FD572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3" xfId="3617" xr:uid="{37EB98A2-CC26-4A46-9CED-408F7BFBC736}"/>
    <cellStyle name="Note 24 2 4" xfId="3562" xr:uid="{43D80C41-D934-4B61-9007-665AB65FD1AE}"/>
    <cellStyle name="Note 24 2 5" xfId="3793" xr:uid="{CBEC898A-29FE-429F-828B-D6638F81500B}"/>
    <cellStyle name="Note 24 3" xfId="2172" xr:uid="{00000000-0005-0000-0000-00007D080000}"/>
    <cellStyle name="Note 24 4" xfId="3434" xr:uid="{95D1A0BE-4B17-401D-AF9D-FD63125E9527}"/>
    <cellStyle name="Note 24 5" xfId="3616" xr:uid="{BC982186-A831-47C8-ACB5-7461BBB34262}"/>
    <cellStyle name="Note 24 6" xfId="3521" xr:uid="{668B5F10-832A-4004-8143-D4EE504F7547}"/>
    <cellStyle name="Note 24 7" xfId="3769" xr:uid="{98D3CE58-D41C-45DE-81BB-2A45F34ECF18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3" xfId="3619" xr:uid="{81D02914-9932-49C9-82F6-F4C2507C4EA2}"/>
    <cellStyle name="Note 25 2 4" xfId="3797" xr:uid="{5D17C4D4-2CED-4CE9-8CB1-F4917A669DDB}"/>
    <cellStyle name="Note 25 2 5" xfId="3960" xr:uid="{DD723ECB-0268-4260-85FD-A8EF9A235B88}"/>
    <cellStyle name="Note 25 3" xfId="2177" xr:uid="{00000000-0005-0000-0000-000082080000}"/>
    <cellStyle name="Note 25 4" xfId="3435" xr:uid="{8E35CB1D-A0DA-4DF9-A974-4EFDBCFFB010}"/>
    <cellStyle name="Note 25 5" xfId="3618" xr:uid="{CE1CF82A-B1F9-471A-8B89-24DA33BEAD78}"/>
    <cellStyle name="Note 25 6" xfId="3796" xr:uid="{32D63FF5-4DF2-4059-821D-02E000F8B87A}"/>
    <cellStyle name="Note 25 7" xfId="3959" xr:uid="{345EC956-7BCF-4C74-BDA2-079315A9C3C7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3" xfId="3621" xr:uid="{EC6FDFFB-CEF2-407F-8747-8880516E7745}"/>
    <cellStyle name="Note 26 2 4" xfId="3799" xr:uid="{E00C37F8-B019-4AC9-A8CD-2298EB067C51}"/>
    <cellStyle name="Note 26 2 5" xfId="3962" xr:uid="{5B5CF345-53E5-483C-81FF-FEFC7F376A3B}"/>
    <cellStyle name="Note 26 3" xfId="2182" xr:uid="{00000000-0005-0000-0000-000087080000}"/>
    <cellStyle name="Note 26 4" xfId="3436" xr:uid="{527064B0-4357-44DB-B38E-F5B4D3C21301}"/>
    <cellStyle name="Note 26 5" xfId="3620" xr:uid="{070985B8-709C-4B28-B4C9-9EF34E8679C1}"/>
    <cellStyle name="Note 26 6" xfId="3798" xr:uid="{A429C8F1-A46B-4955-BD02-F8005A85FBF5}"/>
    <cellStyle name="Note 26 7" xfId="3961" xr:uid="{CADC0AC6-A4A9-4781-9FE8-A49FA7EBF24C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3" xfId="3623" xr:uid="{D2344706-45A8-482A-A916-F747D8F9473D}"/>
    <cellStyle name="Note 27 2 4" xfId="3801" xr:uid="{D47D5EF0-0CCE-4AE5-AC01-A20A450D4112}"/>
    <cellStyle name="Note 27 2 5" xfId="3964" xr:uid="{5D1FEFA5-18CF-4478-9FDE-1574E689D318}"/>
    <cellStyle name="Note 27 3" xfId="2187" xr:uid="{00000000-0005-0000-0000-00008C080000}"/>
    <cellStyle name="Note 27 4" xfId="3437" xr:uid="{0D75F5A0-2687-470E-8CEE-9F5F87D15F08}"/>
    <cellStyle name="Note 27 5" xfId="3622" xr:uid="{5319D186-6E19-4578-AD6C-AF487A6057BA}"/>
    <cellStyle name="Note 27 6" xfId="3800" xr:uid="{25249F8A-E3E0-4520-A408-4C37E226A92B}"/>
    <cellStyle name="Note 27 7" xfId="3963" xr:uid="{E9443808-8F5E-46BE-A553-B0EB163D1FA3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3" xfId="3625" xr:uid="{8D42A8A6-3FA8-4AF5-AA3D-FD80912BA1CD}"/>
    <cellStyle name="Note 28 2 4" xfId="3803" xr:uid="{07A0ACD3-01D4-4D5C-8059-893534B9B300}"/>
    <cellStyle name="Note 28 2 5" xfId="3966" xr:uid="{1CF4E514-EE93-4C64-8B8F-DB0406FEBFAA}"/>
    <cellStyle name="Note 28 3" xfId="2192" xr:uid="{00000000-0005-0000-0000-000091080000}"/>
    <cellStyle name="Note 28 4" xfId="3438" xr:uid="{716EA950-5B24-413C-B309-A638A317921A}"/>
    <cellStyle name="Note 28 5" xfId="3624" xr:uid="{F3E4160B-877F-4B39-9C95-792D901671F1}"/>
    <cellStyle name="Note 28 6" xfId="3802" xr:uid="{5D1EB7AB-D4E6-41D1-936A-BC7A495957B5}"/>
    <cellStyle name="Note 28 7" xfId="3965" xr:uid="{EB21C4C3-6CB3-416B-AEF7-4C763AA35C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3" xfId="3627" xr:uid="{AE1C4A4D-1DF9-4A8E-8CFC-98125642C3E1}"/>
    <cellStyle name="Note 29 2 4" xfId="3805" xr:uid="{7AFE6304-B0C8-4198-9B88-807CDF164810}"/>
    <cellStyle name="Note 29 2 5" xfId="3968" xr:uid="{EFF07C76-C1A4-4A2C-A0AD-FD489D2854CE}"/>
    <cellStyle name="Note 29 3" xfId="2197" xr:uid="{00000000-0005-0000-0000-000096080000}"/>
    <cellStyle name="Note 29 4" xfId="3439" xr:uid="{0DDD039E-C215-42E8-9172-E29A4E93F659}"/>
    <cellStyle name="Note 29 5" xfId="3626" xr:uid="{AF1B7953-6F97-47E6-A425-36156CA08739}"/>
    <cellStyle name="Note 29 6" xfId="3804" xr:uid="{5D3F1186-C0CF-4357-A550-41518693607D}"/>
    <cellStyle name="Note 29 7" xfId="3967" xr:uid="{7330C8B7-8F05-422B-BAAF-DA2C670F066B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3" xfId="3629" xr:uid="{E5EC314B-0275-4B60-9CE2-9DE2404CF84A}"/>
    <cellStyle name="Note 3 2 4" xfId="3807" xr:uid="{37FFBDBF-F65C-409E-9BD0-8C469272FDE2}"/>
    <cellStyle name="Note 3 2 5" xfId="3970" xr:uid="{BC3E8F76-C233-4944-9624-E58A21E777A9}"/>
    <cellStyle name="Note 3 3" xfId="2202" xr:uid="{00000000-0005-0000-0000-00009B080000}"/>
    <cellStyle name="Note 3 4" xfId="3628" xr:uid="{6001FF66-2E66-4BAD-9B96-07302AC93BFC}"/>
    <cellStyle name="Note 3 5" xfId="3806" xr:uid="{92E7AB2B-AF29-4A6F-8AEF-8AD2B98C5057}"/>
    <cellStyle name="Note 3 6" xfId="3969" xr:uid="{02F06159-55F3-4301-BCF7-EB11EF0C0CDC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3" xfId="3631" xr:uid="{50E52C2F-3043-4051-BA3E-9D6B079B4F1B}"/>
    <cellStyle name="Note 30 2 4" xfId="3809" xr:uid="{C3639A4C-FD3D-4046-BC53-A003AAC7A73D}"/>
    <cellStyle name="Note 30 2 5" xfId="3972" xr:uid="{1EF24638-ED53-457D-B260-6AA84ABF2A3D}"/>
    <cellStyle name="Note 30 3" xfId="2207" xr:uid="{00000000-0005-0000-0000-0000A0080000}"/>
    <cellStyle name="Note 30 4" xfId="3440" xr:uid="{EA7FEE82-00A4-46DB-895C-B1A8815C7E88}"/>
    <cellStyle name="Note 30 5" xfId="3630" xr:uid="{316FCCE9-ED81-4F81-A167-89685965A946}"/>
    <cellStyle name="Note 30 6" xfId="3808" xr:uid="{CAA37EF7-0D4D-4B47-8B7D-5424B433E075}"/>
    <cellStyle name="Note 30 7" xfId="3971" xr:uid="{378AE095-E1D6-4E63-9F9B-38C3371D3BD1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3" xfId="3633" xr:uid="{54EE42DA-EDBC-4E3D-A029-F5736A2F798E}"/>
    <cellStyle name="Note 31 2 4" xfId="3811" xr:uid="{59EF2B11-2CF6-4DFF-BFBD-A16A26AB1E0A}"/>
    <cellStyle name="Note 31 2 5" xfId="3974" xr:uid="{058C8376-9C0B-430D-84FD-8AAA1209B694}"/>
    <cellStyle name="Note 31 3" xfId="2212" xr:uid="{00000000-0005-0000-0000-0000A5080000}"/>
    <cellStyle name="Note 31 4" xfId="3441" xr:uid="{CC79528F-CE2A-43CB-8C9D-12130E82D34B}"/>
    <cellStyle name="Note 31 5" xfId="3632" xr:uid="{AB201147-E3F9-4D59-98E8-0F69696EAF96}"/>
    <cellStyle name="Note 31 6" xfId="3810" xr:uid="{77B0F978-A8EC-4FC1-8B97-A050EE93BE3A}"/>
    <cellStyle name="Note 31 7" xfId="3973" xr:uid="{BECFE8C8-028B-4BF4-9B8F-A752AE488B27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3" xfId="3635" xr:uid="{F35C8152-53A2-4553-8D3D-2799DC0CA86A}"/>
    <cellStyle name="Note 32 2 4" xfId="3813" xr:uid="{D904CA34-4A1A-4646-8D19-FC6867F0EC35}"/>
    <cellStyle name="Note 32 2 5" xfId="3976" xr:uid="{F9DF430F-BBED-4AD4-90A9-4FF282EBC079}"/>
    <cellStyle name="Note 32 3" xfId="2217" xr:uid="{00000000-0005-0000-0000-0000AA080000}"/>
    <cellStyle name="Note 32 4" xfId="3442" xr:uid="{72637CD6-3928-4A60-A671-F272C3314467}"/>
    <cellStyle name="Note 32 5" xfId="3634" xr:uid="{F2B7AFDB-83A7-464B-AF7D-228BA417AA34}"/>
    <cellStyle name="Note 32 6" xfId="3812" xr:uid="{6DF620FF-EBEB-41C5-A33C-8CFBAC269630}"/>
    <cellStyle name="Note 32 7" xfId="3975" xr:uid="{8F56DE3E-9F36-4689-B245-D581CFBB1DBA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3" xfId="3637" xr:uid="{601BB103-EC97-43E8-9386-8EC4965FB0A0}"/>
    <cellStyle name="Note 33 2 4" xfId="3815" xr:uid="{9D512F3E-1E3A-4305-863F-E3299351192F}"/>
    <cellStyle name="Note 33 2 5" xfId="3978" xr:uid="{9224C3AF-57A1-4DD7-BEBA-801881D1D1EF}"/>
    <cellStyle name="Note 33 3" xfId="2222" xr:uid="{00000000-0005-0000-0000-0000AF080000}"/>
    <cellStyle name="Note 33 4" xfId="3443" xr:uid="{6B9955D6-8121-4AB3-AD2A-B9A2BAC5BA64}"/>
    <cellStyle name="Note 33 5" xfId="3636" xr:uid="{C6AF34DD-47DB-4748-B743-FAB484796AD9}"/>
    <cellStyle name="Note 33 6" xfId="3814" xr:uid="{F1FFEC14-7D5D-49DD-984F-E2D3F4A9B106}"/>
    <cellStyle name="Note 33 7" xfId="3977" xr:uid="{44480E8C-C270-44C9-A9E7-B80C26700162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3" xfId="3639" xr:uid="{75C98086-CA60-4068-9123-944D1F0FCFDA}"/>
    <cellStyle name="Note 34 2 4" xfId="3817" xr:uid="{2DADE53F-A80E-48B7-BC25-4A2E64B61316}"/>
    <cellStyle name="Note 34 2 5" xfId="3980" xr:uid="{90560DEA-0BCA-4042-A55A-C5632AEACCD5}"/>
    <cellStyle name="Note 34 3" xfId="2227" xr:uid="{00000000-0005-0000-0000-0000B4080000}"/>
    <cellStyle name="Note 34 4" xfId="3444" xr:uid="{96B5BC7B-B0C7-41C5-8AA6-9EC6EB649B5E}"/>
    <cellStyle name="Note 34 5" xfId="3638" xr:uid="{9EAECC88-A0DB-4CE6-9E6A-17567B3AF6C7}"/>
    <cellStyle name="Note 34 6" xfId="3816" xr:uid="{0E9588CF-A482-4482-ACDB-EE5B337B23B3}"/>
    <cellStyle name="Note 34 7" xfId="3979" xr:uid="{F697C9E8-6330-46C8-8A01-6F0FED282028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3" xfId="3641" xr:uid="{D0D53E51-0B3B-4218-841B-38F17B1373B8}"/>
    <cellStyle name="Note 35 2 4" xfId="3819" xr:uid="{4FCFBC53-2EDC-4366-A036-DE4AC82854CD}"/>
    <cellStyle name="Note 35 2 5" xfId="3982" xr:uid="{D5CA4437-4EB9-48E6-BDBD-D685FDAAD30B}"/>
    <cellStyle name="Note 35 3" xfId="2232" xr:uid="{00000000-0005-0000-0000-0000B9080000}"/>
    <cellStyle name="Note 35 4" xfId="3445" xr:uid="{00321A3A-819D-4313-8689-984E9DD53150}"/>
    <cellStyle name="Note 35 5" xfId="3640" xr:uid="{9D9B8027-3FAD-46DA-9F59-8A4A437BD008}"/>
    <cellStyle name="Note 35 6" xfId="3818" xr:uid="{2E5B521A-272A-432D-B54D-EE7BBE32CEF3}"/>
    <cellStyle name="Note 35 7" xfId="3981" xr:uid="{34AE99DB-D4CE-4748-94A9-57D0880F045E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3" xfId="3643" xr:uid="{B758BD8B-A4CC-43C7-9A7C-1A09EC98CC1A}"/>
    <cellStyle name="Note 36 2 4" xfId="3821" xr:uid="{BDEEF4C1-16B2-4E71-8E4F-7B3478DECFCD}"/>
    <cellStyle name="Note 36 2 5" xfId="3984" xr:uid="{DCC21DB4-8D86-4D0F-BCF7-F4417617D612}"/>
    <cellStyle name="Note 36 3" xfId="2237" xr:uid="{00000000-0005-0000-0000-0000BE080000}"/>
    <cellStyle name="Note 36 4" xfId="3446" xr:uid="{0D51CB72-CD37-499D-B5AB-78E1BD8D5B9E}"/>
    <cellStyle name="Note 36 5" xfId="3642" xr:uid="{FB2013C0-D32B-4987-B9DB-3E9F96B6E8DE}"/>
    <cellStyle name="Note 36 6" xfId="3820" xr:uid="{DB83DA52-F836-42A7-B121-F30DD9DFF81F}"/>
    <cellStyle name="Note 36 7" xfId="3983" xr:uid="{8A51013C-13A7-4129-BFEE-D7092ECB37E5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3" xfId="3645" xr:uid="{E6D25DB0-D11B-44FC-81BA-AFBC5C40F8E2}"/>
    <cellStyle name="Note 37 2 4" xfId="3823" xr:uid="{8EC6F8AA-1953-4502-8A64-42DED30DC3C5}"/>
    <cellStyle name="Note 37 2 5" xfId="3986" xr:uid="{A9A379FF-CCBC-4613-96F5-3D3F405E62D5}"/>
    <cellStyle name="Note 37 3" xfId="2242" xr:uid="{00000000-0005-0000-0000-0000C3080000}"/>
    <cellStyle name="Note 37 4" xfId="3447" xr:uid="{6CC29687-1319-4E76-87D1-33D8FE028FDE}"/>
    <cellStyle name="Note 37 5" xfId="3644" xr:uid="{64E530DA-5568-4899-B779-74F249E1107E}"/>
    <cellStyle name="Note 37 6" xfId="3822" xr:uid="{77A96741-1956-4F29-B8EB-D8DF30097689}"/>
    <cellStyle name="Note 37 7" xfId="3985" xr:uid="{7F29F2FC-27EB-4F17-ABCA-68D4B6BD2112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3" xfId="3647" xr:uid="{ACB34D80-9EB7-4995-92B6-6789B912CBE4}"/>
    <cellStyle name="Note 38 2 4" xfId="3825" xr:uid="{95457E60-EB1A-4711-8B7B-65D54D030CD1}"/>
    <cellStyle name="Note 38 2 5" xfId="3988" xr:uid="{96F8E6D4-3BF9-489A-8508-B15B9A96B106}"/>
    <cellStyle name="Note 38 3" xfId="2247" xr:uid="{00000000-0005-0000-0000-0000C8080000}"/>
    <cellStyle name="Note 38 4" xfId="3448" xr:uid="{F6D1ACDA-170F-4063-AC0D-0D03C7096BAE}"/>
    <cellStyle name="Note 38 5" xfId="3646" xr:uid="{3CE8C515-DCE8-46DD-AA10-FC3572BDA350}"/>
    <cellStyle name="Note 38 6" xfId="3824" xr:uid="{76867624-06D8-41DF-B223-5C2E8CE763A4}"/>
    <cellStyle name="Note 38 7" xfId="3987" xr:uid="{9790B2D8-1908-46E8-8B29-18315686448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3" xfId="3649" xr:uid="{671BF032-6850-4862-AB04-D7F26F7F4085}"/>
    <cellStyle name="Note 39 2 4" xfId="3827" xr:uid="{2CC0CB31-E4D1-458C-B551-D531B981CF0D}"/>
    <cellStyle name="Note 39 2 5" xfId="3990" xr:uid="{24648EC7-1D2B-40BA-AAE1-F3593CC9EB1F}"/>
    <cellStyle name="Note 39 3" xfId="2252" xr:uid="{00000000-0005-0000-0000-0000CD080000}"/>
    <cellStyle name="Note 39 4" xfId="3449" xr:uid="{3F64B5B6-FCAB-43BD-9497-0CCD423362B8}"/>
    <cellStyle name="Note 39 5" xfId="3648" xr:uid="{6B57DCFC-A5F5-42FA-9FCB-D4A2F28270B2}"/>
    <cellStyle name="Note 39 6" xfId="3826" xr:uid="{A7014986-CB70-42FE-9EF3-9CEAC530CF7B}"/>
    <cellStyle name="Note 39 7" xfId="3989" xr:uid="{DC7523BC-9F3C-4387-A6DE-C2A87E7F3B2F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3" xfId="3651" xr:uid="{2035035D-082B-44FA-A8BF-3F1DE574A214}"/>
    <cellStyle name="Note 4 2 4" xfId="3829" xr:uid="{2DA32CE3-1F7F-4A68-83FF-AE5DEB5E8B99}"/>
    <cellStyle name="Note 4 2 5" xfId="3992" xr:uid="{CC6003F8-AED9-4A6B-8BC0-D7A505C6A7D9}"/>
    <cellStyle name="Note 4 3" xfId="2257" xr:uid="{00000000-0005-0000-0000-0000D2080000}"/>
    <cellStyle name="Note 4 4" xfId="3650" xr:uid="{087025BE-98E8-42B4-97F2-11676BD12841}"/>
    <cellStyle name="Note 4 5" xfId="3828" xr:uid="{AFC11E5E-37AA-40CC-B903-A7EEB3FA2E65}"/>
    <cellStyle name="Note 4 6" xfId="3991" xr:uid="{24D4AFD2-3F9E-400E-AC93-91DBD27A32EF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3" xfId="3653" xr:uid="{A80E3720-6477-434A-9F73-9153C9680FAC}"/>
    <cellStyle name="Note 40 2 4" xfId="3831" xr:uid="{6030385E-7A93-4606-B488-B0AEBA86BFA8}"/>
    <cellStyle name="Note 40 2 5" xfId="3994" xr:uid="{270EABA6-0F1F-4553-A7C3-B138D9889BF9}"/>
    <cellStyle name="Note 40 3" xfId="2262" xr:uid="{00000000-0005-0000-0000-0000D7080000}"/>
    <cellStyle name="Note 40 4" xfId="3450" xr:uid="{2C32764E-6680-432F-93D8-3E1F8068F46D}"/>
    <cellStyle name="Note 40 5" xfId="3652" xr:uid="{7799557A-92B2-46A7-A2C6-A61C217E2BCA}"/>
    <cellStyle name="Note 40 6" xfId="3830" xr:uid="{8609367C-7D59-4B69-ADE0-289F45B30ADF}"/>
    <cellStyle name="Note 40 7" xfId="3993" xr:uid="{7F24DB52-F520-4BDE-A78B-3F93BE2988F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3" xfId="3655" xr:uid="{82AD2C35-3E9D-43ED-B578-2E77605728C4}"/>
    <cellStyle name="Note 41 2 4" xfId="3833" xr:uid="{861C6133-DC54-4637-8714-CDFB44ED8F24}"/>
    <cellStyle name="Note 41 2 5" xfId="3996" xr:uid="{EB3FF950-213D-435D-A6DF-3D8A4A279ECB}"/>
    <cellStyle name="Note 41 3" xfId="2267" xr:uid="{00000000-0005-0000-0000-0000DC080000}"/>
    <cellStyle name="Note 41 4" xfId="3451" xr:uid="{C559D280-4571-4061-B3AE-ED73097079B8}"/>
    <cellStyle name="Note 41 5" xfId="3654" xr:uid="{4506E3B5-B7FC-433E-BB43-87347824A48A}"/>
    <cellStyle name="Note 41 6" xfId="3832" xr:uid="{DF31049E-1133-4EAA-B3A2-92966EC1BF1C}"/>
    <cellStyle name="Note 41 7" xfId="3995" xr:uid="{C701AA7B-D2A8-4B6B-B0B8-8FE02E55CB65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3" xfId="3657" xr:uid="{11E8EE98-357F-47C8-9D5E-043A7A18366C}"/>
    <cellStyle name="Note 42 2 4" xfId="3835" xr:uid="{1941B3DE-9AE3-4D15-B021-5C4FEB7CA16B}"/>
    <cellStyle name="Note 42 2 5" xfId="3998" xr:uid="{E2CA0DEE-B9F6-4F2A-BEDE-C8619E97F133}"/>
    <cellStyle name="Note 42 3" xfId="2272" xr:uid="{00000000-0005-0000-0000-0000E1080000}"/>
    <cellStyle name="Note 42 4" xfId="3452" xr:uid="{646EB2CD-9328-4165-B4E2-7BFE67353115}"/>
    <cellStyle name="Note 42 5" xfId="3656" xr:uid="{F8E23DE6-C707-447B-B0F2-D777855ABC80}"/>
    <cellStyle name="Note 42 6" xfId="3834" xr:uid="{66A0864E-EECC-4075-8221-07695504B97C}"/>
    <cellStyle name="Note 42 7" xfId="3997" xr:uid="{58BC9627-F8F8-45BB-B6FE-57D7CDE8AA62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3" xfId="3659" xr:uid="{876864D9-C7E7-49EB-90A4-C060D450ECB3}"/>
    <cellStyle name="Note 43 2 4" xfId="3837" xr:uid="{C8622E4A-9C2A-4B35-85B0-6CBD2A7C8864}"/>
    <cellStyle name="Note 43 2 5" xfId="4000" xr:uid="{00736B5A-E220-4B75-830D-1745A327264E}"/>
    <cellStyle name="Note 43 3" xfId="2277" xr:uid="{00000000-0005-0000-0000-0000E6080000}"/>
    <cellStyle name="Note 43 4" xfId="3453" xr:uid="{D5BEC440-DC3C-4D20-A956-D754FC298DEB}"/>
    <cellStyle name="Note 43 5" xfId="3658" xr:uid="{EDE8035A-BA5D-4497-9477-EE1BAED7C4CA}"/>
    <cellStyle name="Note 43 6" xfId="3836" xr:uid="{B5F79D66-46A8-4B93-91DD-4205C7BAC94A}"/>
    <cellStyle name="Note 43 7" xfId="3999" xr:uid="{D639F1C2-07E8-4591-ABAE-7C17E27F7985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3" xfId="3661" xr:uid="{87F0371E-E873-4349-B91F-D09413F90AF7}"/>
    <cellStyle name="Note 44 2 4" xfId="3839" xr:uid="{BA2A3D68-AB9A-44BA-B858-1F65035D03F2}"/>
    <cellStyle name="Note 44 2 5" xfId="4002" xr:uid="{66EEA832-41F4-47BD-AFCE-B8C5780A2EA4}"/>
    <cellStyle name="Note 44 3" xfId="2282" xr:uid="{00000000-0005-0000-0000-0000EB080000}"/>
    <cellStyle name="Note 44 4" xfId="3454" xr:uid="{788A94B4-5EC4-44B1-B9A8-A14C61FD8AF3}"/>
    <cellStyle name="Note 44 5" xfId="3660" xr:uid="{A1AD88EB-4980-41D0-84BD-BEDDF36C590F}"/>
    <cellStyle name="Note 44 6" xfId="3838" xr:uid="{32124B31-FBDC-4705-9F19-982C7585CB86}"/>
    <cellStyle name="Note 44 7" xfId="4001" xr:uid="{AA82654D-0C04-47E3-A0B7-01716EEFF26E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3" xfId="3663" xr:uid="{92C4B0BF-3E8D-4E68-A7FB-30DB36CC8DAD}"/>
    <cellStyle name="Note 45 2 4" xfId="3841" xr:uid="{5EB54988-4973-41AE-9C8E-9ECD25FB246E}"/>
    <cellStyle name="Note 45 2 5" xfId="4004" xr:uid="{6396064F-43FB-4352-84C0-25FD5CB50ED7}"/>
    <cellStyle name="Note 45 3" xfId="2287" xr:uid="{00000000-0005-0000-0000-0000F0080000}"/>
    <cellStyle name="Note 45 4" xfId="3455" xr:uid="{84458A2E-15EE-47BB-9869-D6713E9E16D4}"/>
    <cellStyle name="Note 45 5" xfId="3662" xr:uid="{E7FEB235-C58D-497B-B675-A6059C5E9B88}"/>
    <cellStyle name="Note 45 6" xfId="3840" xr:uid="{58F6E172-96A3-4128-99AA-6F9451D4240E}"/>
    <cellStyle name="Note 45 7" xfId="4003" xr:uid="{05EBBDD5-D613-4C2B-A851-C8C443657793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3" xfId="3665" xr:uid="{D9A47A2C-C268-4A23-8DA8-B410A1BBE643}"/>
    <cellStyle name="Note 46 2 4" xfId="3843" xr:uid="{0C6E9396-9ABF-4DFD-8E7F-BC4FD60E85FC}"/>
    <cellStyle name="Note 46 2 5" xfId="4006" xr:uid="{3E3B9613-D7B4-4795-99CE-579C44A65CF7}"/>
    <cellStyle name="Note 46 3" xfId="2292" xr:uid="{00000000-0005-0000-0000-0000F5080000}"/>
    <cellStyle name="Note 46 4" xfId="3456" xr:uid="{2279909B-B363-428C-B828-E4321D163E0D}"/>
    <cellStyle name="Note 46 5" xfId="3664" xr:uid="{1AAE9E2D-1686-40AB-AB44-1F72BA2D2216}"/>
    <cellStyle name="Note 46 6" xfId="3842" xr:uid="{4E4023E3-AE6A-46BC-B80F-8520DE64B46B}"/>
    <cellStyle name="Note 46 7" xfId="4005" xr:uid="{AC56856C-F538-4CA6-80A7-3432E672F0AB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3" xfId="3667" xr:uid="{45F6C3F0-B0AC-47A4-8125-4C22AF344D26}"/>
    <cellStyle name="Note 47 2 4" xfId="3845" xr:uid="{94AFF035-3412-4B6F-ACE2-0E5E072B6C68}"/>
    <cellStyle name="Note 47 2 5" xfId="4008" xr:uid="{7FD56E46-B3DE-4279-A3E6-E0C51B9657FD}"/>
    <cellStyle name="Note 47 3" xfId="2297" xr:uid="{00000000-0005-0000-0000-0000FA080000}"/>
    <cellStyle name="Note 47 4" xfId="3457" xr:uid="{656697A8-1329-411D-BFC7-C7909AD88248}"/>
    <cellStyle name="Note 47 5" xfId="3666" xr:uid="{9E146980-10FC-492A-9A49-29608DB2CCA7}"/>
    <cellStyle name="Note 47 6" xfId="3844" xr:uid="{F5BCA7F1-53CD-4CFD-BE35-822827F4F655}"/>
    <cellStyle name="Note 47 7" xfId="4007" xr:uid="{7A0BFC24-317F-4851-A595-0A585BEE15B3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3" xfId="3669" xr:uid="{81D1A7DD-9502-4BDF-8D3A-B7DF8E007CED}"/>
    <cellStyle name="Note 48 2 4" xfId="3847" xr:uid="{70B028E1-A250-497A-8646-D63A1E38FB69}"/>
    <cellStyle name="Note 48 2 5" xfId="4010" xr:uid="{69D29F14-A57A-458D-946D-3589B094BCF7}"/>
    <cellStyle name="Note 48 3" xfId="2302" xr:uid="{00000000-0005-0000-0000-0000FF080000}"/>
    <cellStyle name="Note 48 4" xfId="3458" xr:uid="{821098E7-44C2-41FF-AD2F-66A77CDC6B65}"/>
    <cellStyle name="Note 48 5" xfId="3668" xr:uid="{F7C97783-C245-4B55-8BE5-B9272F5C3EED}"/>
    <cellStyle name="Note 48 6" xfId="3846" xr:uid="{05FDA199-6D8D-4754-B408-D4E057BCC331}"/>
    <cellStyle name="Note 48 7" xfId="4009" xr:uid="{094566D2-733E-47E8-8BA3-5E1DAF01CC9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3" xfId="3671" xr:uid="{5AA6229F-0B5F-4D35-8B6C-19B9FDE852FA}"/>
    <cellStyle name="Note 49 2 4" xfId="3849" xr:uid="{91232ADB-2AA4-49CA-831E-55F81987D225}"/>
    <cellStyle name="Note 49 2 5" xfId="4012" xr:uid="{74A7DD19-B77B-4CD7-91DE-194F27F1BF5C}"/>
    <cellStyle name="Note 49 3" xfId="2307" xr:uid="{00000000-0005-0000-0000-000004090000}"/>
    <cellStyle name="Note 49 4" xfId="3459" xr:uid="{7A52C390-AF2D-41A7-A4A5-E5E8BF06C53D}"/>
    <cellStyle name="Note 49 5" xfId="3670" xr:uid="{EA220DAF-17A6-49BD-98CF-9257A0C3C6C5}"/>
    <cellStyle name="Note 49 6" xfId="3848" xr:uid="{687B6AC1-9283-494A-A559-655BD2F1502C}"/>
    <cellStyle name="Note 49 7" xfId="4011" xr:uid="{AA2705C1-93F5-40C4-8A9E-D8D122EF73A8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3" xfId="3673" xr:uid="{BB698A34-640C-4E3E-9080-513479D5E9AE}"/>
    <cellStyle name="Note 5 2 4" xfId="3851" xr:uid="{AFE85908-BB92-4452-8D17-9AFBA084D872}"/>
    <cellStyle name="Note 5 2 5" xfId="4014" xr:uid="{2F065EC8-8813-4CA2-8691-44D6B17E5705}"/>
    <cellStyle name="Note 5 3" xfId="2312" xr:uid="{00000000-0005-0000-0000-000009090000}"/>
    <cellStyle name="Note 5 4" xfId="3672" xr:uid="{7C928A6D-F44F-41CA-8D25-666F19A0DF96}"/>
    <cellStyle name="Note 5 5" xfId="3850" xr:uid="{3D3A7C66-930E-4756-94A5-9F97633EBE11}"/>
    <cellStyle name="Note 5 6" xfId="4013" xr:uid="{864C1ED8-FF13-4361-8410-D1CFD465820D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3" xfId="3675" xr:uid="{9DF52E49-9158-448D-B28D-B364CFA37A64}"/>
    <cellStyle name="Note 50 2 4" xfId="3853" xr:uid="{66875A99-3DA9-4B31-A633-D7AD6753FBA5}"/>
    <cellStyle name="Note 50 2 5" xfId="4016" xr:uid="{3ECE597F-3791-4965-B98D-1A457B8770C0}"/>
    <cellStyle name="Note 50 3" xfId="2317" xr:uid="{00000000-0005-0000-0000-00000E090000}"/>
    <cellStyle name="Note 50 4" xfId="3460" xr:uid="{1F69CBCA-DD3B-441B-85D8-9095BB17CBA9}"/>
    <cellStyle name="Note 50 5" xfId="3674" xr:uid="{901D1345-B313-4D6E-A090-CDB14F03C8B6}"/>
    <cellStyle name="Note 50 6" xfId="3852" xr:uid="{B680C44E-D70F-44CF-9890-F2D0BF1505B0}"/>
    <cellStyle name="Note 50 7" xfId="4015" xr:uid="{62FBEBB6-F77C-409A-B1FD-B0CA35AC5F6D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3" xfId="3677" xr:uid="{1F4E22FC-DA75-4E39-8830-26FE43860DCF}"/>
    <cellStyle name="Note 51 2 4" xfId="3855" xr:uid="{01F547B9-C9D7-405B-81D3-2DC0C4F6879C}"/>
    <cellStyle name="Note 51 2 5" xfId="4018" xr:uid="{71EF6A03-929B-4DF0-8412-5A2E2B8723DB}"/>
    <cellStyle name="Note 51 3" xfId="2322" xr:uid="{00000000-0005-0000-0000-000013090000}"/>
    <cellStyle name="Note 51 4" xfId="3461" xr:uid="{B65CA372-13F8-448A-8A62-3BFC3582FE6E}"/>
    <cellStyle name="Note 51 5" xfId="3676" xr:uid="{9CDDABC8-24D4-4F23-B9C7-3E38062AAF25}"/>
    <cellStyle name="Note 51 6" xfId="3854" xr:uid="{E9FF13BB-1CC8-4BC2-83CF-8529432FC1BE}"/>
    <cellStyle name="Note 51 7" xfId="4017" xr:uid="{D80B7813-E010-4E2F-A833-3D8D5E171204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3" xfId="3679" xr:uid="{6FC12C0A-1FB8-431A-8D7E-7037EB03FCE9}"/>
    <cellStyle name="Note 52 2 4" xfId="3857" xr:uid="{D36B1D38-B4FF-429F-B4B5-B1744AE4874C}"/>
    <cellStyle name="Note 52 2 5" xfId="4020" xr:uid="{B45D5F7D-1DAC-494A-8BCE-7923DFC85B7E}"/>
    <cellStyle name="Note 52 3" xfId="2327" xr:uid="{00000000-0005-0000-0000-000018090000}"/>
    <cellStyle name="Note 52 4" xfId="3462" xr:uid="{2814B1B7-93AC-4E96-A1F4-2E75408EAD73}"/>
    <cellStyle name="Note 52 5" xfId="3678" xr:uid="{11EF3257-C5F5-42AB-BB43-4686255AF0D8}"/>
    <cellStyle name="Note 52 6" xfId="3856" xr:uid="{06B3D7CC-6C78-4950-94BD-C4A9617F5156}"/>
    <cellStyle name="Note 52 7" xfId="4019" xr:uid="{F09DD933-230B-4767-A6F9-64F5F58ACC29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3" xfId="3681" xr:uid="{742612DD-19BA-4562-AA62-22F707E86CE6}"/>
    <cellStyle name="Note 53 2 4" xfId="3859" xr:uid="{25842A1D-5818-4CAA-892C-BF180EB19E62}"/>
    <cellStyle name="Note 53 2 5" xfId="4022" xr:uid="{FD0ADBED-C7E8-407E-B018-283126C9C892}"/>
    <cellStyle name="Note 53 3" xfId="2332" xr:uid="{00000000-0005-0000-0000-00001D090000}"/>
    <cellStyle name="Note 53 4" xfId="3463" xr:uid="{9E47EB8F-B0FD-4B04-853D-D4BA0D071E87}"/>
    <cellStyle name="Note 53 5" xfId="3680" xr:uid="{6CDA5E9A-E2A2-4515-83B8-D76249293FF5}"/>
    <cellStyle name="Note 53 6" xfId="3858" xr:uid="{713D9F27-C811-4A48-85A1-D9FEEA3EA9F7}"/>
    <cellStyle name="Note 53 7" xfId="4021" xr:uid="{8F974F09-6DB8-425F-A688-D75890A6F473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3" xfId="3683" xr:uid="{0560B79D-F377-4648-BF39-8EC5FE2355C6}"/>
    <cellStyle name="Note 54 2 4" xfId="3861" xr:uid="{FAB078F0-BEC3-425C-85F6-6A256F027376}"/>
    <cellStyle name="Note 54 2 5" xfId="4024" xr:uid="{024E29F8-F57A-48E2-8E7C-4702DA992B7F}"/>
    <cellStyle name="Note 54 3" xfId="2337" xr:uid="{00000000-0005-0000-0000-000022090000}"/>
    <cellStyle name="Note 54 4" xfId="3465" xr:uid="{22713DE7-9412-4C72-A3DB-84058A93879F}"/>
    <cellStyle name="Note 54 5" xfId="3682" xr:uid="{986AD3DB-654C-4F7E-8F71-B630DCC7D16F}"/>
    <cellStyle name="Note 54 6" xfId="3860" xr:uid="{1DB8735D-F942-43DC-9DE3-B46BCD7105E3}"/>
    <cellStyle name="Note 54 7" xfId="4023" xr:uid="{10102110-5DBD-4BAB-BD29-4C02D4706327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3" xfId="3685" xr:uid="{FDB1D6FE-4178-4820-8533-DBFC536F4317}"/>
    <cellStyle name="Note 55 2 4" xfId="3863" xr:uid="{9EC13077-13C7-4804-BE1D-DC53228344C3}"/>
    <cellStyle name="Note 55 2 5" xfId="4026" xr:uid="{F91D1D9A-3545-4C0D-BF5C-CFEA75EC2A0A}"/>
    <cellStyle name="Note 55 3" xfId="2342" xr:uid="{00000000-0005-0000-0000-000027090000}"/>
    <cellStyle name="Note 55 4" xfId="3466" xr:uid="{89697434-CD7B-4583-AADB-E796B1E8CB0E}"/>
    <cellStyle name="Note 55 5" xfId="3684" xr:uid="{6772AE6C-18EE-462E-91A3-64BC70A374A6}"/>
    <cellStyle name="Note 55 6" xfId="3862" xr:uid="{CE1E6125-2033-4169-B2E0-4BEFBE777714}"/>
    <cellStyle name="Note 55 7" xfId="4025" xr:uid="{B6427D9D-471D-4C4F-AD78-DC523C21D3FE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3" xfId="3687" xr:uid="{DF8A9CC2-42B8-45A1-BEE5-A327B4A1CF46}"/>
    <cellStyle name="Note 56 2 4" xfId="3865" xr:uid="{6ABFED78-0FC8-48AC-9B3D-B83D8A229496}"/>
    <cellStyle name="Note 56 2 5" xfId="4028" xr:uid="{29C3E157-A51D-493A-9DDC-01D00C98BF0A}"/>
    <cellStyle name="Note 56 3" xfId="2347" xr:uid="{00000000-0005-0000-0000-00002C090000}"/>
    <cellStyle name="Note 56 4" xfId="3467" xr:uid="{2B17C3AD-7D3D-4D3E-9221-083FA56B563A}"/>
    <cellStyle name="Note 56 5" xfId="3686" xr:uid="{52C9CC34-569C-4516-9A52-83D1A0D2A897}"/>
    <cellStyle name="Note 56 6" xfId="3864" xr:uid="{7922BB4C-9C72-4F92-87B5-4C08DC2D5888}"/>
    <cellStyle name="Note 56 7" xfId="4027" xr:uid="{F7FB6D62-F9E5-463A-AA33-D2DAFB96AF51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3" xfId="3689" xr:uid="{673A6F6D-4A6F-4D58-97E3-D5CCBBDDD7F1}"/>
    <cellStyle name="Note 57 2 4" xfId="3867" xr:uid="{5335EB49-A75B-4B98-BD9A-2783153A9473}"/>
    <cellStyle name="Note 57 2 5" xfId="4030" xr:uid="{634ADE42-2109-4D35-999A-901AFF2196EC}"/>
    <cellStyle name="Note 57 3" xfId="2352" xr:uid="{00000000-0005-0000-0000-000031090000}"/>
    <cellStyle name="Note 57 4" xfId="3468" xr:uid="{DE2ABD8F-4843-4F97-A685-CB89737ABA6D}"/>
    <cellStyle name="Note 57 5" xfId="3688" xr:uid="{0D1C7FEC-C7EC-49B7-BC0C-4F680DA3898F}"/>
    <cellStyle name="Note 57 6" xfId="3866" xr:uid="{31930B00-D62F-4B15-802A-E07F36EBF945}"/>
    <cellStyle name="Note 57 7" xfId="4029" xr:uid="{0D62BAFA-5AF7-40E4-B404-2E0C1D0A3DC5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3" xfId="3691" xr:uid="{94864819-21D8-401A-8B6C-EB1009F5C6D1}"/>
    <cellStyle name="Note 58 2 4" xfId="3869" xr:uid="{CABE9C4D-5B37-4B74-9EB8-CA4E536E12F9}"/>
    <cellStyle name="Note 58 2 5" xfId="4032" xr:uid="{DDD7F7F4-6267-4004-AF90-D822EFB1DF06}"/>
    <cellStyle name="Note 58 3" xfId="2357" xr:uid="{00000000-0005-0000-0000-000036090000}"/>
    <cellStyle name="Note 58 4" xfId="3469" xr:uid="{96823E6F-8F20-44D4-AF7C-A99605FCC466}"/>
    <cellStyle name="Note 58 5" xfId="3690" xr:uid="{CDFE495F-FEA2-4B56-B405-4BA751733426}"/>
    <cellStyle name="Note 58 6" xfId="3868" xr:uid="{163AB065-31A4-4E63-8CA2-20B74154409A}"/>
    <cellStyle name="Note 58 7" xfId="4031" xr:uid="{756A8299-4FF4-41E2-B7FA-5AF7D307A5E7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3" xfId="3693" xr:uid="{8D8C0EA0-661F-41EB-8845-779A68E94D07}"/>
    <cellStyle name="Note 59 2 4" xfId="3871" xr:uid="{BF2AB711-D886-4845-BE65-BEE0B4983893}"/>
    <cellStyle name="Note 59 2 5" xfId="4034" xr:uid="{0156F68B-8714-4F7E-A46F-BF5A2EC6BBA1}"/>
    <cellStyle name="Note 59 3" xfId="2362" xr:uid="{00000000-0005-0000-0000-00003B090000}"/>
    <cellStyle name="Note 59 4" xfId="3470" xr:uid="{F17E662C-8DFB-465C-A304-08D48DD11CAC}"/>
    <cellStyle name="Note 59 5" xfId="3692" xr:uid="{E58B45C1-3CC1-4697-8097-B2F947CC6009}"/>
    <cellStyle name="Note 59 6" xfId="3870" xr:uid="{D893AD8D-151D-4755-8B04-DE8D9E97DFD3}"/>
    <cellStyle name="Note 59 7" xfId="4033" xr:uid="{CC6EE55D-CC4E-4D0B-A3B1-776D33F1680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3" xfId="3695" xr:uid="{3D2E687C-2454-4DE6-BE82-FD1296245F30}"/>
    <cellStyle name="Note 6 2 4" xfId="3873" xr:uid="{E2102F11-3843-4CF5-B065-B60D5A1757F1}"/>
    <cellStyle name="Note 6 2 5" xfId="4036" xr:uid="{228C0550-2C59-48B2-99F7-7D9645EB736C}"/>
    <cellStyle name="Note 6 3" xfId="2367" xr:uid="{00000000-0005-0000-0000-000040090000}"/>
    <cellStyle name="Note 6 4" xfId="3694" xr:uid="{244E785C-18E8-4CAD-B626-ECB3D2086895}"/>
    <cellStyle name="Note 6 5" xfId="3872" xr:uid="{A50C30C3-D9E9-4484-836A-B25E9AF67815}"/>
    <cellStyle name="Note 6 6" xfId="4035" xr:uid="{63ED5F77-7667-45B0-941A-C15F72DB42ED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3" xfId="3697" xr:uid="{C946A816-BBFA-4474-AB95-86DD4BA7AD3C}"/>
    <cellStyle name="Note 60 2 4" xfId="3875" xr:uid="{C9B61060-22D2-46E8-9C4A-BB8ADB87A4E5}"/>
    <cellStyle name="Note 60 2 5" xfId="4038" xr:uid="{2540A8F3-1509-4AE7-ABDE-AD60DB4BAA6C}"/>
    <cellStyle name="Note 60 3" xfId="2372" xr:uid="{00000000-0005-0000-0000-000045090000}"/>
    <cellStyle name="Note 60 4" xfId="3471" xr:uid="{59EE0DAD-4A99-47DD-945A-39C6B6865C89}"/>
    <cellStyle name="Note 60 5" xfId="3696" xr:uid="{1863E325-6F08-4AA1-9E13-3649C15430AB}"/>
    <cellStyle name="Note 60 6" xfId="3874" xr:uid="{8749DAF0-FA28-4E61-B244-2A49166720D6}"/>
    <cellStyle name="Note 60 7" xfId="4037" xr:uid="{0EF81F08-3185-4D6E-B048-4269282891AD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3" xfId="3699" xr:uid="{048B69BA-3E39-48CA-9F84-F1C418127FC9}"/>
    <cellStyle name="Note 61 2 4" xfId="3877" xr:uid="{2B7CC446-051D-4D06-927C-6F5378539668}"/>
    <cellStyle name="Note 61 2 5" xfId="4040" xr:uid="{7F14E9A7-8C42-4434-8BD2-6001A2CEAB64}"/>
    <cellStyle name="Note 61 3" xfId="2377" xr:uid="{00000000-0005-0000-0000-00004A090000}"/>
    <cellStyle name="Note 61 4" xfId="3472" xr:uid="{2BC38848-C0F7-45A4-857D-F3EEA7DB671E}"/>
    <cellStyle name="Note 61 5" xfId="3698" xr:uid="{2A348487-9EAE-4E5F-AD66-CA506E8BBB7B}"/>
    <cellStyle name="Note 61 6" xfId="3876" xr:uid="{EF564E38-311D-46DF-B25D-68870926FED3}"/>
    <cellStyle name="Note 61 7" xfId="4039" xr:uid="{8F50B349-CEF3-4B71-B271-7EA7AAAFA97F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3" xfId="3701" xr:uid="{B4D70C15-A423-4656-8D5D-5D50DD3B4259}"/>
    <cellStyle name="Note 62 2 4" xfId="3879" xr:uid="{3466F532-776C-4EAC-9B0A-23057368CBC9}"/>
    <cellStyle name="Note 62 2 5" xfId="4042" xr:uid="{9871C031-FC1F-4AFA-9AEF-7D466E4256D4}"/>
    <cellStyle name="Note 62 3" xfId="2382" xr:uid="{00000000-0005-0000-0000-00004F090000}"/>
    <cellStyle name="Note 62 4" xfId="3473" xr:uid="{FBAC293F-13A0-4334-9587-CBD60FE68839}"/>
    <cellStyle name="Note 62 5" xfId="3700" xr:uid="{12CB2BA6-074A-42C3-819E-9BF7267A164F}"/>
    <cellStyle name="Note 62 6" xfId="3878" xr:uid="{71EF2171-0405-46F6-A02B-F0C9F7152E3C}"/>
    <cellStyle name="Note 62 7" xfId="4041" xr:uid="{564CC198-30A7-4E60-BB03-55FB4596CA8C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3" xfId="3703" xr:uid="{0771F51B-0E57-45EB-A45D-5A3E856FC565}"/>
    <cellStyle name="Note 63 2 4" xfId="3881" xr:uid="{4D7ACD1F-216B-40EE-987A-170C31B3198E}"/>
    <cellStyle name="Note 63 2 5" xfId="4044" xr:uid="{C04DCF0C-F6D6-4984-A44B-6AEDA3B76D9B}"/>
    <cellStyle name="Note 63 3" xfId="2387" xr:uid="{00000000-0005-0000-0000-000054090000}"/>
    <cellStyle name="Note 63 4" xfId="3474" xr:uid="{46CC0DC7-E209-4701-9C0F-03DCDBA0DCA5}"/>
    <cellStyle name="Note 63 5" xfId="3702" xr:uid="{038E3E65-76CE-4F07-9A9A-1AF32EFC7F96}"/>
    <cellStyle name="Note 63 6" xfId="3880" xr:uid="{8F2DEA33-AADB-4AC6-91A3-11F87254505B}"/>
    <cellStyle name="Note 63 7" xfId="4043" xr:uid="{B04208C3-B13C-494B-AC4D-A34DB08E1C19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3" xfId="3705" xr:uid="{A538802E-C30D-43D7-A59E-51798A345C16}"/>
    <cellStyle name="Note 64 2 4" xfId="3883" xr:uid="{2BAB8B33-5E8B-40E8-B736-122E876304DB}"/>
    <cellStyle name="Note 64 2 5" xfId="4046" xr:uid="{83A9FD2A-F8FC-4D79-9730-1D83DA3DA45F}"/>
    <cellStyle name="Note 64 3" xfId="2392" xr:uid="{00000000-0005-0000-0000-000059090000}"/>
    <cellStyle name="Note 64 4" xfId="3475" xr:uid="{21F9C5FB-B45E-4592-843D-32FBCA91761F}"/>
    <cellStyle name="Note 64 5" xfId="3704" xr:uid="{1D440CDF-C655-43D2-B189-2252F053B245}"/>
    <cellStyle name="Note 64 6" xfId="3882" xr:uid="{B045FDC8-0097-4398-932D-3D3E8D233888}"/>
    <cellStyle name="Note 64 7" xfId="4045" xr:uid="{F2F04E20-00CB-4350-B6CB-D18F417D022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3" xfId="3707" xr:uid="{D2C5535A-DD13-4640-9F8A-526DF3FA0EB0}"/>
    <cellStyle name="Note 65 2 4" xfId="3885" xr:uid="{845E82C2-18DF-44F8-A8B8-03924DF57350}"/>
    <cellStyle name="Note 65 2 5" xfId="4048" xr:uid="{7045D5F8-8F00-4D89-9051-A809A2B6E589}"/>
    <cellStyle name="Note 65 3" xfId="2397" xr:uid="{00000000-0005-0000-0000-00005E090000}"/>
    <cellStyle name="Note 65 4" xfId="3476" xr:uid="{4A55EF0B-BD7B-4C79-B0E1-D064122C3C0F}"/>
    <cellStyle name="Note 65 5" xfId="3706" xr:uid="{E3F4B095-D680-4DDE-AF9B-7F39C5ADD8E3}"/>
    <cellStyle name="Note 65 6" xfId="3884" xr:uid="{88A0B1BC-01E3-4553-BE60-A83C813D761E}"/>
    <cellStyle name="Note 65 7" xfId="4047" xr:uid="{A1A503C6-BCE0-4CE2-AD1C-8EB06F628DE7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3" xfId="3709" xr:uid="{6B570232-21BB-4E06-84BC-291C982D7598}"/>
    <cellStyle name="Note 66 2 4" xfId="3887" xr:uid="{7FF8A2E2-628C-4A29-B6DA-B50C102E3892}"/>
    <cellStyle name="Note 66 2 5" xfId="4050" xr:uid="{2FBC8570-6217-42AB-8649-8540C0C63B83}"/>
    <cellStyle name="Note 66 3" xfId="2402" xr:uid="{00000000-0005-0000-0000-000063090000}"/>
    <cellStyle name="Note 66 4" xfId="3477" xr:uid="{1A5C171B-EC7C-4F17-9007-41AD894E922E}"/>
    <cellStyle name="Note 66 5" xfId="3708" xr:uid="{A5C4AF5C-1512-4209-A42D-8923159557D2}"/>
    <cellStyle name="Note 66 6" xfId="3886" xr:uid="{94A0585B-B96A-4620-91A1-A1FC9A4293F3}"/>
    <cellStyle name="Note 66 7" xfId="4049" xr:uid="{51B23522-A336-4881-817C-CB7F9759731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3" xfId="3711" xr:uid="{FC089C2D-0FD5-442D-A2AA-F40298A18466}"/>
    <cellStyle name="Note 67 2 4" xfId="3889" xr:uid="{7CA68267-F733-4601-AA3F-79FFE479F886}"/>
    <cellStyle name="Note 67 2 5" xfId="4052" xr:uid="{8A3E028C-79A0-4C17-B85A-38B3D0352D15}"/>
    <cellStyle name="Note 67 3" xfId="2407" xr:uid="{00000000-0005-0000-0000-000068090000}"/>
    <cellStyle name="Note 67 4" xfId="3478" xr:uid="{82DCA7E5-1A32-4991-973D-C90B3D518632}"/>
    <cellStyle name="Note 67 5" xfId="3710" xr:uid="{527C0C0C-8B62-4223-840D-056D433FCEF3}"/>
    <cellStyle name="Note 67 6" xfId="3888" xr:uid="{9168F220-7588-4C25-9FE3-C62E080B004A}"/>
    <cellStyle name="Note 67 7" xfId="4051" xr:uid="{FF117D3F-E171-4A93-9E2F-3596D8311515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3" xfId="3713" xr:uid="{D95FCA09-3263-4D05-BBFD-CB0E51075034}"/>
    <cellStyle name="Note 68 2 4" xfId="3891" xr:uid="{A9DF2366-749C-46E8-A9DC-B2013039F506}"/>
    <cellStyle name="Note 68 2 5" xfId="4054" xr:uid="{B286A79D-E194-4A02-9C74-B75E76A45F68}"/>
    <cellStyle name="Note 68 3" xfId="2412" xr:uid="{00000000-0005-0000-0000-00006D090000}"/>
    <cellStyle name="Note 68 4" xfId="3479" xr:uid="{9F0BBB67-CC30-47E9-BDBC-201FA44E2EE4}"/>
    <cellStyle name="Note 68 5" xfId="3712" xr:uid="{8626B3E1-134B-4BB9-84F0-78DB49045D13}"/>
    <cellStyle name="Note 68 6" xfId="3890" xr:uid="{D97DB463-8A29-4D33-93D3-D688BA889782}"/>
    <cellStyle name="Note 68 7" xfId="4053" xr:uid="{8025FD66-83EE-4ABE-AAF3-E4C9A882E2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3" xfId="3715" xr:uid="{FDAB4093-9331-4A50-9CF0-A970F176E9EC}"/>
    <cellStyle name="Note 69 2 4" xfId="3893" xr:uid="{A92530DF-6555-4C37-B6C1-67DD9A8E7461}"/>
    <cellStyle name="Note 69 2 5" xfId="4056" xr:uid="{7DAB1D68-9232-43A1-AB6D-27E4CFCEA6EE}"/>
    <cellStyle name="Note 69 3" xfId="2417" xr:uid="{00000000-0005-0000-0000-000072090000}"/>
    <cellStyle name="Note 69 4" xfId="3480" xr:uid="{93FB4770-5000-4C29-99D2-9DD9B3726BA7}"/>
    <cellStyle name="Note 69 5" xfId="3714" xr:uid="{F4718FB6-E9EE-44B4-9FE8-B494A4632EA9}"/>
    <cellStyle name="Note 69 6" xfId="3892" xr:uid="{83CB47AB-54A9-45C0-A05B-53CF6DD69CE9}"/>
    <cellStyle name="Note 69 7" xfId="4055" xr:uid="{FCB19AE4-2A83-4521-B3C9-B415A23F5B74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3" xfId="3717" xr:uid="{7FB51DE1-ECAC-4DCF-9626-1B51DD2D6A03}"/>
    <cellStyle name="Note 7 2 4" xfId="3895" xr:uid="{681D58F4-7BF1-484F-8F1E-8D806B9472EE}"/>
    <cellStyle name="Note 7 2 5" xfId="4058" xr:uid="{AA17328E-B7AC-4211-9382-5A9C06210CF9}"/>
    <cellStyle name="Note 7 3" xfId="2422" xr:uid="{00000000-0005-0000-0000-000077090000}"/>
    <cellStyle name="Note 7 4" xfId="3716" xr:uid="{E2723A70-290F-4213-BB34-A3DFEC1D6A5D}"/>
    <cellStyle name="Note 7 5" xfId="3894" xr:uid="{06128F10-5FBB-4AC1-8E21-D0432D237E79}"/>
    <cellStyle name="Note 7 6" xfId="4057" xr:uid="{979D9402-2D71-451C-AA19-E09A2A301111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3" xfId="3719" xr:uid="{EAC8AC39-67A1-4676-A410-2DD19A32701E}"/>
    <cellStyle name="Note 70 2 4" xfId="3897" xr:uid="{62392B7F-61B7-4925-BBFB-2A2E71366F33}"/>
    <cellStyle name="Note 70 2 5" xfId="4060" xr:uid="{622AEFBF-766B-4CB4-9A08-9A3FD7B7583D}"/>
    <cellStyle name="Note 70 3" xfId="2427" xr:uid="{00000000-0005-0000-0000-00007C090000}"/>
    <cellStyle name="Note 70 4" xfId="3481" xr:uid="{D617BA08-DEA3-459D-97AF-BD4F7AD8217C}"/>
    <cellStyle name="Note 70 5" xfId="3718" xr:uid="{6393E68D-0C5E-45A3-83CF-BF605BEDA7BB}"/>
    <cellStyle name="Note 70 6" xfId="3896" xr:uid="{4FCBF181-9846-4ED8-B206-65A8C3AD6397}"/>
    <cellStyle name="Note 70 7" xfId="4059" xr:uid="{6AAF3B2E-96F6-446D-943F-A00DBF8151EF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3" xfId="3721" xr:uid="{991AF29C-D85B-4D96-8C53-BA624BC19440}"/>
    <cellStyle name="Note 71 2 4" xfId="3899" xr:uid="{270AF837-BEF4-4E2A-B810-C35FE1E03611}"/>
    <cellStyle name="Note 71 2 5" xfId="4062" xr:uid="{7297687F-C3DE-4392-A72A-A289DEFA8F57}"/>
    <cellStyle name="Note 71 3" xfId="2432" xr:uid="{00000000-0005-0000-0000-000081090000}"/>
    <cellStyle name="Note 71 4" xfId="3482" xr:uid="{004562BB-0BB6-4372-841D-7A0270022658}"/>
    <cellStyle name="Note 71 5" xfId="3720" xr:uid="{C5813142-FD6E-4BDD-A663-5147CD13CBA0}"/>
    <cellStyle name="Note 71 6" xfId="3898" xr:uid="{EDE9C6DA-1859-4FE1-86CC-179401CE4FF5}"/>
    <cellStyle name="Note 71 7" xfId="4061" xr:uid="{ED5A5D69-17B0-4DAE-A265-DE168B96D101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3" xfId="3723" xr:uid="{967E9FC3-67AE-4EA3-ABF5-25C8B90B9A57}"/>
    <cellStyle name="Note 72 2 4" xfId="3901" xr:uid="{D0E60F38-0504-4793-BADB-C813DBF6B2D0}"/>
    <cellStyle name="Note 72 2 5" xfId="4064" xr:uid="{782BEEC7-49C9-417B-AA0E-37FE024BA897}"/>
    <cellStyle name="Note 72 3" xfId="2437" xr:uid="{00000000-0005-0000-0000-000086090000}"/>
    <cellStyle name="Note 72 4" xfId="3485" xr:uid="{0E4F01B0-0B10-484A-8400-9FA5B08441CC}"/>
    <cellStyle name="Note 72 5" xfId="3722" xr:uid="{CF5E5DC2-4052-4E17-A0F0-9562B30301EF}"/>
    <cellStyle name="Note 72 6" xfId="3900" xr:uid="{829F70FA-28C3-4025-A98B-DA3BADE41D72}"/>
    <cellStyle name="Note 72 7" xfId="4063" xr:uid="{94856B72-B614-46EC-9F2E-BA91A9986915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3" xfId="3725" xr:uid="{3839AE20-BC87-4998-BE12-B662A8EEDDBE}"/>
    <cellStyle name="Note 73 2 4" xfId="3903" xr:uid="{A0B2A0C6-F009-4189-BE5F-F76561F8DBC4}"/>
    <cellStyle name="Note 73 2 5" xfId="4066" xr:uid="{2772BC5B-5470-408B-B024-3C991C915975}"/>
    <cellStyle name="Note 73 3" xfId="2442" xr:uid="{00000000-0005-0000-0000-00008B090000}"/>
    <cellStyle name="Note 73 4" xfId="3487" xr:uid="{43F7209C-BB7D-4F24-887C-ABCA9F46325E}"/>
    <cellStyle name="Note 73 5" xfId="3724" xr:uid="{3AB7F9D7-A0DF-40C1-9934-8DA956348D33}"/>
    <cellStyle name="Note 73 6" xfId="3902" xr:uid="{13A2A1EC-7EA4-479E-BDF4-10144FE0F92E}"/>
    <cellStyle name="Note 73 7" xfId="4065" xr:uid="{832F6DFD-F63E-4CA4-95AF-88CA70D560B7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3" xfId="3727" xr:uid="{F9661424-E9E5-402C-8F0E-0507EF3EEF2F}"/>
    <cellStyle name="Note 74 2 4" xfId="3905" xr:uid="{3C7D1DAF-2C5E-4E2A-A234-A84B0DF99824}"/>
    <cellStyle name="Note 74 2 5" xfId="4068" xr:uid="{93DA6ACF-C983-47EA-8D44-E175CF9CA162}"/>
    <cellStyle name="Note 74 3" xfId="2447" xr:uid="{00000000-0005-0000-0000-000090090000}"/>
    <cellStyle name="Note 74 4" xfId="3489" xr:uid="{387BD26B-A0B6-436F-917A-7B4D1AF37CDD}"/>
    <cellStyle name="Note 74 5" xfId="3726" xr:uid="{947F0415-E127-4450-9433-F014D9765022}"/>
    <cellStyle name="Note 74 6" xfId="3904" xr:uid="{0D9F0E28-8086-4A77-9BF8-FC49D68EB91F}"/>
    <cellStyle name="Note 74 7" xfId="4067" xr:uid="{5BA0DFA6-76A8-497D-BE8A-FAA5F306D9F5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3" xfId="3729" xr:uid="{605F7275-E323-4768-A6F1-BC2B43F9A4A7}"/>
    <cellStyle name="Note 75 2 4" xfId="3907" xr:uid="{C2E75598-4900-4A03-94C2-CDE04A938969}"/>
    <cellStyle name="Note 75 2 5" xfId="4070" xr:uid="{0277C490-5EEB-4755-896D-D19892FB785E}"/>
    <cellStyle name="Note 75 3" xfId="2452" xr:uid="{00000000-0005-0000-0000-000095090000}"/>
    <cellStyle name="Note 75 4" xfId="3492" xr:uid="{EE624184-CD8F-41EA-BA73-9C41E9012268}"/>
    <cellStyle name="Note 75 5" xfId="3728" xr:uid="{188BDA66-B31A-4E2E-AA32-2C9C18496ABB}"/>
    <cellStyle name="Note 75 6" xfId="3906" xr:uid="{F1AD2B97-A77E-44B6-BFCB-EA76573B6180}"/>
    <cellStyle name="Note 75 7" xfId="4069" xr:uid="{F5BA9F59-2787-4479-B956-93B8BA6DA233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3" xfId="3731" xr:uid="{FF8D7523-DE81-4392-9283-4FCB4EF2E00B}"/>
    <cellStyle name="Note 76 2 4" xfId="3909" xr:uid="{7015FF59-7950-43DC-A663-8DD39DEEA384}"/>
    <cellStyle name="Note 76 2 5" xfId="4072" xr:uid="{22F0E046-AEF0-45A1-9659-2E78114A9729}"/>
    <cellStyle name="Note 76 3" xfId="2457" xr:uid="{00000000-0005-0000-0000-00009A090000}"/>
    <cellStyle name="Note 76 4" xfId="3494" xr:uid="{C30F1DBE-2127-42D0-85CD-E54D0706D135}"/>
    <cellStyle name="Note 76 5" xfId="3730" xr:uid="{7A20D935-C53B-4F02-AF14-D9013148A486}"/>
    <cellStyle name="Note 76 6" xfId="3908" xr:uid="{7A4CB0D3-9C63-4653-BC56-56B172585F4C}"/>
    <cellStyle name="Note 76 7" xfId="4071" xr:uid="{77F8BE0B-F716-44EE-966F-E715CB42E35D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3" xfId="3733" xr:uid="{DC7F856B-EBC1-4D9E-BBD9-599DE546198C}"/>
    <cellStyle name="Note 77 2 4" xfId="3911" xr:uid="{28B21801-E70B-4CAA-A1DE-CD2987736F23}"/>
    <cellStyle name="Note 77 2 5" xfId="4074" xr:uid="{23E04078-5864-4C57-AD06-0650C12E8A26}"/>
    <cellStyle name="Note 77 3" xfId="2462" xr:uid="{00000000-0005-0000-0000-00009F090000}"/>
    <cellStyle name="Note 77 4" xfId="3497" xr:uid="{DC658822-EE94-4B08-AA81-43E2A3A093D6}"/>
    <cellStyle name="Note 77 5" xfId="3732" xr:uid="{B8A6FD96-B219-45A8-8157-FC0FFB213A43}"/>
    <cellStyle name="Note 77 6" xfId="3910" xr:uid="{ECCA3103-70E7-4A9E-8C89-ACC404330393}"/>
    <cellStyle name="Note 77 7" xfId="4073" xr:uid="{E1B1BB98-55BD-4165-8F8A-F8AFFCEA2DB4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3" xfId="3735" xr:uid="{BEE32774-152E-4A72-9690-EF710340984C}"/>
    <cellStyle name="Note 78 2 4" xfId="3913" xr:uid="{EC05F7F6-116C-4420-AD14-64F5DC22875A}"/>
    <cellStyle name="Note 78 2 5" xfId="4076" xr:uid="{9E38F3FA-C1D4-4D61-A3EB-C35610DEE23D}"/>
    <cellStyle name="Note 78 3" xfId="2467" xr:uid="{00000000-0005-0000-0000-0000A4090000}"/>
    <cellStyle name="Note 78 4" xfId="3499" xr:uid="{97C852B3-753C-4AE3-AD37-321742410B0F}"/>
    <cellStyle name="Note 78 5" xfId="3734" xr:uid="{FC47E135-6292-4339-B85C-40CE5A132C13}"/>
    <cellStyle name="Note 78 6" xfId="3912" xr:uid="{4761DC7F-D56B-4178-9A11-35320B553F94}"/>
    <cellStyle name="Note 78 7" xfId="4075" xr:uid="{BE72A04C-BC0B-4D73-BA3B-8D0FED6C1CC4}"/>
    <cellStyle name="Note 78_TRAFO" xfId="2468" xr:uid="{00000000-0005-0000-0000-0000A5090000}"/>
    <cellStyle name="Note 79" xfId="3558" xr:uid="{188B98FA-C2DC-4CDA-89BE-189FCFBF717D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3" xfId="3737" xr:uid="{11EA2C4C-684C-458A-90AE-90549EC20873}"/>
    <cellStyle name="Note 8 2 4" xfId="3915" xr:uid="{C5B48798-8F54-4217-AFA9-45B84CF3CF45}"/>
    <cellStyle name="Note 8 2 5" xfId="4078" xr:uid="{A9290991-31D6-4EED-867A-86501FAD912B}"/>
    <cellStyle name="Note 8 3" xfId="2472" xr:uid="{00000000-0005-0000-0000-0000A9090000}"/>
    <cellStyle name="Note 8 4" xfId="3736" xr:uid="{60BB5861-E514-4DE7-B524-A5F397DECD8C}"/>
    <cellStyle name="Note 8 5" xfId="3914" xr:uid="{9B220FDF-077F-414F-A060-6B8904192D2B}"/>
    <cellStyle name="Note 8 6" xfId="4077" xr:uid="{D0042C28-0A53-4270-A820-B02EF92AC711}"/>
    <cellStyle name="Note 8_TRAFO" xfId="2473" xr:uid="{00000000-0005-0000-0000-0000AA090000}"/>
    <cellStyle name="Note 80" xfId="3772" xr:uid="{54D0E705-97AC-4B09-9BAE-07DADBD90EE5}"/>
    <cellStyle name="Note 81" xfId="3937" xr:uid="{D9E1981E-5925-45E0-BBD7-BAE09D550B19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3" xfId="3739" xr:uid="{416EA964-E9D4-4AFE-BA7E-D8AD81416194}"/>
    <cellStyle name="Note 9 2 4" xfId="3917" xr:uid="{AE18C91E-B432-4019-8CCC-8E3BC803F710}"/>
    <cellStyle name="Note 9 2 5" xfId="4080" xr:uid="{CA56C989-460F-4171-839E-62B08BBDD458}"/>
    <cellStyle name="Note 9 3" xfId="2477" xr:uid="{00000000-0005-0000-0000-0000AE090000}"/>
    <cellStyle name="Note 9 4" xfId="3738" xr:uid="{F4DB6E35-C037-43D7-8677-02A6B42472CC}"/>
    <cellStyle name="Note 9 5" xfId="3916" xr:uid="{53B893CA-8FDE-4573-8044-E86DEA2E552A}"/>
    <cellStyle name="Note 9 6" xfId="4079" xr:uid="{ED17E01E-7A45-41D2-8CE6-9ADCE34A41DC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3" xfId="3740" xr:uid="{04B90469-1004-4DF5-96B6-4F1DFA484DAC}"/>
    <cellStyle name="Output 10 4" xfId="3918" xr:uid="{CCB1B3AD-4C04-4C89-9E96-BF0E172466AA}"/>
    <cellStyle name="Output 10 5" xfId="4081" xr:uid="{7B8421FB-E91B-4CB5-87CF-1E59E4A81D20}"/>
    <cellStyle name="Output 11" xfId="2482" xr:uid="{00000000-0005-0000-0000-0000B3090000}"/>
    <cellStyle name="Output 11 2" xfId="2483" xr:uid="{00000000-0005-0000-0000-0000B4090000}"/>
    <cellStyle name="Output 11 3" xfId="3741" xr:uid="{424B77E1-932B-4F4C-9326-DD9BC442351F}"/>
    <cellStyle name="Output 11 4" xfId="3919" xr:uid="{759635DB-9DE8-4358-B745-2B04ADB1981A}"/>
    <cellStyle name="Output 11 5" xfId="4082" xr:uid="{84E917BB-F00A-401C-915B-23CF0129AAF2}"/>
    <cellStyle name="Output 12" xfId="2484" xr:uid="{00000000-0005-0000-0000-0000B5090000}"/>
    <cellStyle name="Output 12 2" xfId="2485" xr:uid="{00000000-0005-0000-0000-0000B6090000}"/>
    <cellStyle name="Output 12 3" xfId="3742" xr:uid="{D5F86BF8-A2C1-4DCC-B2D7-22856D9B77C7}"/>
    <cellStyle name="Output 12 4" xfId="3920" xr:uid="{15E3CDCF-FFE9-49B5-9F6E-A692D78B5702}"/>
    <cellStyle name="Output 12 5" xfId="4083" xr:uid="{D0966527-98BB-47D4-8AD3-4362A3B54A97}"/>
    <cellStyle name="Output 13" xfId="2486" xr:uid="{00000000-0005-0000-0000-0000B7090000}"/>
    <cellStyle name="Output 13 2" xfId="2487" xr:uid="{00000000-0005-0000-0000-0000B8090000}"/>
    <cellStyle name="Output 13 3" xfId="3743" xr:uid="{D9BDB12D-0B56-469F-84AE-AE850E841A36}"/>
    <cellStyle name="Output 13 4" xfId="3921" xr:uid="{01F616B3-7611-44A6-8361-8E50DF7527BD}"/>
    <cellStyle name="Output 13 5" xfId="4084" xr:uid="{485DB9E7-FD9D-4D6A-8EF3-2B932A89B094}"/>
    <cellStyle name="Output 14" xfId="2488" xr:uid="{00000000-0005-0000-0000-0000B9090000}"/>
    <cellStyle name="Output 14 2" xfId="2489" xr:uid="{00000000-0005-0000-0000-0000BA090000}"/>
    <cellStyle name="Output 14 3" xfId="3744" xr:uid="{0DE9231A-C736-469D-8023-C4CDC3D817D3}"/>
    <cellStyle name="Output 14 4" xfId="3922" xr:uid="{5C3E0A3F-06C8-4DA9-80E0-191098B8418A}"/>
    <cellStyle name="Output 14 5" xfId="4085" xr:uid="{B1588525-6EAD-44D2-886B-4C0503EAAE28}"/>
    <cellStyle name="Output 15" xfId="2490" xr:uid="{00000000-0005-0000-0000-0000BB090000}"/>
    <cellStyle name="Output 15 2" xfId="2491" xr:uid="{00000000-0005-0000-0000-0000BC090000}"/>
    <cellStyle name="Output 15 3" xfId="3745" xr:uid="{683738C3-4252-42EB-9965-8EE20CE814A3}"/>
    <cellStyle name="Output 15 4" xfId="3923" xr:uid="{B72F23C3-7BE5-4605-BA82-D89603A29E6B}"/>
    <cellStyle name="Output 15 5" xfId="4086" xr:uid="{CA237AAD-39AE-493F-9E05-432FBED8D150}"/>
    <cellStyle name="Output 16" xfId="2492" xr:uid="{00000000-0005-0000-0000-0000BD090000}"/>
    <cellStyle name="Output 16 2" xfId="2493" xr:uid="{00000000-0005-0000-0000-0000BE090000}"/>
    <cellStyle name="Output 16 3" xfId="3746" xr:uid="{364EFD30-EC1E-4F97-B0F8-3D6C43D0CBB0}"/>
    <cellStyle name="Output 16 4" xfId="3924" xr:uid="{AFB6EE09-D13B-491E-AC7B-997035DED87F}"/>
    <cellStyle name="Output 16 5" xfId="4087" xr:uid="{304E6AE6-30AE-44E8-941E-046C8D8A1861}"/>
    <cellStyle name="Output 17" xfId="3557" xr:uid="{C99ACB92-7E4D-4A00-AF7A-C1C0A0A7A080}"/>
    <cellStyle name="Output 18" xfId="3771" xr:uid="{7F77097D-9419-4FAB-ACAF-ADF05D54DF05}"/>
    <cellStyle name="Output 19" xfId="3936" xr:uid="{FF135D29-C8C4-4E7D-84B1-26E751DCA487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3" xfId="3748" xr:uid="{F8DCD7ED-0F50-4A52-8D53-542B1ECCEACB}"/>
    <cellStyle name="Output 2 2 4" xfId="3926" xr:uid="{A5F92496-7706-412D-B250-845388E76642}"/>
    <cellStyle name="Output 2 2 5" xfId="4089" xr:uid="{898086C8-EA30-4AC1-8FFF-9BC54549BB05}"/>
    <cellStyle name="Output 2 3" xfId="2497" xr:uid="{00000000-0005-0000-0000-0000C2090000}"/>
    <cellStyle name="Output 2 3 2" xfId="2498" xr:uid="{00000000-0005-0000-0000-0000C3090000}"/>
    <cellStyle name="Output 2 3 3" xfId="3749" xr:uid="{53AF6D47-C36A-41F6-B945-D33A7EC8531A}"/>
    <cellStyle name="Output 2 3 4" xfId="3927" xr:uid="{FC75F2BD-E9FA-4AEC-80FF-E3BC4D6380B4}"/>
    <cellStyle name="Output 2 3 5" xfId="4090" xr:uid="{5184E800-E911-4797-A248-0589A51D8262}"/>
    <cellStyle name="Output 2 4" xfId="2499" xr:uid="{00000000-0005-0000-0000-0000C4090000}"/>
    <cellStyle name="Output 2 5" xfId="3747" xr:uid="{DCEE8834-0052-4640-8B39-A224538B9C2D}"/>
    <cellStyle name="Output 2 6" xfId="3925" xr:uid="{00CE9D7E-D1F0-4DFB-9BAF-3630196CCF4F}"/>
    <cellStyle name="Output 2 7" xfId="4088" xr:uid="{CC868465-FDF7-4769-A15C-3F6B641CB585}"/>
    <cellStyle name="Output 3" xfId="2500" xr:uid="{00000000-0005-0000-0000-0000C5090000}"/>
    <cellStyle name="Output 3 2" xfId="2501" xr:uid="{00000000-0005-0000-0000-0000C6090000}"/>
    <cellStyle name="Output 3 3" xfId="3750" xr:uid="{0A289228-4B09-4C46-A103-7B206AC0F4A6}"/>
    <cellStyle name="Output 3 4" xfId="3928" xr:uid="{856420CC-53DD-415B-9298-8D2213A81A22}"/>
    <cellStyle name="Output 3 5" xfId="4091" xr:uid="{4150D2B1-1A5B-45BE-9FB1-26CA353F63C6}"/>
    <cellStyle name="Output 4" xfId="2502" xr:uid="{00000000-0005-0000-0000-0000C7090000}"/>
    <cellStyle name="Output 4 2" xfId="2503" xr:uid="{00000000-0005-0000-0000-0000C8090000}"/>
    <cellStyle name="Output 4 3" xfId="3751" xr:uid="{92591ECC-9624-48C0-9B89-CFAD3AFFE484}"/>
    <cellStyle name="Output 4 4" xfId="3929" xr:uid="{311B6E0D-D65D-49D0-B37E-ED17E3B0E1BA}"/>
    <cellStyle name="Output 4 5" xfId="4092" xr:uid="{B444C11E-531D-420D-8A6F-972E07CEAE23}"/>
    <cellStyle name="Output 5" xfId="2504" xr:uid="{00000000-0005-0000-0000-0000C9090000}"/>
    <cellStyle name="Output 5 2" xfId="2505" xr:uid="{00000000-0005-0000-0000-0000CA090000}"/>
    <cellStyle name="Output 5 3" xfId="3752" xr:uid="{26197304-B586-41C8-8047-3CE576A98EE6}"/>
    <cellStyle name="Output 5 4" xfId="3930" xr:uid="{A1DCCF1F-49EA-4776-8310-115F2DFC7723}"/>
    <cellStyle name="Output 5 5" xfId="4093" xr:uid="{4562406D-D146-4E5F-AA1E-64824D324AF4}"/>
    <cellStyle name="Output 6" xfId="2506" xr:uid="{00000000-0005-0000-0000-0000CB090000}"/>
    <cellStyle name="Output 6 2" xfId="2507" xr:uid="{00000000-0005-0000-0000-0000CC090000}"/>
    <cellStyle name="Output 6 3" xfId="3753" xr:uid="{0E005E44-DE65-497D-A74C-59E4569BCFA3}"/>
    <cellStyle name="Output 6 4" xfId="3931" xr:uid="{6034ED8D-A68A-419D-8DF7-E3CE171F9A92}"/>
    <cellStyle name="Output 6 5" xfId="4094" xr:uid="{18FA93EC-3C8E-42E5-9544-ED3752D25881}"/>
    <cellStyle name="Output 7" xfId="2508" xr:uid="{00000000-0005-0000-0000-0000CD090000}"/>
    <cellStyle name="Output 7 2" xfId="2509" xr:uid="{00000000-0005-0000-0000-0000CE090000}"/>
    <cellStyle name="Output 7 3" xfId="3754" xr:uid="{B95A8E8D-3E22-488B-A3A8-6AD9E93DBA3A}"/>
    <cellStyle name="Output 7 4" xfId="3932" xr:uid="{EDF6C1D1-FF7C-412B-8D98-A500CC06CA51}"/>
    <cellStyle name="Output 7 5" xfId="4095" xr:uid="{B2665A99-E6FA-4E92-97CA-F1CC32EB2F6A}"/>
    <cellStyle name="Output 8" xfId="2510" xr:uid="{00000000-0005-0000-0000-0000CF090000}"/>
    <cellStyle name="Output 8 2" xfId="2511" xr:uid="{00000000-0005-0000-0000-0000D0090000}"/>
    <cellStyle name="Output 8 3" xfId="3755" xr:uid="{AF6808F6-EDF6-4053-AE4C-817D5E09E0A9}"/>
    <cellStyle name="Output 8 4" xfId="3933" xr:uid="{1C0DBCB6-221A-48BE-BACC-558B46CA2F5E}"/>
    <cellStyle name="Output 8 5" xfId="4096" xr:uid="{6AD9F62B-488F-484D-AC41-E61E3B8C48F6}"/>
    <cellStyle name="Output 9" xfId="2512" xr:uid="{00000000-0005-0000-0000-0000D1090000}"/>
    <cellStyle name="Output 9 2" xfId="2513" xr:uid="{00000000-0005-0000-0000-0000D2090000}"/>
    <cellStyle name="Output 9 3" xfId="3756" xr:uid="{6E70DB32-60D6-401F-99B5-8C364AA11110}"/>
    <cellStyle name="Output 9 4" xfId="3934" xr:uid="{A0D56417-7E98-477D-BFFD-07F6B2EB6E3C}"/>
    <cellStyle name="Output 9 5" xfId="4097" xr:uid="{ABBB7384-F34A-4E24-8496-88DB6F523BE6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525" xr:uid="{E5B831F2-3CBE-4B55-90DB-C607A6BF150D}"/>
    <cellStyle name="Percent 2 2 2 2 2 3" xfId="2528" xr:uid="{00000000-0005-0000-0000-0000E2090000}"/>
    <cellStyle name="Percent 2 2 2 2 2 3 2" xfId="3526" xr:uid="{CF8BDC6B-0757-4CE6-B602-68C9F272877B}"/>
    <cellStyle name="Percent 2 2 2 2 2 4" xfId="2529" xr:uid="{00000000-0005-0000-0000-0000E3090000}"/>
    <cellStyle name="Percent 2 2 2 2 2 4 2" xfId="3527" xr:uid="{0DADBBD2-27B5-408E-B6E1-94C251744E99}"/>
    <cellStyle name="Percent 2 2 2 2 2 5" xfId="2530" xr:uid="{00000000-0005-0000-0000-0000E4090000}"/>
    <cellStyle name="Percent 2 2 2 2 2 5 2" xfId="3528" xr:uid="{55C48078-58EB-499D-9129-175FE30AF03D}"/>
    <cellStyle name="Percent 2 2 2 2 2 6" xfId="3524" xr:uid="{55FB7ABB-2141-48AF-9019-D26B0FCE56C0}"/>
    <cellStyle name="Percent 2 2 2 2 3" xfId="2531" xr:uid="{00000000-0005-0000-0000-0000E5090000}"/>
    <cellStyle name="Percent 2 2 2 2 3 2" xfId="3529" xr:uid="{098FBD9A-210F-45D5-8015-A58F369C4C5D}"/>
    <cellStyle name="Percent 2 2 2 2 4" xfId="2532" xr:uid="{00000000-0005-0000-0000-0000E6090000}"/>
    <cellStyle name="Percent 2 2 2 2 4 2" xfId="3530" xr:uid="{29B74ECA-BEB9-4B3B-AC92-EDB431629E1E}"/>
    <cellStyle name="Percent 2 2 2 2 5" xfId="2533" xr:uid="{00000000-0005-0000-0000-0000E7090000}"/>
    <cellStyle name="Percent 2 2 2 2 5 2" xfId="3531" xr:uid="{31CFAC51-F303-4FB6-80B9-4BDB723DF9F8}"/>
    <cellStyle name="Percent 2 2 2 2 6" xfId="3523" xr:uid="{634507C3-BBA4-419D-8D3E-F8353FEFCD77}"/>
    <cellStyle name="Percent 2 2 2 3" xfId="2534" xr:uid="{00000000-0005-0000-0000-0000E8090000}"/>
    <cellStyle name="Percent 2 2 2 3 2" xfId="3532" xr:uid="{A4C01D40-9D40-4B11-A30A-C83E12ACF661}"/>
    <cellStyle name="Percent 2 2 2 4" xfId="2535" xr:uid="{00000000-0005-0000-0000-0000E9090000}"/>
    <cellStyle name="Percent 2 2 2 4 2" xfId="3533" xr:uid="{123A2AF0-FCDE-4D2D-8D5D-06EF6F471119}"/>
    <cellStyle name="Percent 2 2 2 5" xfId="2536" xr:uid="{00000000-0005-0000-0000-0000EA090000}"/>
    <cellStyle name="Percent 2 2 2 5 2" xfId="3534" xr:uid="{78C04BB8-C35A-4923-A382-E60E0E795F81}"/>
    <cellStyle name="Percent 2 2 2 6" xfId="2537" xr:uid="{00000000-0005-0000-0000-0000EB090000}"/>
    <cellStyle name="Percent 2 2 2 6 2" xfId="3535" xr:uid="{D6BBDF86-8EEE-4F86-AC30-BE3B081236F4}"/>
    <cellStyle name="Percent 2 2 2 7" xfId="2538" xr:uid="{00000000-0005-0000-0000-0000EC090000}"/>
    <cellStyle name="Percent 2 2 2 7 2" xfId="3536" xr:uid="{4BAF2C9A-C7C0-409D-A4D4-7DD5B608CC79}"/>
    <cellStyle name="Percent 2 2 2 8" xfId="3522" xr:uid="{BAD924F7-812B-4B17-B71E-E6B1FA78992E}"/>
    <cellStyle name="Percent 2 2 3" xfId="2539" xr:uid="{00000000-0005-0000-0000-0000ED090000}"/>
    <cellStyle name="Percent 2 2 3 2" xfId="3537" xr:uid="{8A0BF21D-75B9-47C2-A317-8D25253CEDE1}"/>
    <cellStyle name="Percent 2 2 4" xfId="2540" xr:uid="{00000000-0005-0000-0000-0000EE090000}"/>
    <cellStyle name="Percent 2 2 4 2" xfId="3538" xr:uid="{539FE772-99DD-4393-9545-C46694BDAFC1}"/>
    <cellStyle name="Percent 2 2 5" xfId="2541" xr:uid="{00000000-0005-0000-0000-0000EF090000}"/>
    <cellStyle name="Percent 2 2 5 2" xfId="3539" xr:uid="{1A60278D-179F-4DE8-A81A-FBA9143283D4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540" xr:uid="{8F6F103A-633D-4834-8E19-A6F1FAA9A3E5}"/>
    <cellStyle name="Percent 2 4" xfId="2546" xr:uid="{00000000-0005-0000-0000-0000F4090000}"/>
    <cellStyle name="Percent 2 4 2" xfId="3541" xr:uid="{4F620582-679A-4F85-9BC6-CC3F21C0B6F2}"/>
    <cellStyle name="Percent 2 5" xfId="2547" xr:uid="{00000000-0005-0000-0000-0000F5090000}"/>
    <cellStyle name="Percent 2 5 2" xfId="3542" xr:uid="{22F56D0D-A17A-4D7E-BD23-0B7F7E961B2C}"/>
    <cellStyle name="Percent 2 6" xfId="2548" xr:uid="{00000000-0005-0000-0000-0000F6090000}"/>
    <cellStyle name="Percent 2 6 2" xfId="3543" xr:uid="{9AEF0CA8-C645-4486-9A87-D081D6E3133F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546" xr:uid="{28CA07D2-C4BB-46F5-90B8-60AB99336C1F}"/>
    <cellStyle name="Percent 5 2 3" xfId="2558" xr:uid="{00000000-0005-0000-0000-0000000A0000}"/>
    <cellStyle name="Percent 5 2 3 2" xfId="3547" xr:uid="{634582CB-3D15-47F4-9A78-90E880B4F93F}"/>
    <cellStyle name="Percent 5 2 4" xfId="2559" xr:uid="{00000000-0005-0000-0000-0000010A0000}"/>
    <cellStyle name="Percent 5 2 4 2" xfId="3548" xr:uid="{337F7ECB-E9D5-4D59-A65D-9D75774757E5}"/>
    <cellStyle name="Percent 5 2 5" xfId="2560" xr:uid="{00000000-0005-0000-0000-0000020A0000}"/>
    <cellStyle name="Percent 5 2 5 2" xfId="3549" xr:uid="{7A9B8271-1B05-4944-B459-709B5446AA1D}"/>
    <cellStyle name="Percent 5 2 6" xfId="2561" xr:uid="{00000000-0005-0000-0000-0000030A0000}"/>
    <cellStyle name="Percent 5 2 6 2" xfId="2562" xr:uid="{00000000-0005-0000-0000-0000040A0000}"/>
    <cellStyle name="Percent 5 2 7" xfId="3545" xr:uid="{61C27139-AEF7-4510-8004-AD489FBC746D}"/>
    <cellStyle name="Percent 5 3" xfId="2563" xr:uid="{00000000-0005-0000-0000-0000050A0000}"/>
    <cellStyle name="Percent 5 3 2" xfId="3550" xr:uid="{6021AEB0-4DC8-4B47-B56F-57908629754D}"/>
    <cellStyle name="Percent 5 4" xfId="2564" xr:uid="{00000000-0005-0000-0000-0000060A0000}"/>
    <cellStyle name="Percent 5 4 2" xfId="3551" xr:uid="{3EE3D5C5-AFB4-401E-962F-971E56ADBB66}"/>
    <cellStyle name="Percent 5 5" xfId="2565" xr:uid="{00000000-0005-0000-0000-0000070A0000}"/>
    <cellStyle name="Percent 5 5 2" xfId="3552" xr:uid="{240376C1-0671-4EC3-8D0C-04B1258F9B6A}"/>
    <cellStyle name="Percent 5 6" xfId="3544" xr:uid="{EBBC0C3F-37E0-4C45-B161-840088BFAA2C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554" xr:uid="{84AB66BA-9D7C-49C1-B29D-E8E5FF804D66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555" xr:uid="{5C88A224-ED55-4328-8F0B-22CF8F63B3E2}"/>
    <cellStyle name="sbt2 4" xfId="3773" xr:uid="{550302B7-60A4-4037-B7FC-78DD26CB664E}"/>
    <cellStyle name="sbt2 5" xfId="3938" xr:uid="{C05A17E1-B0F7-4948-9F31-54F37DD10049}"/>
    <cellStyle name="sbt2 6" xfId="4098" xr:uid="{F9936123-1DD2-4C7C-9E9D-FC62F85A1C92}"/>
    <cellStyle name="subt1" xfId="2589" xr:uid="{00000000-0005-0000-0000-00001F0A0000}"/>
    <cellStyle name="subt1 2" xfId="2590" xr:uid="{00000000-0005-0000-0000-0000200A0000}"/>
    <cellStyle name="subt1 3" xfId="3556" xr:uid="{7C0E5D5D-80C5-465C-BC66-F0D7D8DDCDC6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3" xfId="3776" xr:uid="{8F486710-160C-409E-A730-E9771BD08EE9}"/>
    <cellStyle name="Total 10 4" xfId="3941" xr:uid="{4835BB78-9E7F-4F35-A52F-FCCAFFA8F383}"/>
    <cellStyle name="Total 10 5" xfId="4099" xr:uid="{2CCDBE71-0DFE-4CE5-9BD6-ABB1AA6E78EF}"/>
    <cellStyle name="Total 11" xfId="2619" xr:uid="{00000000-0005-0000-0000-00003D0A0000}"/>
    <cellStyle name="Total 11 2" xfId="2620" xr:uid="{00000000-0005-0000-0000-00003E0A0000}"/>
    <cellStyle name="Total 11 3" xfId="3777" xr:uid="{E3A4E21D-9E0A-4B64-8F97-90F7FD307BF3}"/>
    <cellStyle name="Total 11 4" xfId="3942" xr:uid="{ED0DFC46-487B-46EA-B5E7-B77778134433}"/>
    <cellStyle name="Total 11 5" xfId="4100" xr:uid="{D015DE59-FB23-420B-AA54-49B9ABFF55A3}"/>
    <cellStyle name="Total 12" xfId="2621" xr:uid="{00000000-0005-0000-0000-00003F0A0000}"/>
    <cellStyle name="Total 12 2" xfId="2622" xr:uid="{00000000-0005-0000-0000-0000400A0000}"/>
    <cellStyle name="Total 12 3" xfId="3778" xr:uid="{E3CF3730-7390-4A82-B029-4FBE2B23EE9E}"/>
    <cellStyle name="Total 12 4" xfId="3943" xr:uid="{04C4D2BE-F3E2-4554-884A-B55AC979D3E0}"/>
    <cellStyle name="Total 12 5" xfId="4101" xr:uid="{64EE88E7-E368-4604-BF14-B27A3093B6EE}"/>
    <cellStyle name="Total 13" xfId="2623" xr:uid="{00000000-0005-0000-0000-0000410A0000}"/>
    <cellStyle name="Total 13 2" xfId="2624" xr:uid="{00000000-0005-0000-0000-0000420A0000}"/>
    <cellStyle name="Total 13 3" xfId="3779" xr:uid="{9C71ABD4-8A30-48C6-A7CB-48910BB6D0D4}"/>
    <cellStyle name="Total 13 4" xfId="3944" xr:uid="{3921FF87-7DC9-48F4-BEFC-09E50FF5483D}"/>
    <cellStyle name="Total 13 5" xfId="4102" xr:uid="{8C341D77-562B-4E4F-B328-2C490B8D72FD}"/>
    <cellStyle name="Total 14" xfId="2625" xr:uid="{00000000-0005-0000-0000-0000430A0000}"/>
    <cellStyle name="Total 14 2" xfId="2626" xr:uid="{00000000-0005-0000-0000-0000440A0000}"/>
    <cellStyle name="Total 14 3" xfId="3780" xr:uid="{3AD2E144-5D25-4BCF-8596-C0913EEFF444}"/>
    <cellStyle name="Total 14 4" xfId="3945" xr:uid="{A6C38FC1-B02F-438E-B018-55348119AE51}"/>
    <cellStyle name="Total 14 5" xfId="4103" xr:uid="{2E2BE0AC-2830-45BA-B8DC-97B0EEE6FFD0}"/>
    <cellStyle name="Total 15" xfId="2627" xr:uid="{00000000-0005-0000-0000-0000450A0000}"/>
    <cellStyle name="Total 15 2" xfId="2628" xr:uid="{00000000-0005-0000-0000-0000460A0000}"/>
    <cellStyle name="Total 15 3" xfId="3781" xr:uid="{EAC31FE1-DBEE-4342-993C-C8673E66A102}"/>
    <cellStyle name="Total 15 4" xfId="3946" xr:uid="{2BBBFE16-ECD9-4111-9E7D-5520C162F648}"/>
    <cellStyle name="Total 15 5" xfId="4104" xr:uid="{5B494CD6-3312-412E-8618-D10F27A0E02A}"/>
    <cellStyle name="Total 16" xfId="2629" xr:uid="{00000000-0005-0000-0000-0000470A0000}"/>
    <cellStyle name="Total 16 2" xfId="2630" xr:uid="{00000000-0005-0000-0000-0000480A0000}"/>
    <cellStyle name="Total 16 3" xfId="3782" xr:uid="{2CAE1D7E-CC39-4C16-8F94-6A39615CBAAC}"/>
    <cellStyle name="Total 16 4" xfId="3947" xr:uid="{38550442-F2AA-437D-965E-64835B8582FF}"/>
    <cellStyle name="Total 16 5" xfId="4105" xr:uid="{8563F456-3051-4A20-83C2-EB16CFF0C637}"/>
    <cellStyle name="Total 17" xfId="2701" xr:uid="{87C7CBAE-0C9B-4018-84A9-848301C9963F}"/>
    <cellStyle name="Total 18" xfId="3770" xr:uid="{B2913492-5C39-4A23-8A6E-E71D0F5657A8}"/>
    <cellStyle name="Total 19" xfId="3935" xr:uid="{B4A90803-3202-448F-B3F5-5A9BB0BEFB06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3" xfId="3784" xr:uid="{A7DA836F-DD8D-487D-91FC-DAD1A56EEE05}"/>
    <cellStyle name="Total 2 2 4" xfId="3949" xr:uid="{40A379E8-E978-498B-BAF5-D131BE2571DD}"/>
    <cellStyle name="Total 2 2 5" xfId="4107" xr:uid="{47FB14A6-DEDC-4BC2-B6CA-1024D4F9A3EB}"/>
    <cellStyle name="Total 2 3" xfId="2634" xr:uid="{00000000-0005-0000-0000-00004C0A0000}"/>
    <cellStyle name="Total 2 3 2" xfId="2635" xr:uid="{00000000-0005-0000-0000-00004D0A0000}"/>
    <cellStyle name="Total 2 3 3" xfId="3785" xr:uid="{78DCBE22-9812-4DFE-A715-3F6A8EA2A2E7}"/>
    <cellStyle name="Total 2 3 4" xfId="3950" xr:uid="{7EB3B9BA-6414-4CB3-A51E-F2FE8E70F9F7}"/>
    <cellStyle name="Total 2 3 5" xfId="4108" xr:uid="{2138B230-16AC-4FB5-8362-1C9BA3EEF2BC}"/>
    <cellStyle name="Total 2 4" xfId="2636" xr:uid="{00000000-0005-0000-0000-00004E0A0000}"/>
    <cellStyle name="Total 2 5" xfId="3783" xr:uid="{8180FC6D-4BFD-4B77-ACAE-CCCA3905CE57}"/>
    <cellStyle name="Total 2 6" xfId="3948" xr:uid="{F75992F9-7B09-4F76-A7DC-F2095F420B2F}"/>
    <cellStyle name="Total 2 7" xfId="4106" xr:uid="{DED54906-D99D-42A3-85B7-8625AA58D5A6}"/>
    <cellStyle name="Total 3" xfId="2637" xr:uid="{00000000-0005-0000-0000-00004F0A0000}"/>
    <cellStyle name="Total 3 2" xfId="2638" xr:uid="{00000000-0005-0000-0000-0000500A0000}"/>
    <cellStyle name="Total 3 3" xfId="3786" xr:uid="{C2F39136-8D91-4E9B-B639-5830B56372CD}"/>
    <cellStyle name="Total 3 4" xfId="3951" xr:uid="{10720B07-445E-4404-BF7B-37119AE9D7B9}"/>
    <cellStyle name="Total 3 5" xfId="4109" xr:uid="{788E4D21-9672-4F65-B7E9-10DFEB4EFCF8}"/>
    <cellStyle name="Total 4" xfId="2639" xr:uid="{00000000-0005-0000-0000-0000510A0000}"/>
    <cellStyle name="Total 4 2" xfId="2640" xr:uid="{00000000-0005-0000-0000-0000520A0000}"/>
    <cellStyle name="Total 4 3" xfId="3787" xr:uid="{3ED3C5BA-AF57-46E4-BF26-1EB970EF2965}"/>
    <cellStyle name="Total 4 4" xfId="3952" xr:uid="{F20309E6-0603-4663-B2CC-537F052A494C}"/>
    <cellStyle name="Total 4 5" xfId="4110" xr:uid="{6F154F41-34E1-4914-A671-AB7B2D20DE75}"/>
    <cellStyle name="Total 5" xfId="2641" xr:uid="{00000000-0005-0000-0000-0000530A0000}"/>
    <cellStyle name="Total 5 2" xfId="2642" xr:uid="{00000000-0005-0000-0000-0000540A0000}"/>
    <cellStyle name="Total 5 3" xfId="3788" xr:uid="{81E702D3-191A-4F55-870E-0BA95B9B0427}"/>
    <cellStyle name="Total 5 4" xfId="3953" xr:uid="{A57F18C3-FCEE-471D-AD51-D326438BFCC6}"/>
    <cellStyle name="Total 5 5" xfId="4111" xr:uid="{F196595C-A2E0-4D61-ADA1-9986215F8656}"/>
    <cellStyle name="Total 6" xfId="2643" xr:uid="{00000000-0005-0000-0000-0000550A0000}"/>
    <cellStyle name="Total 6 2" xfId="2644" xr:uid="{00000000-0005-0000-0000-0000560A0000}"/>
    <cellStyle name="Total 6 3" xfId="3789" xr:uid="{C1658DE2-5E06-4985-BFBA-BF3AC45FA0CC}"/>
    <cellStyle name="Total 6 4" xfId="3954" xr:uid="{94D4E705-B3F3-4D0A-B436-AAF87FCE82B4}"/>
    <cellStyle name="Total 6 5" xfId="4112" xr:uid="{1DB5038B-8973-4424-BE0C-AEF7C6770B27}"/>
    <cellStyle name="Total 7" xfId="2645" xr:uid="{00000000-0005-0000-0000-0000570A0000}"/>
    <cellStyle name="Total 7 2" xfId="2646" xr:uid="{00000000-0005-0000-0000-0000580A0000}"/>
    <cellStyle name="Total 7 3" xfId="3790" xr:uid="{71597947-83AB-49A2-A971-AA4303FF72B1}"/>
    <cellStyle name="Total 7 4" xfId="3955" xr:uid="{F9BE708D-4ED0-4B3E-8EC5-2178FBEC5924}"/>
    <cellStyle name="Total 7 5" xfId="4113" xr:uid="{D4E7C083-1138-4C13-9135-BF8CBD862B44}"/>
    <cellStyle name="Total 8" xfId="2647" xr:uid="{00000000-0005-0000-0000-0000590A0000}"/>
    <cellStyle name="Total 8 2" xfId="2648" xr:uid="{00000000-0005-0000-0000-00005A0A0000}"/>
    <cellStyle name="Total 8 3" xfId="3791" xr:uid="{03E7799E-187B-4ADC-B81F-2ED35775A120}"/>
    <cellStyle name="Total 8 4" xfId="3956" xr:uid="{6F780373-9316-47DF-931C-FCA3EEEA1053}"/>
    <cellStyle name="Total 8 5" xfId="4114" xr:uid="{CBFF4449-6C2A-40FC-915F-4930787418B4}"/>
    <cellStyle name="Total 9" xfId="2649" xr:uid="{00000000-0005-0000-0000-00005B0A0000}"/>
    <cellStyle name="Total 9 2" xfId="2650" xr:uid="{00000000-0005-0000-0000-00005C0A0000}"/>
    <cellStyle name="Total 9 3" xfId="3792" xr:uid="{B6A04709-74E6-4C9D-804F-C2F04D9DD4AD}"/>
    <cellStyle name="Total 9 4" xfId="3957" xr:uid="{B47BD35E-C52E-446A-A5A7-4059D48D08A5}"/>
    <cellStyle name="Total 9 5" xfId="4115" xr:uid="{5784059A-F885-4B28-AFA6-04A398F9C9B4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8.2500000000000004E-2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1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1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90</xdr:row>
      <xdr:rowOff>68515</xdr:rowOff>
    </xdr:from>
    <xdr:to>
      <xdr:col>12</xdr:col>
      <xdr:colOff>189677</xdr:colOff>
      <xdr:row>93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138112</xdr:colOff>
      <xdr:row>27</xdr:row>
      <xdr:rowOff>114300</xdr:rowOff>
    </xdr:from>
    <xdr:to>
      <xdr:col>11</xdr:col>
      <xdr:colOff>9525</xdr:colOff>
      <xdr:row>33</xdr:row>
      <xdr:rowOff>9525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571CF7D-363C-47B5-B388-283FD2AEC658}"/>
            </a:ext>
          </a:extLst>
        </xdr:cNvPr>
        <xdr:cNvSpPr/>
      </xdr:nvSpPr>
      <xdr:spPr>
        <a:xfrm>
          <a:off x="2728912" y="4257675"/>
          <a:ext cx="1014413" cy="80010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274318</xdr:colOff>
      <xdr:row>19</xdr:row>
      <xdr:rowOff>68581</xdr:rowOff>
    </xdr:from>
    <xdr:to>
      <xdr:col>13</xdr:col>
      <xdr:colOff>57150</xdr:colOff>
      <xdr:row>20</xdr:row>
      <xdr:rowOff>108587</xdr:rowOff>
    </xdr:to>
    <xdr:sp macro="" textlink="">
      <xdr:nvSpPr>
        <xdr:cNvPr id="3" name="TextBox 115">
          <a:extLst>
            <a:ext uri="{FF2B5EF4-FFF2-40B4-BE49-F238E27FC236}">
              <a16:creationId xmlns:a16="http://schemas.microsoft.com/office/drawing/2014/main" id="{D68D16EB-6A7B-45B1-95C4-AC5DEEA4EDD2}"/>
            </a:ext>
          </a:extLst>
        </xdr:cNvPr>
        <xdr:cNvSpPr txBox="1"/>
      </xdr:nvSpPr>
      <xdr:spPr>
        <a:xfrm rot="10800000">
          <a:off x="1341118" y="2992756"/>
          <a:ext cx="3211832" cy="19240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57150</xdr:colOff>
      <xdr:row>25</xdr:row>
      <xdr:rowOff>28576</xdr:rowOff>
    </xdr:from>
    <xdr:to>
      <xdr:col>11</xdr:col>
      <xdr:colOff>14288</xdr:colOff>
      <xdr:row>27</xdr:row>
      <xdr:rowOff>23813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1AA4DF0-6B55-4C7B-A366-ADC776059704}"/>
            </a:ext>
          </a:extLst>
        </xdr:cNvPr>
        <xdr:cNvSpPr/>
      </xdr:nvSpPr>
      <xdr:spPr>
        <a:xfrm flipV="1">
          <a:off x="3028950" y="3867151"/>
          <a:ext cx="719138" cy="30003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EB4CB7B4-EDDC-464F-B3FD-5A33D4176BAB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6" name="Group 13">
          <a:extLst>
            <a:ext uri="{FF2B5EF4-FFF2-40B4-BE49-F238E27FC236}">
              <a16:creationId xmlns:a16="http://schemas.microsoft.com/office/drawing/2014/main" id="{6067C393-19D6-4426-9048-510230393147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7" name="Oval 1">
            <a:extLst>
              <a:ext uri="{FF2B5EF4-FFF2-40B4-BE49-F238E27FC236}">
                <a16:creationId xmlns:a16="http://schemas.microsoft.com/office/drawing/2014/main" id="{655689AC-1752-0D34-414C-A251D41802F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3">
            <a:extLst>
              <a:ext uri="{FF2B5EF4-FFF2-40B4-BE49-F238E27FC236}">
                <a16:creationId xmlns:a16="http://schemas.microsoft.com/office/drawing/2014/main" id="{03DA2DCF-F0F6-97E7-DBBF-7ECD50CEE974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13B06332-7AAF-C17D-C0C3-F969963A74D4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24C257EA-AF5A-48FC-A753-3E4173CE2F61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1" name="Group 14">
          <a:extLst>
            <a:ext uri="{FF2B5EF4-FFF2-40B4-BE49-F238E27FC236}">
              <a16:creationId xmlns:a16="http://schemas.microsoft.com/office/drawing/2014/main" id="{E21182E3-ABC8-4C0F-9C1F-0DE88A21BAA6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ACD2DDA1-49CD-A503-C322-89C6CBCBA20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29B1AD3-DDEA-DA86-C49A-1ECEADCC6D74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8E4EBD2D-2C02-ED66-3536-46EDDC082A65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89863BA9-12C4-41EE-B232-02034F0CEBD1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AB0586C4-2076-4E9E-B196-01B310280FF2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2F5F4707-16CB-46C3-B500-067F447407ED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9F9DA25D-BC61-4821-B4DF-AE885B2A1F91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23D1499-F311-4191-998E-FDBE2E94E264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3ABCD22-3F9E-4037-BC25-D14C08A37ECA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5DBA69B3-1F3A-451F-BE12-1D33FC666032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9D0D4F2E-D11D-4704-AA66-53BF2C76DBA7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15FE91DB-F9D9-4E16-BF62-9512DBD5A2AE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A48C0577-6C72-49D0-BD67-80E079B1E0BF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B2A4B1F1-EEFA-4A21-8B9F-BD876236B1D6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E81A2D77-A197-4342-A9EE-2350E0EE0785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13AFA8AA-C9BB-43FC-AFD3-E19A0227A0B6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8" name="Straight Connector 50">
          <a:extLst>
            <a:ext uri="{FF2B5EF4-FFF2-40B4-BE49-F238E27FC236}">
              <a16:creationId xmlns:a16="http://schemas.microsoft.com/office/drawing/2014/main" id="{7D2DE2C6-1F08-4A89-8D11-09997D3BDE68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5C7BD17-6F37-4F23-9367-40F43124F688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0" name="Straight Connector 52">
          <a:extLst>
            <a:ext uri="{FF2B5EF4-FFF2-40B4-BE49-F238E27FC236}">
              <a16:creationId xmlns:a16="http://schemas.microsoft.com/office/drawing/2014/main" id="{C7C5C927-133A-4A21-AABE-D4191EBCA543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BC587EC8-192F-408C-944C-7532917B2E23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198A0DE-9CD2-421D-B8F3-3C19EBB53C9A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FA54F2C3-EEC5-4D63-B545-F9196B9EE8C6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CA224C5-2DC7-4FF3-9536-82ACDEC87C79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FBB200CC-264F-4378-8300-8ECD8EA46453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82EF5785-3582-46E2-9C40-3E0139242C17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8BAF911A-D803-47D4-A15A-F46126DDDC59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F3F0C32F-AF48-488F-9D24-E8EBE495A708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8E49B597-6267-48F7-B6A5-9709F1A745B1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0" name="Group 73">
          <a:extLst>
            <a:ext uri="{FF2B5EF4-FFF2-40B4-BE49-F238E27FC236}">
              <a16:creationId xmlns:a16="http://schemas.microsoft.com/office/drawing/2014/main" id="{8815C704-F6CD-4945-94B3-D8EDE70F07C7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040E4F21-5630-F069-B6B9-6802A10E3F7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D18944C4-FD87-7DF0-9BB8-6E800636991E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3" name="Group 74">
          <a:extLst>
            <a:ext uri="{FF2B5EF4-FFF2-40B4-BE49-F238E27FC236}">
              <a16:creationId xmlns:a16="http://schemas.microsoft.com/office/drawing/2014/main" id="{CAF46B02-6981-4460-9E08-16FAF0D4EB87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C20A8219-4827-31D4-3B8E-9F69AF957B7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2849605D-22A0-92D2-B9D0-11C06EAF4532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6" name="Group 89">
          <a:extLst>
            <a:ext uri="{FF2B5EF4-FFF2-40B4-BE49-F238E27FC236}">
              <a16:creationId xmlns:a16="http://schemas.microsoft.com/office/drawing/2014/main" id="{BC652EB8-8420-4AC8-A959-C85371A723C8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F531818D-1BFB-3BEC-D62C-E628012AEF1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79">
            <a:extLst>
              <a:ext uri="{FF2B5EF4-FFF2-40B4-BE49-F238E27FC236}">
                <a16:creationId xmlns:a16="http://schemas.microsoft.com/office/drawing/2014/main" id="{E9F34BBB-A850-355A-27D5-11EA8ED822A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0">
            <a:extLst>
              <a:ext uri="{FF2B5EF4-FFF2-40B4-BE49-F238E27FC236}">
                <a16:creationId xmlns:a16="http://schemas.microsoft.com/office/drawing/2014/main" id="{1EDC1732-58C9-D5FE-3FAA-CA4E51CC4D1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8">
            <a:extLst>
              <a:ext uri="{FF2B5EF4-FFF2-40B4-BE49-F238E27FC236}">
                <a16:creationId xmlns:a16="http://schemas.microsoft.com/office/drawing/2014/main" id="{CD4D08D7-2661-5A52-72AD-DAFF65F9216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1" name="Group 90">
          <a:extLst>
            <a:ext uri="{FF2B5EF4-FFF2-40B4-BE49-F238E27FC236}">
              <a16:creationId xmlns:a16="http://schemas.microsoft.com/office/drawing/2014/main" id="{C5112781-0369-4CF6-A443-E08F47DB060B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30F4064A-04F6-1C3E-666E-E15C07B6B01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AAA841-8833-CF97-B4D0-DCBC3C791E4C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46EC78A5-191C-8401-F855-D54B0717FB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AF45BCC2-6580-1F6B-E905-EE6C15FAA42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4B18D5A9-53D2-4350-9513-F943F176C2A2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6907DCC8-DBD8-4614-92E8-A7BC7137D09D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B8A91CEC-05E3-4FFA-833E-FD643B0CF4F4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66BD075-7D0C-4634-A028-8F66050DC4EF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0" name="Group 155">
          <a:extLst>
            <a:ext uri="{FF2B5EF4-FFF2-40B4-BE49-F238E27FC236}">
              <a16:creationId xmlns:a16="http://schemas.microsoft.com/office/drawing/2014/main" id="{812BC8FF-03E4-4A86-9F4C-C061E4999A28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A4DDED1C-8449-633E-68C4-E55961DED53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BCF8FC5B-FBC0-C58D-BCCD-F8922EE9A1B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C8CAEBB-44DE-7E03-478C-12F291B244D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4" name="Group 134">
          <a:extLst>
            <a:ext uri="{FF2B5EF4-FFF2-40B4-BE49-F238E27FC236}">
              <a16:creationId xmlns:a16="http://schemas.microsoft.com/office/drawing/2014/main" id="{53BD5197-8C58-4070-8C22-A0F8151FD118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05DFA0E2-EB3C-C9E0-BFE5-51E475A1640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1B5DD437-5EEA-A1FA-3BBD-EF5187E34F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9282A947-4D54-E37C-5B32-50E3E3656A65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8" name="Picture 67">
          <a:extLst>
            <a:ext uri="{FF2B5EF4-FFF2-40B4-BE49-F238E27FC236}">
              <a16:creationId xmlns:a16="http://schemas.microsoft.com/office/drawing/2014/main" id="{0442A23C-4CA1-4712-B307-8A32B2CF30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68690EC2-A4B8-491B-9A80-8874CC089CC2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A9AC186F-9BFC-4ED2-B12B-E1ED597BF3E8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A9BC21D7-6A9A-4C77-8865-F126E9D09AE0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27809729-AE71-449F-A2CC-80775DA2121F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7E40A1D9-3EAF-41C6-961A-40F41645B666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ADC1F929-C63A-46EB-872E-CAC4864760A0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C29034D8-811A-43C2-AEDF-08FA1874E50E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4A9966A2-3E1E-7595-014F-860ED2BF7B4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ADF04049-A394-FC6F-4D86-4054D3CF7294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F470B1A-7FAD-DDB9-CEFA-C1BF6D5EA79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54AC4C5D-142E-422F-B9A4-3DC5BC9EA0DB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8E4C3B77-77A5-26B7-DEC1-6EB9D9F3BBB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50">
            <a:extLst>
              <a:ext uri="{FF2B5EF4-FFF2-40B4-BE49-F238E27FC236}">
                <a16:creationId xmlns:a16="http://schemas.microsoft.com/office/drawing/2014/main" id="{8F7E8551-9312-56CB-C1C9-B81347773066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A845893C-6C3B-A5DC-9B65-609473978F8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3" name="Grup 234">
          <a:extLst>
            <a:ext uri="{FF2B5EF4-FFF2-40B4-BE49-F238E27FC236}">
              <a16:creationId xmlns:a16="http://schemas.microsoft.com/office/drawing/2014/main" id="{DB53B55D-6F98-4119-92EA-32D3EFC0CD75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ED6D831-C244-2187-15AC-DAB2D67484F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9B550BD-CEFC-84C6-46F7-E2276073118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8316DBD4-7AFD-3B7A-DA0F-467DDB3A23C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5D819013-3292-61DF-B5A0-1A14595502E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2F2F5109-F831-4A7A-89E0-5E8940573A9C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AABE7D20-DF0A-439E-9081-5CB1E4B61FA9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0" name="Group 73">
          <a:extLst>
            <a:ext uri="{FF2B5EF4-FFF2-40B4-BE49-F238E27FC236}">
              <a16:creationId xmlns:a16="http://schemas.microsoft.com/office/drawing/2014/main" id="{9387323D-9C03-46E7-9B0D-5F904E374032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91" name="TextBox 90">
            <a:extLst>
              <a:ext uri="{FF2B5EF4-FFF2-40B4-BE49-F238E27FC236}">
                <a16:creationId xmlns:a16="http://schemas.microsoft.com/office/drawing/2014/main" id="{E9691783-D0A5-CC26-0F2A-742EC97B8F9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C4EE1494-2664-1F06-842F-6FBC690D13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3" name="Group 74">
          <a:extLst>
            <a:ext uri="{FF2B5EF4-FFF2-40B4-BE49-F238E27FC236}">
              <a16:creationId xmlns:a16="http://schemas.microsoft.com/office/drawing/2014/main" id="{61E16CC1-16BE-45FA-B1A4-E2F4E61C0E3F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4" name="TextBox 93">
            <a:extLst>
              <a:ext uri="{FF2B5EF4-FFF2-40B4-BE49-F238E27FC236}">
                <a16:creationId xmlns:a16="http://schemas.microsoft.com/office/drawing/2014/main" id="{53554F77-D623-BC92-D23F-6730B5879AFE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BC805D79-BB2D-DB52-C072-A472A9D51C05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6" name="Group 89">
          <a:extLst>
            <a:ext uri="{FF2B5EF4-FFF2-40B4-BE49-F238E27FC236}">
              <a16:creationId xmlns:a16="http://schemas.microsoft.com/office/drawing/2014/main" id="{B3F89340-EAF5-4E8D-AE71-FB7483D3CEAA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497BF1-6150-33AF-6ADB-80023882C5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79">
            <a:extLst>
              <a:ext uri="{FF2B5EF4-FFF2-40B4-BE49-F238E27FC236}">
                <a16:creationId xmlns:a16="http://schemas.microsoft.com/office/drawing/2014/main" id="{1F66454C-C77B-B307-DA05-B280BD794175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0">
            <a:extLst>
              <a:ext uri="{FF2B5EF4-FFF2-40B4-BE49-F238E27FC236}">
                <a16:creationId xmlns:a16="http://schemas.microsoft.com/office/drawing/2014/main" id="{CA6EA9AE-B635-84B4-568E-186BD05AF27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88">
            <a:extLst>
              <a:ext uri="{FF2B5EF4-FFF2-40B4-BE49-F238E27FC236}">
                <a16:creationId xmlns:a16="http://schemas.microsoft.com/office/drawing/2014/main" id="{7D351153-5209-524A-80BE-C801A7BF9F78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1" name="Group 90">
          <a:extLst>
            <a:ext uri="{FF2B5EF4-FFF2-40B4-BE49-F238E27FC236}">
              <a16:creationId xmlns:a16="http://schemas.microsoft.com/office/drawing/2014/main" id="{F73337FC-3D0E-4F53-8FFF-D1D0E21BD5ED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A189DD73-32FC-1AE0-BC8B-00C45649AF76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63BA54BF-50F9-08D8-DEE4-B24487C5A12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FF776B9-6B3E-9461-539C-E1A8A3A9148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C9E5EBD6-52C8-E98D-EAA6-2B05C47B2CD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2D093631-035C-4069-B370-B741BF53E967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AECF6B77-E7DC-47EB-B394-293A8C55D5FF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B4CAE60E-4A1B-4728-91E8-F8C6856705B8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71351766-B0EB-4484-921B-91ACB6A72C52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0" name="Group 155">
          <a:extLst>
            <a:ext uri="{FF2B5EF4-FFF2-40B4-BE49-F238E27FC236}">
              <a16:creationId xmlns:a16="http://schemas.microsoft.com/office/drawing/2014/main" id="{11518686-5068-4168-B388-98CF1E9B69EC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9D1A76BF-E12B-3845-2188-E6C922FDC568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423B56B8-A663-8189-4D31-C65428A5F95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A2227539-6138-029C-0542-5B8B1D805B1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4" name="Group 134">
          <a:extLst>
            <a:ext uri="{FF2B5EF4-FFF2-40B4-BE49-F238E27FC236}">
              <a16:creationId xmlns:a16="http://schemas.microsoft.com/office/drawing/2014/main" id="{A256CDE8-6E06-49E6-8471-7E2CB59F44F6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4798C313-EBF6-84A1-88C3-0B09E39D991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F1920EB2-D3FA-63FE-6D69-522129D12E3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7" name="Isosceles Triangle 116">
            <a:extLst>
              <a:ext uri="{FF2B5EF4-FFF2-40B4-BE49-F238E27FC236}">
                <a16:creationId xmlns:a16="http://schemas.microsoft.com/office/drawing/2014/main" id="{09A24454-644C-B881-C50A-2D061099581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351365</xdr:colOff>
      <xdr:row>8</xdr:row>
      <xdr:rowOff>67705</xdr:rowOff>
    </xdr:from>
    <xdr:to>
      <xdr:col>13</xdr:col>
      <xdr:colOff>309680</xdr:colOff>
      <xdr:row>48</xdr:row>
      <xdr:rowOff>45523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CD8D8A05-0B9C-4FA8-8E6D-65BB73FF360E}"/>
            </a:ext>
          </a:extLst>
        </xdr:cNvPr>
        <xdr:cNvSpPr txBox="1"/>
      </xdr:nvSpPr>
      <xdr:spPr>
        <a:xfrm rot="5400000">
          <a:off x="1584626" y="4187494"/>
          <a:ext cx="6102393" cy="33931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5297EDC-6251-4D73-9992-8AF5FFCC11C4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C469970A-DAFE-4771-9C97-BBE7B18E8BE4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57BE5739-6737-4A12-99F3-511DE3D50C28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C3D3114F-DBE0-4692-AFE6-35497DD7CE2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6E0F0AE4-D4C1-4FEE-ABDD-4EC374FF3AE0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8</xdr:col>
      <xdr:colOff>351588</xdr:colOff>
      <xdr:row>26</xdr:row>
      <xdr:rowOff>122974</xdr:rowOff>
    </xdr:from>
    <xdr:to>
      <xdr:col>11</xdr:col>
      <xdr:colOff>46294</xdr:colOff>
      <xdr:row>29</xdr:row>
      <xdr:rowOff>42141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A5771ED3-95CF-4104-A1F6-97A00A7E575A}"/>
            </a:ext>
          </a:extLst>
        </xdr:cNvPr>
        <xdr:cNvCxnSpPr>
          <a:cxnSpLocks/>
          <a:stCxn id="129" idx="1"/>
          <a:endCxn id="137" idx="6"/>
        </xdr:cNvCxnSpPr>
      </xdr:nvCxnSpPr>
      <xdr:spPr bwMode="auto">
        <a:xfrm flipH="1" flipV="1">
          <a:off x="2942388" y="4113949"/>
          <a:ext cx="837706" cy="37636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5" name="TextBox 162">
          <a:extLst>
            <a:ext uri="{FF2B5EF4-FFF2-40B4-BE49-F238E27FC236}">
              <a16:creationId xmlns:a16="http://schemas.microsoft.com/office/drawing/2014/main" id="{D1F8D05B-4398-474B-85B2-7DEFB9331BCE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150493</xdr:colOff>
      <xdr:row>25</xdr:row>
      <xdr:rowOff>105727</xdr:rowOff>
    </xdr:from>
    <xdr:to>
      <xdr:col>7</xdr:col>
      <xdr:colOff>82344</xdr:colOff>
      <xdr:row>29</xdr:row>
      <xdr:rowOff>104775</xdr:rowOff>
    </xdr:to>
    <xdr:sp macro="" textlink="">
      <xdr:nvSpPr>
        <xdr:cNvPr id="126" name="TextBox 145">
          <a:extLst>
            <a:ext uri="{FF2B5EF4-FFF2-40B4-BE49-F238E27FC236}">
              <a16:creationId xmlns:a16="http://schemas.microsoft.com/office/drawing/2014/main" id="{9D608F60-92A9-43C3-975F-E5B073448D99}"/>
            </a:ext>
          </a:extLst>
        </xdr:cNvPr>
        <xdr:cNvSpPr txBox="1"/>
      </xdr:nvSpPr>
      <xdr:spPr>
        <a:xfrm>
          <a:off x="1598293" y="3944302"/>
          <a:ext cx="693851" cy="6086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K2-708/B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C9-200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85725</xdr:colOff>
      <xdr:row>10</xdr:row>
      <xdr:rowOff>80010</xdr:rowOff>
    </xdr:from>
    <xdr:to>
      <xdr:col>10</xdr:col>
      <xdr:colOff>288802</xdr:colOff>
      <xdr:row>18</xdr:row>
      <xdr:rowOff>97155</xdr:rowOff>
    </xdr:to>
    <xdr:sp macro="" textlink="">
      <xdr:nvSpPr>
        <xdr:cNvPr id="127" name="TextBox 157">
          <a:extLst>
            <a:ext uri="{FF2B5EF4-FFF2-40B4-BE49-F238E27FC236}">
              <a16:creationId xmlns:a16="http://schemas.microsoft.com/office/drawing/2014/main" id="{AF1A7959-DB09-4F25-8BC4-9F1328FD883E}"/>
            </a:ext>
          </a:extLst>
        </xdr:cNvPr>
        <xdr:cNvSpPr txBox="1"/>
      </xdr:nvSpPr>
      <xdr:spPr>
        <a:xfrm>
          <a:off x="2676525" y="1623060"/>
          <a:ext cx="965077" cy="124587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</a:t>
          </a:r>
          <a:r>
            <a:rPr lang="i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PWI 04-K2-708 PWI12 K2-708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CC1-A</a:t>
          </a:r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CA3</a:t>
          </a:r>
        </a:p>
        <a:p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G312 A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CJ5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24765</xdr:colOff>
      <xdr:row>29</xdr:row>
      <xdr:rowOff>22862</xdr:rowOff>
    </xdr:from>
    <xdr:to>
      <xdr:col>11</xdr:col>
      <xdr:colOff>171772</xdr:colOff>
      <xdr:row>30</xdr:row>
      <xdr:rowOff>11635</xdr:rowOff>
    </xdr:to>
    <xdr:grpSp>
      <xdr:nvGrpSpPr>
        <xdr:cNvPr id="128" name="Group 13">
          <a:extLst>
            <a:ext uri="{FF2B5EF4-FFF2-40B4-BE49-F238E27FC236}">
              <a16:creationId xmlns:a16="http://schemas.microsoft.com/office/drawing/2014/main" id="{CE0DD7B5-325B-4F49-9EA6-738C14DCFCC1}"/>
            </a:ext>
          </a:extLst>
        </xdr:cNvPr>
        <xdr:cNvGrpSpPr/>
      </xdr:nvGrpSpPr>
      <xdr:grpSpPr>
        <a:xfrm>
          <a:off x="3768504" y="4396079"/>
          <a:ext cx="147007" cy="129578"/>
          <a:chOff x="9937028" y="802652"/>
          <a:chExt cx="83991" cy="77961"/>
        </a:xfrm>
      </xdr:grpSpPr>
      <xdr:sp macro="" textlink="">
        <xdr:nvSpPr>
          <xdr:cNvPr id="129" name="Oval 1">
            <a:extLst>
              <a:ext uri="{FF2B5EF4-FFF2-40B4-BE49-F238E27FC236}">
                <a16:creationId xmlns:a16="http://schemas.microsoft.com/office/drawing/2014/main" id="{11B74E90-CF26-9CAE-611D-E73536BA8E7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0" name="Straight Connector 3">
            <a:extLst>
              <a:ext uri="{FF2B5EF4-FFF2-40B4-BE49-F238E27FC236}">
                <a16:creationId xmlns:a16="http://schemas.microsoft.com/office/drawing/2014/main" id="{3540D374-48FD-E40B-E8B5-B911AC299B8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7">
            <a:extLst>
              <a:ext uri="{FF2B5EF4-FFF2-40B4-BE49-F238E27FC236}">
                <a16:creationId xmlns:a16="http://schemas.microsoft.com/office/drawing/2014/main" id="{0C7F42AB-DE93-911D-9B6C-80674D73E9A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2" name="Group 13">
          <a:extLst>
            <a:ext uri="{FF2B5EF4-FFF2-40B4-BE49-F238E27FC236}">
              <a16:creationId xmlns:a16="http://schemas.microsoft.com/office/drawing/2014/main" id="{8A6C70DD-7DA1-409C-B000-84A68EB748C9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3" name="Oval 1">
            <a:extLst>
              <a:ext uri="{FF2B5EF4-FFF2-40B4-BE49-F238E27FC236}">
                <a16:creationId xmlns:a16="http://schemas.microsoft.com/office/drawing/2014/main" id="{1C6E6BE0-6799-0C1D-25EC-8A0C7DEB853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4" name="Straight Connector 3">
            <a:extLst>
              <a:ext uri="{FF2B5EF4-FFF2-40B4-BE49-F238E27FC236}">
                <a16:creationId xmlns:a16="http://schemas.microsoft.com/office/drawing/2014/main" id="{83DA843E-B8F1-F3C8-43F4-5DBCC0CFAC7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7">
            <a:extLst>
              <a:ext uri="{FF2B5EF4-FFF2-40B4-BE49-F238E27FC236}">
                <a16:creationId xmlns:a16="http://schemas.microsoft.com/office/drawing/2014/main" id="{54C2BFE6-ACE7-C0EF-18E7-201BCCE8D6D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194310</xdr:colOff>
      <xdr:row>26</xdr:row>
      <xdr:rowOff>57150</xdr:rowOff>
    </xdr:from>
    <xdr:to>
      <xdr:col>8</xdr:col>
      <xdr:colOff>351588</xdr:colOff>
      <xdr:row>27</xdr:row>
      <xdr:rowOff>45923</xdr:rowOff>
    </xdr:to>
    <xdr:grpSp>
      <xdr:nvGrpSpPr>
        <xdr:cNvPr id="136" name="Group 13">
          <a:extLst>
            <a:ext uri="{FF2B5EF4-FFF2-40B4-BE49-F238E27FC236}">
              <a16:creationId xmlns:a16="http://schemas.microsoft.com/office/drawing/2014/main" id="{42FFC2EC-D06B-4795-9E0E-0422C94E7E3F}"/>
            </a:ext>
          </a:extLst>
        </xdr:cNvPr>
        <xdr:cNvGrpSpPr/>
      </xdr:nvGrpSpPr>
      <xdr:grpSpPr>
        <a:xfrm>
          <a:off x="2795049" y="3983107"/>
          <a:ext cx="157278" cy="137859"/>
          <a:chOff x="9937028" y="802652"/>
          <a:chExt cx="83991" cy="77961"/>
        </a:xfrm>
      </xdr:grpSpPr>
      <xdr:sp macro="" textlink="">
        <xdr:nvSpPr>
          <xdr:cNvPr id="137" name="Oval 1">
            <a:extLst>
              <a:ext uri="{FF2B5EF4-FFF2-40B4-BE49-F238E27FC236}">
                <a16:creationId xmlns:a16="http://schemas.microsoft.com/office/drawing/2014/main" id="{DD687A95-FDD2-9A4A-F15A-81D087DDA6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" name="Straight Connector 3">
            <a:extLst>
              <a:ext uri="{FF2B5EF4-FFF2-40B4-BE49-F238E27FC236}">
                <a16:creationId xmlns:a16="http://schemas.microsoft.com/office/drawing/2014/main" id="{F0DF11A8-14E7-169F-8101-85CC706AE67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7">
            <a:extLst>
              <a:ext uri="{FF2B5EF4-FFF2-40B4-BE49-F238E27FC236}">
                <a16:creationId xmlns:a16="http://schemas.microsoft.com/office/drawing/2014/main" id="{8BF8C219-33C5-1131-F134-60C51326B25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308610</xdr:colOff>
      <xdr:row>20</xdr:row>
      <xdr:rowOff>85725</xdr:rowOff>
    </xdr:from>
    <xdr:to>
      <xdr:col>12</xdr:col>
      <xdr:colOff>53112</xdr:colOff>
      <xdr:row>21</xdr:row>
      <xdr:rowOff>82158</xdr:rowOff>
    </xdr:to>
    <xdr:grpSp>
      <xdr:nvGrpSpPr>
        <xdr:cNvPr id="140" name="Group 13">
          <a:extLst>
            <a:ext uri="{FF2B5EF4-FFF2-40B4-BE49-F238E27FC236}">
              <a16:creationId xmlns:a16="http://schemas.microsoft.com/office/drawing/2014/main" id="{9780DDA7-7711-474E-BF11-A26A9B152ED2}"/>
            </a:ext>
          </a:extLst>
        </xdr:cNvPr>
        <xdr:cNvGrpSpPr/>
      </xdr:nvGrpSpPr>
      <xdr:grpSpPr>
        <a:xfrm>
          <a:off x="4052349" y="3117160"/>
          <a:ext cx="125502" cy="145520"/>
          <a:chOff x="9937028" y="802652"/>
          <a:chExt cx="83991" cy="77961"/>
        </a:xfrm>
      </xdr:grpSpPr>
      <xdr:sp macro="" textlink="">
        <xdr:nvSpPr>
          <xdr:cNvPr id="141" name="Oval 1">
            <a:extLst>
              <a:ext uri="{FF2B5EF4-FFF2-40B4-BE49-F238E27FC236}">
                <a16:creationId xmlns:a16="http://schemas.microsoft.com/office/drawing/2014/main" id="{5EF5937B-7668-44D7-4CC4-9B4AB2165F3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2" name="Straight Connector 3">
            <a:extLst>
              <a:ext uri="{FF2B5EF4-FFF2-40B4-BE49-F238E27FC236}">
                <a16:creationId xmlns:a16="http://schemas.microsoft.com/office/drawing/2014/main" id="{01800430-1A0B-A8EC-8262-56CE6A658F6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7">
            <a:extLst>
              <a:ext uri="{FF2B5EF4-FFF2-40B4-BE49-F238E27FC236}">
                <a16:creationId xmlns:a16="http://schemas.microsoft.com/office/drawing/2014/main" id="{F86F5195-CAF7-B094-0AD4-B041B46930C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371475</xdr:colOff>
      <xdr:row>18</xdr:row>
      <xdr:rowOff>11430</xdr:rowOff>
    </xdr:from>
    <xdr:to>
      <xdr:col>15</xdr:col>
      <xdr:colOff>115977</xdr:colOff>
      <xdr:row>19</xdr:row>
      <xdr:rowOff>646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A6B19B45-C038-460A-A543-5A4F3174B135}"/>
            </a:ext>
          </a:extLst>
        </xdr:cNvPr>
        <xdr:cNvGrpSpPr/>
      </xdr:nvGrpSpPr>
      <xdr:grpSpPr>
        <a:xfrm>
          <a:off x="5258214" y="2744691"/>
          <a:ext cx="125502" cy="138303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01DB8B74-6EEC-3EBE-AF83-D7689C70C18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C9F9867E-2789-A6A6-5E1C-72DBAB712EF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80272E07-26CF-53CF-D73A-4CD9E4896AF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8" name="Straight Connector 140">
          <a:extLst>
            <a:ext uri="{FF2B5EF4-FFF2-40B4-BE49-F238E27FC236}">
              <a16:creationId xmlns:a16="http://schemas.microsoft.com/office/drawing/2014/main" id="{803CBBC6-5E75-410B-93E1-DF2958E3E139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308610</xdr:colOff>
      <xdr:row>21</xdr:row>
      <xdr:rowOff>12504</xdr:rowOff>
    </xdr:from>
    <xdr:to>
      <xdr:col>11</xdr:col>
      <xdr:colOff>331684</xdr:colOff>
      <xdr:row>33</xdr:row>
      <xdr:rowOff>81361</xdr:rowOff>
    </xdr:to>
    <xdr:cxnSp macro="">
      <xdr:nvCxnSpPr>
        <xdr:cNvPr id="149" name="Straight Connector 139">
          <a:extLst>
            <a:ext uri="{FF2B5EF4-FFF2-40B4-BE49-F238E27FC236}">
              <a16:creationId xmlns:a16="http://schemas.microsoft.com/office/drawing/2014/main" id="{769DBE22-C1B1-4554-AB69-2C3DB73AA709}"/>
            </a:ext>
          </a:extLst>
        </xdr:cNvPr>
        <xdr:cNvCxnSpPr>
          <a:cxnSpLocks/>
          <a:stCxn id="189" idx="1"/>
          <a:endCxn id="141" idx="2"/>
        </xdr:cNvCxnSpPr>
      </xdr:nvCxnSpPr>
      <xdr:spPr bwMode="auto">
        <a:xfrm flipH="1" flipV="1">
          <a:off x="4042410" y="3241479"/>
          <a:ext cx="23074" cy="188813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50" name="Group 13">
          <a:extLst>
            <a:ext uri="{FF2B5EF4-FFF2-40B4-BE49-F238E27FC236}">
              <a16:creationId xmlns:a16="http://schemas.microsoft.com/office/drawing/2014/main" id="{F4F9612D-195A-4E2D-A725-BFF5F88BCBCE}"/>
            </a:ext>
          </a:extLst>
        </xdr:cNvPr>
        <xdr:cNvGrpSpPr/>
      </xdr:nvGrpSpPr>
      <xdr:grpSpPr>
        <a:xfrm>
          <a:off x="5246784" y="8532578"/>
          <a:ext cx="125502" cy="145521"/>
          <a:chOff x="9937028" y="802652"/>
          <a:chExt cx="83991" cy="77961"/>
        </a:xfrm>
      </xdr:grpSpPr>
      <xdr:sp macro="" textlink="">
        <xdr:nvSpPr>
          <xdr:cNvPr id="151" name="Oval 1">
            <a:extLst>
              <a:ext uri="{FF2B5EF4-FFF2-40B4-BE49-F238E27FC236}">
                <a16:creationId xmlns:a16="http://schemas.microsoft.com/office/drawing/2014/main" id="{13B13433-6683-BE8D-588E-F2274DB4980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2" name="Straight Connector 3">
            <a:extLst>
              <a:ext uri="{FF2B5EF4-FFF2-40B4-BE49-F238E27FC236}">
                <a16:creationId xmlns:a16="http://schemas.microsoft.com/office/drawing/2014/main" id="{600524BA-C618-9076-C730-C0A9E6A9CE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7">
            <a:extLst>
              <a:ext uri="{FF2B5EF4-FFF2-40B4-BE49-F238E27FC236}">
                <a16:creationId xmlns:a16="http://schemas.microsoft.com/office/drawing/2014/main" id="{0458BF1F-B040-3637-EDC3-FFF2E770E22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4" name="Group 13">
          <a:extLst>
            <a:ext uri="{FF2B5EF4-FFF2-40B4-BE49-F238E27FC236}">
              <a16:creationId xmlns:a16="http://schemas.microsoft.com/office/drawing/2014/main" id="{DD3118A3-36CE-4661-9FBA-793BB95048CD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5" name="Oval 1">
            <a:extLst>
              <a:ext uri="{FF2B5EF4-FFF2-40B4-BE49-F238E27FC236}">
                <a16:creationId xmlns:a16="http://schemas.microsoft.com/office/drawing/2014/main" id="{06CC6042-85E5-2593-F172-2E544544F7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6" name="Straight Connector 3">
            <a:extLst>
              <a:ext uri="{FF2B5EF4-FFF2-40B4-BE49-F238E27FC236}">
                <a16:creationId xmlns:a16="http://schemas.microsoft.com/office/drawing/2014/main" id="{F60BD332-D5B1-0F2D-5395-A696B7CB041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7">
            <a:extLst>
              <a:ext uri="{FF2B5EF4-FFF2-40B4-BE49-F238E27FC236}">
                <a16:creationId xmlns:a16="http://schemas.microsoft.com/office/drawing/2014/main" id="{A5120F12-728C-3E9E-6C13-A59CB074546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197457A-1DD6-4F66-A34B-49B056BE6E2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9" name="TextBox 161">
          <a:extLst>
            <a:ext uri="{FF2B5EF4-FFF2-40B4-BE49-F238E27FC236}">
              <a16:creationId xmlns:a16="http://schemas.microsoft.com/office/drawing/2014/main" id="{425D046E-B61E-4121-B901-3FE6D02FDCC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60" name="Straight Arrow Connector 166">
          <a:extLst>
            <a:ext uri="{FF2B5EF4-FFF2-40B4-BE49-F238E27FC236}">
              <a16:creationId xmlns:a16="http://schemas.microsoft.com/office/drawing/2014/main" id="{236ECA21-34E1-410E-932D-112C396DF8B9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150243</xdr:colOff>
      <xdr:row>25</xdr:row>
      <xdr:rowOff>128912</xdr:rowOff>
    </xdr:from>
    <xdr:to>
      <xdr:col>12</xdr:col>
      <xdr:colOff>154305</xdr:colOff>
      <xdr:row>29</xdr:row>
      <xdr:rowOff>42141</xdr:rowOff>
    </xdr:to>
    <xdr:cxnSp macro="">
      <xdr:nvCxnSpPr>
        <xdr:cNvPr id="161" name="Straight Connector 148">
          <a:extLst>
            <a:ext uri="{FF2B5EF4-FFF2-40B4-BE49-F238E27FC236}">
              <a16:creationId xmlns:a16="http://schemas.microsoft.com/office/drawing/2014/main" id="{D8AF1BAC-6D00-4AB2-835C-C3511495F52A}"/>
            </a:ext>
          </a:extLst>
        </xdr:cNvPr>
        <xdr:cNvCxnSpPr>
          <a:cxnSpLocks/>
          <a:stCxn id="129" idx="7"/>
          <a:endCxn id="198" idx="2"/>
        </xdr:cNvCxnSpPr>
      </xdr:nvCxnSpPr>
      <xdr:spPr bwMode="auto">
        <a:xfrm flipV="1">
          <a:off x="3884043" y="3967487"/>
          <a:ext cx="385062" cy="52282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2" name="TextBox 160">
          <a:extLst>
            <a:ext uri="{FF2B5EF4-FFF2-40B4-BE49-F238E27FC236}">
              <a16:creationId xmlns:a16="http://schemas.microsoft.com/office/drawing/2014/main" id="{716501BF-250F-49C6-8F5D-B19DD06C5654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3" name="Group 134">
          <a:extLst>
            <a:ext uri="{FF2B5EF4-FFF2-40B4-BE49-F238E27FC236}">
              <a16:creationId xmlns:a16="http://schemas.microsoft.com/office/drawing/2014/main" id="{EB7928D3-1204-45BD-BC33-3B526286BD60}"/>
            </a:ext>
          </a:extLst>
        </xdr:cNvPr>
        <xdr:cNvGrpSpPr/>
      </xdr:nvGrpSpPr>
      <xdr:grpSpPr>
        <a:xfrm>
          <a:off x="2436909" y="8504003"/>
          <a:ext cx="231003" cy="9140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4" name="Isosceles Triangle 118">
            <a:extLst>
              <a:ext uri="{FF2B5EF4-FFF2-40B4-BE49-F238E27FC236}">
                <a16:creationId xmlns:a16="http://schemas.microsoft.com/office/drawing/2014/main" id="{621F9C39-130D-093E-0EA4-25C9506A3745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19">
            <a:extLst>
              <a:ext uri="{FF2B5EF4-FFF2-40B4-BE49-F238E27FC236}">
                <a16:creationId xmlns:a16="http://schemas.microsoft.com/office/drawing/2014/main" id="{8A3E830D-7FE1-3A18-2943-7297E5FF085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6" name="Isosceles Triangle 120">
            <a:extLst>
              <a:ext uri="{FF2B5EF4-FFF2-40B4-BE49-F238E27FC236}">
                <a16:creationId xmlns:a16="http://schemas.microsoft.com/office/drawing/2014/main" id="{EC6ABE03-696B-4823-5B80-80291B6AEA8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7" name="Isosceles Triangle 120">
          <a:extLst>
            <a:ext uri="{FF2B5EF4-FFF2-40B4-BE49-F238E27FC236}">
              <a16:creationId xmlns:a16="http://schemas.microsoft.com/office/drawing/2014/main" id="{A5E2D079-485F-4C23-9872-CD4BC24E652D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22860</xdr:colOff>
      <xdr:row>21</xdr:row>
      <xdr:rowOff>51435</xdr:rowOff>
    </xdr:from>
    <xdr:to>
      <xdr:col>11</xdr:col>
      <xdr:colOff>272913</xdr:colOff>
      <xdr:row>21</xdr:row>
      <xdr:rowOff>136626</xdr:rowOff>
    </xdr:to>
    <xdr:grpSp>
      <xdr:nvGrpSpPr>
        <xdr:cNvPr id="168" name="Group 134">
          <a:extLst>
            <a:ext uri="{FF2B5EF4-FFF2-40B4-BE49-F238E27FC236}">
              <a16:creationId xmlns:a16="http://schemas.microsoft.com/office/drawing/2014/main" id="{5D4F071F-F151-4AE1-8E29-5951737AAB4D}"/>
            </a:ext>
          </a:extLst>
        </xdr:cNvPr>
        <xdr:cNvGrpSpPr/>
      </xdr:nvGrpSpPr>
      <xdr:grpSpPr>
        <a:xfrm>
          <a:off x="3766599" y="3231957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9" name="Isosceles Triangle 118">
            <a:extLst>
              <a:ext uri="{FF2B5EF4-FFF2-40B4-BE49-F238E27FC236}">
                <a16:creationId xmlns:a16="http://schemas.microsoft.com/office/drawing/2014/main" id="{6FEF9952-8FD1-20E4-CB73-B627F351E07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0" name="Isosceles Triangle 119">
            <a:extLst>
              <a:ext uri="{FF2B5EF4-FFF2-40B4-BE49-F238E27FC236}">
                <a16:creationId xmlns:a16="http://schemas.microsoft.com/office/drawing/2014/main" id="{BED53BA3-FD2A-945D-6B4B-604E6CD4DB9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1" name="Isosceles Triangle 120">
            <a:extLst>
              <a:ext uri="{FF2B5EF4-FFF2-40B4-BE49-F238E27FC236}">
                <a16:creationId xmlns:a16="http://schemas.microsoft.com/office/drawing/2014/main" id="{009A5CCA-A303-4D30-A3C6-0D680F9BE8A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2" name="Isosceles Triangle 120">
          <a:extLst>
            <a:ext uri="{FF2B5EF4-FFF2-40B4-BE49-F238E27FC236}">
              <a16:creationId xmlns:a16="http://schemas.microsoft.com/office/drawing/2014/main" id="{B12007E6-A49F-4D60-B9DB-C9194C27D659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3" name="Group 73">
          <a:extLst>
            <a:ext uri="{FF2B5EF4-FFF2-40B4-BE49-F238E27FC236}">
              <a16:creationId xmlns:a16="http://schemas.microsoft.com/office/drawing/2014/main" id="{FEE34BB9-E9DA-4D96-8122-E0FF431BE1FE}"/>
            </a:ext>
          </a:extLst>
        </xdr:cNvPr>
        <xdr:cNvGrpSpPr/>
      </xdr:nvGrpSpPr>
      <xdr:grpSpPr>
        <a:xfrm rot="21429191">
          <a:off x="7504209" y="8836468"/>
          <a:ext cx="83822" cy="79558"/>
          <a:chOff x="12175074" y="2285812"/>
          <a:chExt cx="107252" cy="65186"/>
        </a:xfrm>
      </xdr:grpSpPr>
      <xdr:cxnSp macro="">
        <xdr:nvCxnSpPr>
          <xdr:cNvPr id="174" name="Straight Connector 74">
            <a:extLst>
              <a:ext uri="{FF2B5EF4-FFF2-40B4-BE49-F238E27FC236}">
                <a16:creationId xmlns:a16="http://schemas.microsoft.com/office/drawing/2014/main" id="{143BB536-10B9-D7A0-7EBA-193C3921F7BB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75">
            <a:extLst>
              <a:ext uri="{FF2B5EF4-FFF2-40B4-BE49-F238E27FC236}">
                <a16:creationId xmlns:a16="http://schemas.microsoft.com/office/drawing/2014/main" id="{314BB865-8CED-BFD0-D8C4-B296A1800F3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76">
            <a:extLst>
              <a:ext uri="{FF2B5EF4-FFF2-40B4-BE49-F238E27FC236}">
                <a16:creationId xmlns:a16="http://schemas.microsoft.com/office/drawing/2014/main" id="{CD5B53E1-5D01-D1B5-7517-5175C252A4D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7" name="Grup 239">
          <a:extLst>
            <a:ext uri="{FF2B5EF4-FFF2-40B4-BE49-F238E27FC236}">
              <a16:creationId xmlns:a16="http://schemas.microsoft.com/office/drawing/2014/main" id="{BCD44AE8-EF31-4F3A-807A-2214C35DC284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8" name="Straight Connector 81">
            <a:extLst>
              <a:ext uri="{FF2B5EF4-FFF2-40B4-BE49-F238E27FC236}">
                <a16:creationId xmlns:a16="http://schemas.microsoft.com/office/drawing/2014/main" id="{A90AEC95-EE25-228F-293A-B984E4BA7CC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2">
            <a:extLst>
              <a:ext uri="{FF2B5EF4-FFF2-40B4-BE49-F238E27FC236}">
                <a16:creationId xmlns:a16="http://schemas.microsoft.com/office/drawing/2014/main" id="{96863D30-9ED0-77AD-4007-2794F69F9F6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3">
            <a:extLst>
              <a:ext uri="{FF2B5EF4-FFF2-40B4-BE49-F238E27FC236}">
                <a16:creationId xmlns:a16="http://schemas.microsoft.com/office/drawing/2014/main" id="{5C550727-7AC7-19AD-32A5-8163EAE3B02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84">
            <a:extLst>
              <a:ext uri="{FF2B5EF4-FFF2-40B4-BE49-F238E27FC236}">
                <a16:creationId xmlns:a16="http://schemas.microsoft.com/office/drawing/2014/main" id="{E419C2D0-0B13-1BEC-9D5D-C2B4242AD1E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2" name="Grup 244">
          <a:extLst>
            <a:ext uri="{FF2B5EF4-FFF2-40B4-BE49-F238E27FC236}">
              <a16:creationId xmlns:a16="http://schemas.microsoft.com/office/drawing/2014/main" id="{77217B08-EEB5-4A70-8940-990EC1F3C890}"/>
            </a:ext>
          </a:extLst>
        </xdr:cNvPr>
        <xdr:cNvGrpSpPr/>
      </xdr:nvGrpSpPr>
      <xdr:grpSpPr>
        <a:xfrm>
          <a:off x="7938549" y="8824084"/>
          <a:ext cx="139135" cy="63445"/>
          <a:chOff x="13302191" y="2320613"/>
          <a:chExt cx="139135" cy="57233"/>
        </a:xfrm>
      </xdr:grpSpPr>
      <xdr:cxnSp macro="">
        <xdr:nvCxnSpPr>
          <xdr:cNvPr id="183" name="Straight Connector 81">
            <a:extLst>
              <a:ext uri="{FF2B5EF4-FFF2-40B4-BE49-F238E27FC236}">
                <a16:creationId xmlns:a16="http://schemas.microsoft.com/office/drawing/2014/main" id="{78CFC50D-333F-B6CF-2A43-713F844C0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2">
            <a:extLst>
              <a:ext uri="{FF2B5EF4-FFF2-40B4-BE49-F238E27FC236}">
                <a16:creationId xmlns:a16="http://schemas.microsoft.com/office/drawing/2014/main" id="{FC18E691-1307-3D3C-1E6D-B05E05BA4B5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83">
            <a:extLst>
              <a:ext uri="{FF2B5EF4-FFF2-40B4-BE49-F238E27FC236}">
                <a16:creationId xmlns:a16="http://schemas.microsoft.com/office/drawing/2014/main" id="{BF41DC86-F237-4248-E595-7FC2DEF1C89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84">
            <a:extLst>
              <a:ext uri="{FF2B5EF4-FFF2-40B4-BE49-F238E27FC236}">
                <a16:creationId xmlns:a16="http://schemas.microsoft.com/office/drawing/2014/main" id="{8EBD3FB5-A577-EBA9-1DFF-9C9988C4EB6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274320</xdr:colOff>
      <xdr:row>19</xdr:row>
      <xdr:rowOff>97153</xdr:rowOff>
    </xdr:from>
    <xdr:to>
      <xdr:col>21</xdr:col>
      <xdr:colOff>51435</xdr:colOff>
      <xdr:row>20</xdr:row>
      <xdr:rowOff>142874</xdr:rowOff>
    </xdr:to>
    <xdr:sp macro="" textlink="">
      <xdr:nvSpPr>
        <xdr:cNvPr id="187" name="TextBox 115">
          <a:extLst>
            <a:ext uri="{FF2B5EF4-FFF2-40B4-BE49-F238E27FC236}">
              <a16:creationId xmlns:a16="http://schemas.microsoft.com/office/drawing/2014/main" id="{5D6CBAB7-8152-4751-90CC-9CF120B8A3B7}"/>
            </a:ext>
          </a:extLst>
        </xdr:cNvPr>
        <xdr:cNvSpPr txBox="1"/>
      </xdr:nvSpPr>
      <xdr:spPr>
        <a:xfrm rot="10800000">
          <a:off x="4770120" y="3021328"/>
          <a:ext cx="2825115" cy="19812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310515</xdr:colOff>
      <xdr:row>33</xdr:row>
      <xdr:rowOff>60960</xdr:rowOff>
    </xdr:from>
    <xdr:to>
      <xdr:col>12</xdr:col>
      <xdr:colOff>55017</xdr:colOff>
      <xdr:row>34</xdr:row>
      <xdr:rowOff>57395</xdr:rowOff>
    </xdr:to>
    <xdr:grpSp>
      <xdr:nvGrpSpPr>
        <xdr:cNvPr id="188" name="Group 13">
          <a:extLst>
            <a:ext uri="{FF2B5EF4-FFF2-40B4-BE49-F238E27FC236}">
              <a16:creationId xmlns:a16="http://schemas.microsoft.com/office/drawing/2014/main" id="{BEF26E43-2353-4F24-8D41-1999CEFD14E4}"/>
            </a:ext>
          </a:extLst>
        </xdr:cNvPr>
        <xdr:cNvGrpSpPr/>
      </xdr:nvGrpSpPr>
      <xdr:grpSpPr>
        <a:xfrm>
          <a:off x="4054254" y="5022243"/>
          <a:ext cx="125502" cy="145522"/>
          <a:chOff x="9937028" y="802652"/>
          <a:chExt cx="83991" cy="77961"/>
        </a:xfrm>
      </xdr:grpSpPr>
      <xdr:sp macro="" textlink="">
        <xdr:nvSpPr>
          <xdr:cNvPr id="189" name="Oval 1">
            <a:extLst>
              <a:ext uri="{FF2B5EF4-FFF2-40B4-BE49-F238E27FC236}">
                <a16:creationId xmlns:a16="http://schemas.microsoft.com/office/drawing/2014/main" id="{89C2C219-EC96-9178-2B93-55EE2FA33E0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0" name="Straight Connector 3">
            <a:extLst>
              <a:ext uri="{FF2B5EF4-FFF2-40B4-BE49-F238E27FC236}">
                <a16:creationId xmlns:a16="http://schemas.microsoft.com/office/drawing/2014/main" id="{9B0085D1-96FF-0343-4DAB-5A997865AD6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7">
            <a:extLst>
              <a:ext uri="{FF2B5EF4-FFF2-40B4-BE49-F238E27FC236}">
                <a16:creationId xmlns:a16="http://schemas.microsoft.com/office/drawing/2014/main" id="{CD3862E2-1B55-F034-F482-B8B9A2223FE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321945</xdr:colOff>
      <xdr:row>34</xdr:row>
      <xdr:rowOff>36994</xdr:rowOff>
    </xdr:from>
    <xdr:to>
      <xdr:col>11</xdr:col>
      <xdr:colOff>331684</xdr:colOff>
      <xdr:row>40</xdr:row>
      <xdr:rowOff>91439</xdr:rowOff>
    </xdr:to>
    <xdr:cxnSp macro="">
      <xdr:nvCxnSpPr>
        <xdr:cNvPr id="192" name="Straight Connector 139">
          <a:extLst>
            <a:ext uri="{FF2B5EF4-FFF2-40B4-BE49-F238E27FC236}">
              <a16:creationId xmlns:a16="http://schemas.microsoft.com/office/drawing/2014/main" id="{C7677C86-DD25-4DB6-BFB5-14BDC26A8095}"/>
            </a:ext>
          </a:extLst>
        </xdr:cNvPr>
        <xdr:cNvCxnSpPr>
          <a:cxnSpLocks/>
          <a:endCxn id="189" idx="3"/>
        </xdr:cNvCxnSpPr>
      </xdr:nvCxnSpPr>
      <xdr:spPr bwMode="auto">
        <a:xfrm flipV="1">
          <a:off x="4055745" y="5237644"/>
          <a:ext cx="9739" cy="9878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15</xdr:row>
      <xdr:rowOff>22860</xdr:rowOff>
    </xdr:from>
    <xdr:to>
      <xdr:col>12</xdr:col>
      <xdr:colOff>281712</xdr:colOff>
      <xdr:row>16</xdr:row>
      <xdr:rowOff>12078</xdr:rowOff>
    </xdr:to>
    <xdr:grpSp>
      <xdr:nvGrpSpPr>
        <xdr:cNvPr id="193" name="Group 13">
          <a:extLst>
            <a:ext uri="{FF2B5EF4-FFF2-40B4-BE49-F238E27FC236}">
              <a16:creationId xmlns:a16="http://schemas.microsoft.com/office/drawing/2014/main" id="{CEFCE3C2-D412-40DA-B89B-12D702B74268}"/>
            </a:ext>
          </a:extLst>
        </xdr:cNvPr>
        <xdr:cNvGrpSpPr/>
      </xdr:nvGrpSpPr>
      <xdr:grpSpPr>
        <a:xfrm>
          <a:off x="4261899" y="2308860"/>
          <a:ext cx="144552" cy="138305"/>
          <a:chOff x="9937028" y="802652"/>
          <a:chExt cx="83991" cy="77961"/>
        </a:xfrm>
      </xdr:grpSpPr>
      <xdr:sp macro="" textlink="">
        <xdr:nvSpPr>
          <xdr:cNvPr id="194" name="Oval 1">
            <a:extLst>
              <a:ext uri="{FF2B5EF4-FFF2-40B4-BE49-F238E27FC236}">
                <a16:creationId xmlns:a16="http://schemas.microsoft.com/office/drawing/2014/main" id="{4587F75F-247C-7524-DED6-3DEF794933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5" name="Straight Connector 3">
            <a:extLst>
              <a:ext uri="{FF2B5EF4-FFF2-40B4-BE49-F238E27FC236}">
                <a16:creationId xmlns:a16="http://schemas.microsoft.com/office/drawing/2014/main" id="{11C4FCBA-0AF6-582D-A84D-3F641A4DBA1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">
            <a:extLst>
              <a:ext uri="{FF2B5EF4-FFF2-40B4-BE49-F238E27FC236}">
                <a16:creationId xmlns:a16="http://schemas.microsoft.com/office/drawing/2014/main" id="{4077A57F-B24C-C1BC-9889-2A9226EE891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154305</xdr:colOff>
      <xdr:row>25</xdr:row>
      <xdr:rowOff>62865</xdr:rowOff>
    </xdr:from>
    <xdr:to>
      <xdr:col>12</xdr:col>
      <xdr:colOff>298857</xdr:colOff>
      <xdr:row>26</xdr:row>
      <xdr:rowOff>52083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C732FB0E-72D9-43BA-963F-F5BA0FE2AC4B}"/>
            </a:ext>
          </a:extLst>
        </xdr:cNvPr>
        <xdr:cNvGrpSpPr/>
      </xdr:nvGrpSpPr>
      <xdr:grpSpPr>
        <a:xfrm>
          <a:off x="4279044" y="3839735"/>
          <a:ext cx="144552" cy="138305"/>
          <a:chOff x="9937028" y="802652"/>
          <a:chExt cx="83991" cy="77961"/>
        </a:xfrm>
      </xdr:grpSpPr>
      <xdr:sp macro="" textlink="">
        <xdr:nvSpPr>
          <xdr:cNvPr id="198" name="Oval 1">
            <a:extLst>
              <a:ext uri="{FF2B5EF4-FFF2-40B4-BE49-F238E27FC236}">
                <a16:creationId xmlns:a16="http://schemas.microsoft.com/office/drawing/2014/main" id="{C2763798-4CF4-E9ED-A30A-387F8CD399C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3">
            <a:extLst>
              <a:ext uri="{FF2B5EF4-FFF2-40B4-BE49-F238E27FC236}">
                <a16:creationId xmlns:a16="http://schemas.microsoft.com/office/drawing/2014/main" id="{01F9726B-8A6B-8DAC-8D9C-5DA2B854C13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">
            <a:extLst>
              <a:ext uri="{FF2B5EF4-FFF2-40B4-BE49-F238E27FC236}">
                <a16:creationId xmlns:a16="http://schemas.microsoft.com/office/drawing/2014/main" id="{16598C6F-EB75-7D8A-A1B4-C7B008F8BC2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209436</xdr:colOff>
      <xdr:row>16</xdr:row>
      <xdr:rowOff>12078</xdr:rowOff>
    </xdr:from>
    <xdr:to>
      <xdr:col>12</xdr:col>
      <xdr:colOff>226581</xdr:colOff>
      <xdr:row>25</xdr:row>
      <xdr:rowOff>62865</xdr:rowOff>
    </xdr:to>
    <xdr:cxnSp macro="">
      <xdr:nvCxnSpPr>
        <xdr:cNvPr id="201" name="Straight Connector 139">
          <a:extLst>
            <a:ext uri="{FF2B5EF4-FFF2-40B4-BE49-F238E27FC236}">
              <a16:creationId xmlns:a16="http://schemas.microsoft.com/office/drawing/2014/main" id="{17D31347-EFBC-4699-BDF8-7CEAE0382728}"/>
            </a:ext>
          </a:extLst>
        </xdr:cNvPr>
        <xdr:cNvCxnSpPr>
          <a:cxnSpLocks/>
          <a:stCxn id="198" idx="0"/>
          <a:endCxn id="194" idx="4"/>
        </xdr:cNvCxnSpPr>
      </xdr:nvCxnSpPr>
      <xdr:spPr bwMode="auto">
        <a:xfrm flipH="1" flipV="1">
          <a:off x="4324236" y="2479053"/>
          <a:ext cx="17145" cy="14223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33848</xdr:colOff>
      <xdr:row>26</xdr:row>
      <xdr:rowOff>32738</xdr:rowOff>
    </xdr:from>
    <xdr:to>
      <xdr:col>12</xdr:col>
      <xdr:colOff>175474</xdr:colOff>
      <xdr:row>33</xdr:row>
      <xdr:rowOff>81361</xdr:rowOff>
    </xdr:to>
    <xdr:cxnSp macro="">
      <xdr:nvCxnSpPr>
        <xdr:cNvPr id="202" name="Straight Connector 139">
          <a:extLst>
            <a:ext uri="{FF2B5EF4-FFF2-40B4-BE49-F238E27FC236}">
              <a16:creationId xmlns:a16="http://schemas.microsoft.com/office/drawing/2014/main" id="{29382697-1C16-4A0B-B434-6ADB4443C0AD}"/>
            </a:ext>
          </a:extLst>
        </xdr:cNvPr>
        <xdr:cNvCxnSpPr>
          <a:cxnSpLocks/>
          <a:stCxn id="189" idx="7"/>
          <a:endCxn id="198" idx="3"/>
        </xdr:cNvCxnSpPr>
      </xdr:nvCxnSpPr>
      <xdr:spPr bwMode="auto">
        <a:xfrm flipV="1">
          <a:off x="4148648" y="4023713"/>
          <a:ext cx="141626" cy="110589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285750</xdr:colOff>
      <xdr:row>10</xdr:row>
      <xdr:rowOff>34290</xdr:rowOff>
    </xdr:from>
    <xdr:to>
      <xdr:col>12</xdr:col>
      <xdr:colOff>30252</xdr:colOff>
      <xdr:row>11</xdr:row>
      <xdr:rowOff>23506</xdr:rowOff>
    </xdr:to>
    <xdr:grpSp>
      <xdr:nvGrpSpPr>
        <xdr:cNvPr id="203" name="Group 13">
          <a:extLst>
            <a:ext uri="{FF2B5EF4-FFF2-40B4-BE49-F238E27FC236}">
              <a16:creationId xmlns:a16="http://schemas.microsoft.com/office/drawing/2014/main" id="{C1C28D0C-A229-4EF3-B7E5-76A91CABF636}"/>
            </a:ext>
          </a:extLst>
        </xdr:cNvPr>
        <xdr:cNvGrpSpPr/>
      </xdr:nvGrpSpPr>
      <xdr:grpSpPr>
        <a:xfrm>
          <a:off x="4029489" y="1558290"/>
          <a:ext cx="125502" cy="138303"/>
          <a:chOff x="9937028" y="802652"/>
          <a:chExt cx="83991" cy="77961"/>
        </a:xfrm>
      </xdr:grpSpPr>
      <xdr:sp macro="" textlink="">
        <xdr:nvSpPr>
          <xdr:cNvPr id="204" name="Oval 1">
            <a:extLst>
              <a:ext uri="{FF2B5EF4-FFF2-40B4-BE49-F238E27FC236}">
                <a16:creationId xmlns:a16="http://schemas.microsoft.com/office/drawing/2014/main" id="{553D93FD-133A-D8B0-85B5-EF8C457F4A6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5" name="Straight Connector 3">
            <a:extLst>
              <a:ext uri="{FF2B5EF4-FFF2-40B4-BE49-F238E27FC236}">
                <a16:creationId xmlns:a16="http://schemas.microsoft.com/office/drawing/2014/main" id="{D7132C0C-201D-B123-6377-4D7E91A997A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7">
            <a:extLst>
              <a:ext uri="{FF2B5EF4-FFF2-40B4-BE49-F238E27FC236}">
                <a16:creationId xmlns:a16="http://schemas.microsoft.com/office/drawing/2014/main" id="{41DDA318-97B8-D35E-3592-C589D4C05D2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306919</xdr:colOff>
      <xdr:row>11</xdr:row>
      <xdr:rowOff>4162</xdr:rowOff>
    </xdr:from>
    <xdr:to>
      <xdr:col>11</xdr:col>
      <xdr:colOff>308610</xdr:colOff>
      <xdr:row>21</xdr:row>
      <xdr:rowOff>12504</xdr:rowOff>
    </xdr:to>
    <xdr:cxnSp macro="">
      <xdr:nvCxnSpPr>
        <xdr:cNvPr id="207" name="Straight Connector 139">
          <a:extLst>
            <a:ext uri="{FF2B5EF4-FFF2-40B4-BE49-F238E27FC236}">
              <a16:creationId xmlns:a16="http://schemas.microsoft.com/office/drawing/2014/main" id="{5C2DBA69-881D-4283-AF7B-AC808AEACFE8}"/>
            </a:ext>
          </a:extLst>
        </xdr:cNvPr>
        <xdr:cNvCxnSpPr>
          <a:cxnSpLocks/>
          <a:stCxn id="141" idx="2"/>
          <a:endCxn id="204" idx="3"/>
        </xdr:cNvCxnSpPr>
      </xdr:nvCxnSpPr>
      <xdr:spPr bwMode="auto">
        <a:xfrm flipH="1" flipV="1">
          <a:off x="4040719" y="1699612"/>
          <a:ext cx="1691" cy="154186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358026</xdr:colOff>
      <xdr:row>11</xdr:row>
      <xdr:rowOff>23506</xdr:rowOff>
    </xdr:from>
    <xdr:to>
      <xdr:col>11</xdr:col>
      <xdr:colOff>360045</xdr:colOff>
      <xdr:row>20</xdr:row>
      <xdr:rowOff>74295</xdr:rowOff>
    </xdr:to>
    <xdr:cxnSp macro="">
      <xdr:nvCxnSpPr>
        <xdr:cNvPr id="208" name="Straight Connector 139">
          <a:extLst>
            <a:ext uri="{FF2B5EF4-FFF2-40B4-BE49-F238E27FC236}">
              <a16:creationId xmlns:a16="http://schemas.microsoft.com/office/drawing/2014/main" id="{755C8ED8-6CC5-48B5-AE97-D89F220A10F1}"/>
            </a:ext>
          </a:extLst>
        </xdr:cNvPr>
        <xdr:cNvCxnSpPr>
          <a:cxnSpLocks/>
          <a:endCxn id="204" idx="4"/>
        </xdr:cNvCxnSpPr>
      </xdr:nvCxnSpPr>
      <xdr:spPr bwMode="auto">
        <a:xfrm flipH="1" flipV="1">
          <a:off x="4091826" y="1718956"/>
          <a:ext cx="2019" cy="14319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380886</xdr:colOff>
      <xdr:row>21</xdr:row>
      <xdr:rowOff>82158</xdr:rowOff>
    </xdr:from>
    <xdr:to>
      <xdr:col>11</xdr:col>
      <xdr:colOff>382791</xdr:colOff>
      <xdr:row>33</xdr:row>
      <xdr:rowOff>60960</xdr:rowOff>
    </xdr:to>
    <xdr:cxnSp macro="">
      <xdr:nvCxnSpPr>
        <xdr:cNvPr id="209" name="Straight Connector 139">
          <a:extLst>
            <a:ext uri="{FF2B5EF4-FFF2-40B4-BE49-F238E27FC236}">
              <a16:creationId xmlns:a16="http://schemas.microsoft.com/office/drawing/2014/main" id="{C1C10741-7D20-47AB-B0F1-3061E36F3C7E}"/>
            </a:ext>
          </a:extLst>
        </xdr:cNvPr>
        <xdr:cNvCxnSpPr>
          <a:cxnSpLocks/>
          <a:stCxn id="189" idx="0"/>
          <a:endCxn id="141" idx="4"/>
        </xdr:cNvCxnSpPr>
      </xdr:nvCxnSpPr>
      <xdr:spPr bwMode="auto">
        <a:xfrm flipH="1" flipV="1">
          <a:off x="4114686" y="3311133"/>
          <a:ext cx="1905" cy="179807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205741</xdr:colOff>
      <xdr:row>24</xdr:row>
      <xdr:rowOff>40958</xdr:rowOff>
    </xdr:from>
    <xdr:to>
      <xdr:col>8</xdr:col>
      <xdr:colOff>90488</xdr:colOff>
      <xdr:row>33</xdr:row>
      <xdr:rowOff>28574</xdr:rowOff>
    </xdr:to>
    <xdr:sp macro="" textlink="">
      <xdr:nvSpPr>
        <xdr:cNvPr id="210" name="Rectangle 1">
          <a:extLst>
            <a:ext uri="{FF2B5EF4-FFF2-40B4-BE49-F238E27FC236}">
              <a16:creationId xmlns:a16="http://schemas.microsoft.com/office/drawing/2014/main" id="{1611514A-C43A-46BD-A31B-BC9ABE3DE285}"/>
            </a:ext>
          </a:extLst>
        </xdr:cNvPr>
        <xdr:cNvSpPr/>
      </xdr:nvSpPr>
      <xdr:spPr>
        <a:xfrm rot="5400000">
          <a:off x="1873569" y="4269105"/>
          <a:ext cx="1349691" cy="2657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31943</xdr:colOff>
      <xdr:row>18</xdr:row>
      <xdr:rowOff>124178</xdr:rowOff>
    </xdr:from>
    <xdr:to>
      <xdr:col>14</xdr:col>
      <xdr:colOff>392644</xdr:colOff>
      <xdr:row>20</xdr:row>
      <xdr:rowOff>106126</xdr:rowOff>
    </xdr:to>
    <xdr:cxnSp macro="">
      <xdr:nvCxnSpPr>
        <xdr:cNvPr id="211" name="Straight Connector 139">
          <a:extLst>
            <a:ext uri="{FF2B5EF4-FFF2-40B4-BE49-F238E27FC236}">
              <a16:creationId xmlns:a16="http://schemas.microsoft.com/office/drawing/2014/main" id="{89E2FB03-C5BB-4520-8397-03D406E89F79}"/>
            </a:ext>
          </a:extLst>
        </xdr:cNvPr>
        <xdr:cNvCxnSpPr>
          <a:cxnSpLocks/>
          <a:stCxn id="141" idx="7"/>
          <a:endCxn id="145" idx="3"/>
        </xdr:cNvCxnSpPr>
      </xdr:nvCxnSpPr>
      <xdr:spPr bwMode="auto">
        <a:xfrm flipV="1">
          <a:off x="4146743" y="2895953"/>
          <a:ext cx="1113176" cy="286748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94808</xdr:colOff>
      <xdr:row>18</xdr:row>
      <xdr:rowOff>109538</xdr:rowOff>
    </xdr:from>
    <xdr:to>
      <xdr:col>18</xdr:col>
      <xdr:colOff>4763</xdr:colOff>
      <xdr:row>18</xdr:row>
      <xdr:rowOff>124177</xdr:rowOff>
    </xdr:to>
    <xdr:cxnSp macro="">
      <xdr:nvCxnSpPr>
        <xdr:cNvPr id="212" name="Straight Connector 139">
          <a:extLst>
            <a:ext uri="{FF2B5EF4-FFF2-40B4-BE49-F238E27FC236}">
              <a16:creationId xmlns:a16="http://schemas.microsoft.com/office/drawing/2014/main" id="{58A5FD11-290F-47FE-86A5-7EB52F5A6EC1}"/>
            </a:ext>
          </a:extLst>
        </xdr:cNvPr>
        <xdr:cNvCxnSpPr>
          <a:cxnSpLocks/>
          <a:stCxn id="145" idx="5"/>
        </xdr:cNvCxnSpPr>
      </xdr:nvCxnSpPr>
      <xdr:spPr bwMode="auto">
        <a:xfrm flipV="1">
          <a:off x="5352608" y="2881313"/>
          <a:ext cx="1052955" cy="14639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251460</xdr:colOff>
      <xdr:row>23</xdr:row>
      <xdr:rowOff>5714</xdr:rowOff>
    </xdr:from>
    <xdr:to>
      <xdr:col>12</xdr:col>
      <xdr:colOff>148590</xdr:colOff>
      <xdr:row>24</xdr:row>
      <xdr:rowOff>57150</xdr:rowOff>
    </xdr:to>
    <xdr:sp macro="" textlink="">
      <xdr:nvSpPr>
        <xdr:cNvPr id="213" name="TextBox 161">
          <a:extLst>
            <a:ext uri="{FF2B5EF4-FFF2-40B4-BE49-F238E27FC236}">
              <a16:creationId xmlns:a16="http://schemas.microsoft.com/office/drawing/2014/main" id="{368FD9CB-5FE3-4F04-8B9B-3A363D84FE86}"/>
            </a:ext>
          </a:extLst>
        </xdr:cNvPr>
        <xdr:cNvSpPr txBox="1"/>
      </xdr:nvSpPr>
      <xdr:spPr>
        <a:xfrm>
          <a:off x="3604260" y="3539489"/>
          <a:ext cx="659130" cy="2038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73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378142</xdr:colOff>
      <xdr:row>32</xdr:row>
      <xdr:rowOff>47626</xdr:rowOff>
    </xdr:from>
    <xdr:to>
      <xdr:col>16</xdr:col>
      <xdr:colOff>181169</xdr:colOff>
      <xdr:row>40</xdr:row>
      <xdr:rowOff>22861</xdr:rowOff>
    </xdr:to>
    <xdr:sp macro="" textlink="">
      <xdr:nvSpPr>
        <xdr:cNvPr id="214" name="TextBox 157">
          <a:extLst>
            <a:ext uri="{FF2B5EF4-FFF2-40B4-BE49-F238E27FC236}">
              <a16:creationId xmlns:a16="http://schemas.microsoft.com/office/drawing/2014/main" id="{141F97D5-8459-4380-B461-64DC5DCBAC60}"/>
            </a:ext>
          </a:extLst>
        </xdr:cNvPr>
        <xdr:cNvSpPr txBox="1"/>
      </xdr:nvSpPr>
      <xdr:spPr>
        <a:xfrm>
          <a:off x="4873942" y="4943476"/>
          <a:ext cx="946027" cy="12134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</a:t>
          </a:r>
          <a:r>
            <a:rPr lang="i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PWI 04-K2-709 PWI12 K2-709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DCC1-A</a:t>
          </a:r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LBS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DB06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CJ5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4071</xdr:colOff>
      <xdr:row>27</xdr:row>
      <xdr:rowOff>48024</xdr:rowOff>
    </xdr:from>
    <xdr:to>
      <xdr:col>12</xdr:col>
      <xdr:colOff>32123</xdr:colOff>
      <xdr:row>28</xdr:row>
      <xdr:rowOff>54843</xdr:rowOff>
    </xdr:to>
    <xdr:grpSp>
      <xdr:nvGrpSpPr>
        <xdr:cNvPr id="215" name="Group 73">
          <a:extLst>
            <a:ext uri="{FF2B5EF4-FFF2-40B4-BE49-F238E27FC236}">
              <a16:creationId xmlns:a16="http://schemas.microsoft.com/office/drawing/2014/main" id="{5F16B6DB-22A5-4B4A-BD19-76680EDF98A2}"/>
            </a:ext>
          </a:extLst>
        </xdr:cNvPr>
        <xdr:cNvGrpSpPr/>
      </xdr:nvGrpSpPr>
      <xdr:grpSpPr>
        <a:xfrm rot="6216308" flipV="1">
          <a:off x="4064883" y="4186994"/>
          <a:ext cx="155906" cy="28052"/>
          <a:chOff x="12175074" y="2285812"/>
          <a:chExt cx="107252" cy="65186"/>
        </a:xfrm>
      </xdr:grpSpPr>
      <xdr:cxnSp macro="">
        <xdr:nvCxnSpPr>
          <xdr:cNvPr id="216" name="Straight Connector 74">
            <a:extLst>
              <a:ext uri="{FF2B5EF4-FFF2-40B4-BE49-F238E27FC236}">
                <a16:creationId xmlns:a16="http://schemas.microsoft.com/office/drawing/2014/main" id="{716B8AF4-DFEC-9336-4A13-F2A61353F7B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5">
            <a:extLst>
              <a:ext uri="{FF2B5EF4-FFF2-40B4-BE49-F238E27FC236}">
                <a16:creationId xmlns:a16="http://schemas.microsoft.com/office/drawing/2014/main" id="{346963EB-F7A8-1F1E-43AC-6FF6ACCFCFF1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76">
            <a:extLst>
              <a:ext uri="{FF2B5EF4-FFF2-40B4-BE49-F238E27FC236}">
                <a16:creationId xmlns:a16="http://schemas.microsoft.com/office/drawing/2014/main" id="{A4F727FF-345A-B709-3BF4-B5D886E5E326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31943</xdr:colOff>
      <xdr:row>21</xdr:row>
      <xdr:rowOff>61757</xdr:rowOff>
    </xdr:from>
    <xdr:to>
      <xdr:col>12</xdr:col>
      <xdr:colOff>226581</xdr:colOff>
      <xdr:row>25</xdr:row>
      <xdr:rowOff>62865</xdr:rowOff>
    </xdr:to>
    <xdr:cxnSp macro="">
      <xdr:nvCxnSpPr>
        <xdr:cNvPr id="219" name="Straight Connector 139">
          <a:extLst>
            <a:ext uri="{FF2B5EF4-FFF2-40B4-BE49-F238E27FC236}">
              <a16:creationId xmlns:a16="http://schemas.microsoft.com/office/drawing/2014/main" id="{7233EB7B-BCC1-4EB5-8648-52F3F78B4274}"/>
            </a:ext>
          </a:extLst>
        </xdr:cNvPr>
        <xdr:cNvCxnSpPr>
          <a:cxnSpLocks/>
          <a:stCxn id="198" idx="0"/>
          <a:endCxn id="141" idx="5"/>
        </xdr:cNvCxnSpPr>
      </xdr:nvCxnSpPr>
      <xdr:spPr bwMode="auto">
        <a:xfrm flipH="1" flipV="1">
          <a:off x="4146743" y="3290732"/>
          <a:ext cx="194638" cy="61070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125730</xdr:colOff>
      <xdr:row>22</xdr:row>
      <xdr:rowOff>120016</xdr:rowOff>
    </xdr:from>
    <xdr:to>
      <xdr:col>14</xdr:col>
      <xdr:colOff>22860</xdr:colOff>
      <xdr:row>24</xdr:row>
      <xdr:rowOff>28576</xdr:rowOff>
    </xdr:to>
    <xdr:sp macro="" textlink="">
      <xdr:nvSpPr>
        <xdr:cNvPr id="220" name="TextBox 161">
          <a:extLst>
            <a:ext uri="{FF2B5EF4-FFF2-40B4-BE49-F238E27FC236}">
              <a16:creationId xmlns:a16="http://schemas.microsoft.com/office/drawing/2014/main" id="{7ED222B2-44C9-4799-865C-D0AA147BAA9D}"/>
            </a:ext>
          </a:extLst>
        </xdr:cNvPr>
        <xdr:cNvSpPr txBox="1"/>
      </xdr:nvSpPr>
      <xdr:spPr>
        <a:xfrm>
          <a:off x="4240530" y="3501391"/>
          <a:ext cx="65913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46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79064</xdr:colOff>
      <xdr:row>23</xdr:row>
      <xdr:rowOff>29521</xdr:rowOff>
    </xdr:from>
    <xdr:to>
      <xdr:col>12</xdr:col>
      <xdr:colOff>218199</xdr:colOff>
      <xdr:row>23</xdr:row>
      <xdr:rowOff>86755</xdr:rowOff>
    </xdr:to>
    <xdr:grpSp>
      <xdr:nvGrpSpPr>
        <xdr:cNvPr id="221" name="Grup 288">
          <a:extLst>
            <a:ext uri="{FF2B5EF4-FFF2-40B4-BE49-F238E27FC236}">
              <a16:creationId xmlns:a16="http://schemas.microsoft.com/office/drawing/2014/main" id="{B32C0BEB-944C-4D59-844F-F09E66CA5B8E}"/>
            </a:ext>
          </a:extLst>
        </xdr:cNvPr>
        <xdr:cNvGrpSpPr/>
      </xdr:nvGrpSpPr>
      <xdr:grpSpPr>
        <a:xfrm rot="1990813">
          <a:off x="4203803" y="3508217"/>
          <a:ext cx="139135" cy="57234"/>
          <a:chOff x="13302191" y="2320613"/>
          <a:chExt cx="139135" cy="57233"/>
        </a:xfrm>
      </xdr:grpSpPr>
      <xdr:cxnSp macro="">
        <xdr:nvCxnSpPr>
          <xdr:cNvPr id="222" name="Straight Connector 81">
            <a:extLst>
              <a:ext uri="{FF2B5EF4-FFF2-40B4-BE49-F238E27FC236}">
                <a16:creationId xmlns:a16="http://schemas.microsoft.com/office/drawing/2014/main" id="{FAE29300-A14E-03D4-D32E-832B5B8008C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82">
            <a:extLst>
              <a:ext uri="{FF2B5EF4-FFF2-40B4-BE49-F238E27FC236}">
                <a16:creationId xmlns:a16="http://schemas.microsoft.com/office/drawing/2014/main" id="{071083F6-8D6D-B651-592F-DE98A18F735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83">
            <a:extLst>
              <a:ext uri="{FF2B5EF4-FFF2-40B4-BE49-F238E27FC236}">
                <a16:creationId xmlns:a16="http://schemas.microsoft.com/office/drawing/2014/main" id="{F33D3D70-EC58-D2F8-598A-BE9D32FFB45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4">
            <a:extLst>
              <a:ext uri="{FF2B5EF4-FFF2-40B4-BE49-F238E27FC236}">
                <a16:creationId xmlns:a16="http://schemas.microsoft.com/office/drawing/2014/main" id="{5E89E38E-BD37-D59B-A447-04AB35B9B81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304799</xdr:colOff>
      <xdr:row>27</xdr:row>
      <xdr:rowOff>100012</xdr:rowOff>
    </xdr:from>
    <xdr:to>
      <xdr:col>10</xdr:col>
      <xdr:colOff>43884</xdr:colOff>
      <xdr:row>28</xdr:row>
      <xdr:rowOff>14370</xdr:rowOff>
    </xdr:to>
    <xdr:grpSp>
      <xdr:nvGrpSpPr>
        <xdr:cNvPr id="226" name="Grup 297">
          <a:extLst>
            <a:ext uri="{FF2B5EF4-FFF2-40B4-BE49-F238E27FC236}">
              <a16:creationId xmlns:a16="http://schemas.microsoft.com/office/drawing/2014/main" id="{9B769305-5B3B-46B2-82CF-0A1F5F5BB866}"/>
            </a:ext>
          </a:extLst>
        </xdr:cNvPr>
        <xdr:cNvGrpSpPr/>
      </xdr:nvGrpSpPr>
      <xdr:grpSpPr>
        <a:xfrm rot="20878046">
          <a:off x="3286538" y="4175055"/>
          <a:ext cx="120085" cy="63445"/>
          <a:chOff x="13302191" y="2320613"/>
          <a:chExt cx="139135" cy="57233"/>
        </a:xfrm>
      </xdr:grpSpPr>
      <xdr:cxnSp macro="">
        <xdr:nvCxnSpPr>
          <xdr:cNvPr id="227" name="Straight Connector 81">
            <a:extLst>
              <a:ext uri="{FF2B5EF4-FFF2-40B4-BE49-F238E27FC236}">
                <a16:creationId xmlns:a16="http://schemas.microsoft.com/office/drawing/2014/main" id="{A006A7B1-7CE3-791B-B94C-92CBCA0BB03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82">
            <a:extLst>
              <a:ext uri="{FF2B5EF4-FFF2-40B4-BE49-F238E27FC236}">
                <a16:creationId xmlns:a16="http://schemas.microsoft.com/office/drawing/2014/main" id="{C462790B-6E93-08FB-E3D0-43738317663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83">
            <a:extLst>
              <a:ext uri="{FF2B5EF4-FFF2-40B4-BE49-F238E27FC236}">
                <a16:creationId xmlns:a16="http://schemas.microsoft.com/office/drawing/2014/main" id="{FA4CF369-117A-7739-2CE9-3B41A77FC6C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84">
            <a:extLst>
              <a:ext uri="{FF2B5EF4-FFF2-40B4-BE49-F238E27FC236}">
                <a16:creationId xmlns:a16="http://schemas.microsoft.com/office/drawing/2014/main" id="{CAB1A14E-1069-1BBD-189D-B2B4C03BEE9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46666</xdr:colOff>
      <xdr:row>25</xdr:row>
      <xdr:rowOff>107638</xdr:rowOff>
    </xdr:from>
    <xdr:to>
      <xdr:col>12</xdr:col>
      <xdr:colOff>103900</xdr:colOff>
      <xdr:row>26</xdr:row>
      <xdr:rowOff>103899</xdr:rowOff>
    </xdr:to>
    <xdr:grpSp>
      <xdr:nvGrpSpPr>
        <xdr:cNvPr id="231" name="Grup 304">
          <a:extLst>
            <a:ext uri="{FF2B5EF4-FFF2-40B4-BE49-F238E27FC236}">
              <a16:creationId xmlns:a16="http://schemas.microsoft.com/office/drawing/2014/main" id="{0D55AE82-A965-4C6A-B3E3-44519109C192}"/>
            </a:ext>
          </a:extLst>
        </xdr:cNvPr>
        <xdr:cNvGrpSpPr/>
      </xdr:nvGrpSpPr>
      <xdr:grpSpPr>
        <a:xfrm rot="18728208">
          <a:off x="4127348" y="3928565"/>
          <a:ext cx="145348" cy="57234"/>
          <a:chOff x="13302191" y="2320613"/>
          <a:chExt cx="139135" cy="57233"/>
        </a:xfrm>
      </xdr:grpSpPr>
      <xdr:cxnSp macro="">
        <xdr:nvCxnSpPr>
          <xdr:cNvPr id="232" name="Straight Connector 81">
            <a:extLst>
              <a:ext uri="{FF2B5EF4-FFF2-40B4-BE49-F238E27FC236}">
                <a16:creationId xmlns:a16="http://schemas.microsoft.com/office/drawing/2014/main" id="{071F09F1-9B35-3AD2-E977-75150DB1695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82">
            <a:extLst>
              <a:ext uri="{FF2B5EF4-FFF2-40B4-BE49-F238E27FC236}">
                <a16:creationId xmlns:a16="http://schemas.microsoft.com/office/drawing/2014/main" id="{ACCB17ED-5AC7-F7A8-2940-1D312F80444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83">
            <a:extLst>
              <a:ext uri="{FF2B5EF4-FFF2-40B4-BE49-F238E27FC236}">
                <a16:creationId xmlns:a16="http://schemas.microsoft.com/office/drawing/2014/main" id="{A58E3373-5AC5-534D-965B-3C9FED01A4E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4">
            <a:extLst>
              <a:ext uri="{FF2B5EF4-FFF2-40B4-BE49-F238E27FC236}">
                <a16:creationId xmlns:a16="http://schemas.microsoft.com/office/drawing/2014/main" id="{1085E312-18F5-E474-E8F4-13D608E2C66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42862</xdr:colOff>
      <xdr:row>30</xdr:row>
      <xdr:rowOff>19050</xdr:rowOff>
    </xdr:from>
    <xdr:to>
      <xdr:col>6</xdr:col>
      <xdr:colOff>374763</xdr:colOff>
      <xdr:row>34</xdr:row>
      <xdr:rowOff>18098</xdr:rowOff>
    </xdr:to>
    <xdr:sp macro="" textlink="">
      <xdr:nvSpPr>
        <xdr:cNvPr id="236" name="TextBox 145">
          <a:extLst>
            <a:ext uri="{FF2B5EF4-FFF2-40B4-BE49-F238E27FC236}">
              <a16:creationId xmlns:a16="http://schemas.microsoft.com/office/drawing/2014/main" id="{78CFDE0D-2998-4AFA-8AD4-8D40687E8789}"/>
            </a:ext>
          </a:extLst>
        </xdr:cNvPr>
        <xdr:cNvSpPr txBox="1"/>
      </xdr:nvSpPr>
      <xdr:spPr>
        <a:xfrm>
          <a:off x="1490662" y="4610100"/>
          <a:ext cx="712901" cy="6086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K2-708/C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C9-200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285751</xdr:colOff>
      <xdr:row>27</xdr:row>
      <xdr:rowOff>23814</xdr:rowOff>
    </xdr:from>
    <xdr:to>
      <xdr:col>11</xdr:col>
      <xdr:colOff>182881</xdr:colOff>
      <xdr:row>28</xdr:row>
      <xdr:rowOff>75249</xdr:rowOff>
    </xdr:to>
    <xdr:sp macro="" textlink="">
      <xdr:nvSpPr>
        <xdr:cNvPr id="237" name="TextBox 161">
          <a:extLst>
            <a:ext uri="{FF2B5EF4-FFF2-40B4-BE49-F238E27FC236}">
              <a16:creationId xmlns:a16="http://schemas.microsoft.com/office/drawing/2014/main" id="{70368F52-EE0E-4785-ACBB-97594A847170}"/>
            </a:ext>
          </a:extLst>
        </xdr:cNvPr>
        <xdr:cNvSpPr txBox="1"/>
      </xdr:nvSpPr>
      <xdr:spPr>
        <a:xfrm>
          <a:off x="3257551" y="4167189"/>
          <a:ext cx="659130" cy="2038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52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323849</xdr:colOff>
      <xdr:row>27</xdr:row>
      <xdr:rowOff>1</xdr:rowOff>
    </xdr:from>
    <xdr:to>
      <xdr:col>13</xdr:col>
      <xdr:colOff>220979</xdr:colOff>
      <xdr:row>28</xdr:row>
      <xdr:rowOff>51436</xdr:rowOff>
    </xdr:to>
    <xdr:sp macro="" textlink="">
      <xdr:nvSpPr>
        <xdr:cNvPr id="238" name="TextBox 161">
          <a:extLst>
            <a:ext uri="{FF2B5EF4-FFF2-40B4-BE49-F238E27FC236}">
              <a16:creationId xmlns:a16="http://schemas.microsoft.com/office/drawing/2014/main" id="{2DC7D712-6EEE-4418-8358-0BB9147E636A}"/>
            </a:ext>
          </a:extLst>
        </xdr:cNvPr>
        <xdr:cNvSpPr txBox="1"/>
      </xdr:nvSpPr>
      <xdr:spPr>
        <a:xfrm>
          <a:off x="4057649" y="4143376"/>
          <a:ext cx="659130" cy="2038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20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388620</xdr:colOff>
      <xdr:row>23</xdr:row>
      <xdr:rowOff>137160</xdr:rowOff>
    </xdr:from>
    <xdr:to>
      <xdr:col>15</xdr:col>
      <xdr:colOff>320471</xdr:colOff>
      <xdr:row>27</xdr:row>
      <xdr:rowOff>136208</xdr:rowOff>
    </xdr:to>
    <xdr:sp macro="" textlink="">
      <xdr:nvSpPr>
        <xdr:cNvPr id="239" name="TextBox 145">
          <a:extLst>
            <a:ext uri="{FF2B5EF4-FFF2-40B4-BE49-F238E27FC236}">
              <a16:creationId xmlns:a16="http://schemas.microsoft.com/office/drawing/2014/main" id="{5E8AFC8B-803D-422E-971C-E722D494BD41}"/>
            </a:ext>
          </a:extLst>
        </xdr:cNvPr>
        <xdr:cNvSpPr txBox="1"/>
      </xdr:nvSpPr>
      <xdr:spPr>
        <a:xfrm>
          <a:off x="4874895" y="3670935"/>
          <a:ext cx="703376" cy="60864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K2-708/A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C1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1-350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DB03</a:t>
          </a:r>
          <a:endParaRPr lang="LID4096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354330</xdr:colOff>
      <xdr:row>12</xdr:row>
      <xdr:rowOff>45721</xdr:rowOff>
    </xdr:from>
    <xdr:to>
      <xdr:col>15</xdr:col>
      <xdr:colOff>286181</xdr:colOff>
      <xdr:row>16</xdr:row>
      <xdr:rowOff>21909</xdr:rowOff>
    </xdr:to>
    <xdr:sp macro="" textlink="">
      <xdr:nvSpPr>
        <xdr:cNvPr id="240" name="TextBox 145">
          <a:extLst>
            <a:ext uri="{FF2B5EF4-FFF2-40B4-BE49-F238E27FC236}">
              <a16:creationId xmlns:a16="http://schemas.microsoft.com/office/drawing/2014/main" id="{72654E2F-B8A4-4C7D-A3B3-E44E0D03FFF2}"/>
            </a:ext>
          </a:extLst>
        </xdr:cNvPr>
        <xdr:cNvSpPr txBox="1"/>
      </xdr:nvSpPr>
      <xdr:spPr>
        <a:xfrm>
          <a:off x="4850130" y="1893571"/>
          <a:ext cx="693851" cy="59531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LID4096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K2-70</a:t>
          </a:r>
          <a:r>
            <a:rPr lang="i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7/A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LID4096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C1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1-350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205740</xdr:colOff>
      <xdr:row>10</xdr:row>
      <xdr:rowOff>45720</xdr:rowOff>
    </xdr:from>
    <xdr:to>
      <xdr:col>12</xdr:col>
      <xdr:colOff>209436</xdr:colOff>
      <xdr:row>15</xdr:row>
      <xdr:rowOff>22860</xdr:rowOff>
    </xdr:to>
    <xdr:cxnSp macro="">
      <xdr:nvCxnSpPr>
        <xdr:cNvPr id="241" name="Straight Connector 139">
          <a:extLst>
            <a:ext uri="{FF2B5EF4-FFF2-40B4-BE49-F238E27FC236}">
              <a16:creationId xmlns:a16="http://schemas.microsoft.com/office/drawing/2014/main" id="{4C6D618E-E873-4F85-8F9B-11DA86DC4C7B}"/>
            </a:ext>
          </a:extLst>
        </xdr:cNvPr>
        <xdr:cNvCxnSpPr>
          <a:cxnSpLocks/>
          <a:stCxn id="194" idx="0"/>
        </xdr:cNvCxnSpPr>
      </xdr:nvCxnSpPr>
      <xdr:spPr bwMode="auto">
        <a:xfrm flipH="1" flipV="1">
          <a:off x="4320540" y="1588770"/>
          <a:ext cx="3696" cy="748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363378</xdr:colOff>
      <xdr:row>15</xdr:row>
      <xdr:rowOff>65247</xdr:rowOff>
    </xdr:from>
    <xdr:to>
      <xdr:col>12</xdr:col>
      <xdr:colOff>36675</xdr:colOff>
      <xdr:row>16</xdr:row>
      <xdr:rowOff>25245</xdr:rowOff>
    </xdr:to>
    <xdr:grpSp>
      <xdr:nvGrpSpPr>
        <xdr:cNvPr id="242" name="Group 73">
          <a:extLst>
            <a:ext uri="{FF2B5EF4-FFF2-40B4-BE49-F238E27FC236}">
              <a16:creationId xmlns:a16="http://schemas.microsoft.com/office/drawing/2014/main" id="{16CC11FC-7F31-46FD-BB26-8641E7474BAA}"/>
            </a:ext>
          </a:extLst>
        </xdr:cNvPr>
        <xdr:cNvGrpSpPr/>
      </xdr:nvGrpSpPr>
      <xdr:grpSpPr>
        <a:xfrm rot="5073803">
          <a:off x="4079723" y="2378641"/>
          <a:ext cx="109085" cy="54297"/>
          <a:chOff x="12175074" y="2285812"/>
          <a:chExt cx="107252" cy="65186"/>
        </a:xfrm>
      </xdr:grpSpPr>
      <xdr:cxnSp macro="">
        <xdr:nvCxnSpPr>
          <xdr:cNvPr id="243" name="Straight Connector 74">
            <a:extLst>
              <a:ext uri="{FF2B5EF4-FFF2-40B4-BE49-F238E27FC236}">
                <a16:creationId xmlns:a16="http://schemas.microsoft.com/office/drawing/2014/main" id="{02CB79BE-8C39-60BB-5F2D-8170692D9C1A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5">
            <a:extLst>
              <a:ext uri="{FF2B5EF4-FFF2-40B4-BE49-F238E27FC236}">
                <a16:creationId xmlns:a16="http://schemas.microsoft.com/office/drawing/2014/main" id="{04F4F7EC-F88A-B82B-52E1-FD57B1D1735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76">
            <a:extLst>
              <a:ext uri="{FF2B5EF4-FFF2-40B4-BE49-F238E27FC236}">
                <a16:creationId xmlns:a16="http://schemas.microsoft.com/office/drawing/2014/main" id="{2730E71E-4F24-F6A9-86CE-D98947A06DB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4</xdr:row>
      <xdr:rowOff>51953</xdr:rowOff>
    </xdr:from>
    <xdr:to>
      <xdr:col>28</xdr:col>
      <xdr:colOff>51955</xdr:colOff>
      <xdr:row>50</xdr:row>
      <xdr:rowOff>109491</xdr:rowOff>
    </xdr:to>
    <xdr:pic>
      <xdr:nvPicPr>
        <xdr:cNvPr id="9" name="Gambar 2">
          <a:extLst>
            <a:ext uri="{FF2B5EF4-FFF2-40B4-BE49-F238E27FC236}">
              <a16:creationId xmlns:a16="http://schemas.microsoft.com/office/drawing/2014/main" id="{2A5123A9-65D6-4107-9D1C-CB1538438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72" y="727362"/>
          <a:ext cx="14980228" cy="7227265"/>
        </a:xfrm>
        <a:prstGeom prst="rect">
          <a:avLst/>
        </a:prstGeom>
      </xdr:spPr>
    </xdr:pic>
    <xdr:clientData/>
  </xdr:twoCellAnchor>
  <xdr:twoCellAnchor>
    <xdr:from>
      <xdr:col>14</xdr:col>
      <xdr:colOff>586666</xdr:colOff>
      <xdr:row>25</xdr:row>
      <xdr:rowOff>31945</xdr:rowOff>
    </xdr:from>
    <xdr:to>
      <xdr:col>16</xdr:col>
      <xdr:colOff>329802</xdr:colOff>
      <xdr:row>28</xdr:row>
      <xdr:rowOff>19684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DEF3A4B-F4F6-47B7-B3CF-4C5890E7BAC3}"/>
            </a:ext>
          </a:extLst>
        </xdr:cNvPr>
        <xdr:cNvSpPr/>
      </xdr:nvSpPr>
      <xdr:spPr>
        <a:xfrm rot="1419977">
          <a:off x="8449121" y="3980490"/>
          <a:ext cx="990045" cy="455330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151988</xdr:colOff>
      <xdr:row>18</xdr:row>
      <xdr:rowOff>148709</xdr:rowOff>
    </xdr:from>
    <xdr:to>
      <xdr:col>12</xdr:col>
      <xdr:colOff>623011</xdr:colOff>
      <xdr:row>27</xdr:row>
      <xdr:rowOff>68603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C4ADC45-ADCE-4AE4-BC69-34749BE1DBB9}"/>
            </a:ext>
          </a:extLst>
        </xdr:cNvPr>
        <xdr:cNvSpPr/>
      </xdr:nvSpPr>
      <xdr:spPr>
        <a:xfrm>
          <a:off x="3026806" y="3006209"/>
          <a:ext cx="4211750" cy="132266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n-ID" sz="2400" b="1">
              <a:solidFill>
                <a:srgbClr val="FFFF00"/>
              </a:solidFill>
            </a:rPr>
            <a:t>LOKASI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138545</xdr:colOff>
      <xdr:row>11</xdr:row>
      <xdr:rowOff>0</xdr:rowOff>
    </xdr:from>
    <xdr:to>
      <xdr:col>26</xdr:col>
      <xdr:colOff>571500</xdr:colOff>
      <xdr:row>56</xdr:row>
      <xdr:rowOff>48833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0361BB8A-0CB7-4E66-8EC3-13220EF5F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909" y="1679864"/>
          <a:ext cx="13733318" cy="706269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ka.y.abimanyu\Downloads\52553_KKO_KKF_PD%20NAFIADHI%2013,2%20KVA.xlsx" TargetMode="External"/><Relationship Id="rId1" Type="http://schemas.openxmlformats.org/officeDocument/2006/relationships/externalLinkPath" Target="52553_KKO_KKF_PD%20NAFIADHI%2013,2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7" t="s">
        <v>1133</v>
      </c>
      <c r="C4" s="517"/>
      <c r="D4" s="517"/>
      <c r="E4" s="517"/>
      <c r="F4" s="517"/>
      <c r="G4" s="517"/>
      <c r="H4" s="51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8" t="s">
        <v>0</v>
      </c>
      <c r="C7" s="518" t="s">
        <v>1</v>
      </c>
      <c r="D7" s="519" t="s">
        <v>42</v>
      </c>
      <c r="E7" s="519" t="s">
        <v>43</v>
      </c>
      <c r="F7" s="519" t="s">
        <v>1134</v>
      </c>
      <c r="G7" s="520" t="s">
        <v>41</v>
      </c>
      <c r="H7" s="516" t="s">
        <v>1042</v>
      </c>
      <c r="I7" s="516" t="s">
        <v>1136</v>
      </c>
      <c r="J7" s="516" t="s">
        <v>1026</v>
      </c>
      <c r="K7" s="510" t="s">
        <v>1024</v>
      </c>
      <c r="L7" s="511"/>
    </row>
    <row r="8" spans="1:12" ht="15" customHeight="1">
      <c r="B8" s="518"/>
      <c r="C8" s="518"/>
      <c r="D8" s="519"/>
      <c r="E8" s="519"/>
      <c r="F8" s="519"/>
      <c r="G8" s="520"/>
      <c r="H8" s="516"/>
      <c r="I8" s="516"/>
      <c r="J8" s="516"/>
      <c r="K8" s="512"/>
      <c r="L8" s="513"/>
    </row>
    <row r="9" spans="1:12" ht="15" customHeight="1">
      <c r="B9" s="518"/>
      <c r="C9" s="518"/>
      <c r="D9" s="519"/>
      <c r="E9" s="519"/>
      <c r="F9" s="519"/>
      <c r="G9" s="520"/>
      <c r="H9" s="516"/>
      <c r="I9" s="516"/>
      <c r="J9" s="516"/>
      <c r="K9" s="514"/>
      <c r="L9" s="51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13.2 kVA MCCB 20 A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NFA2X-T 3x70+1x70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Mtr</v>
      </c>
      <c r="F13" s="138">
        <f t="shared" ref="F13:F76" ca="1" si="2">IF(ISERROR(OFFSET($D$713,MATCH(A13,$F$714:$F$1320,0),0)),"",OFFSET($D$713,MATCH(A13,$F$714:$F$1320,0),0))</f>
        <v>118</v>
      </c>
      <c r="G13" s="41">
        <f ca="1">IF(ISERROR(OFFSET('HARGA SATUAN'!$I$6,MATCH(C13,'HARGA SATUAN'!$C$7:$C$1495,0),0)),"",OFFSET('HARGA SATUAN'!$I$6,MATCH(C13,'HARGA SATUAN'!$C$7:$C$1495,0),0))</f>
        <v>54500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35</v>
      </c>
      <c r="G14" s="41">
        <f ca="1">IF(ISERROR(OFFSET('HARGA SATUAN'!$I$6,MATCH(C14,'HARGA SATUAN'!$C$7:$C$1495,0),0)),"",OFFSET('HARGA SATUAN'!$I$6,MATCH(C14,'HARGA SATUAN'!$C$7:$C$1495,0),0))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KWH MPB; 3P; 4W; 230/400 V; 5(80) A; Class 1</v>
      </c>
      <c r="D15" s="101" t="str">
        <f ca="1">IF(ISERROR(OFFSET('HARGA SATUAN'!$D$6,MATCH(C15,'HARGA SATUAN'!$C$7:$C$1495,0),0)),"",OFFSET('HARGA SATUAN'!$D$6,MATCH(C15,'HARGA SATUAN'!$C$7:$C$1495,0),0))</f>
        <v>HDW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1</v>
      </c>
      <c r="G15" s="41">
        <f ca="1">IF(ISERROR(OFFSET('HARGA SATUAN'!$I$6,MATCH(C15,'HARGA SATUAN'!$C$7:$C$1495,0),0)),"",OFFSET('HARGA SATUAN'!$I$6,MATCH(C15,'HARGA SATUAN'!$C$7:$C$1495,0),0))</f>
        <v>1719200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SUMIFS(RAB!$F$14:$F$75,RAB!$C$14:$C$75,C714)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SUMIFS(RAB!$F$14:$F$75,RAB!$C$14:$C$75,C715)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SUMIFS(RAB!$F$14:$F$75,RAB!$C$14:$C$75,C716)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SUMIFS(RAB!$F$14:$F$75,RAB!$C$14:$C$75,C717)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SUMIFS(RAB!$F$14:$F$75,RAB!$C$14:$C$75,C718)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SUMIFS(RAB!$F$14:$F$75,RAB!$C$14:$C$75,C719)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SUMIFS(RAB!$F$14:$F$75,RAB!$C$14:$C$75,C720)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SUMIFS(RAB!$F$14:$F$75,RAB!$C$14:$C$75,C721)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SUMIFS(RAB!$F$14:$F$75,RAB!$C$14:$C$75,C722)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SUMIFS(RAB!$F$14:$F$75,RAB!$C$14:$C$75,C723)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SUMIFS(RAB!$F$14:$F$75,RAB!$C$14:$C$75,C724)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SUMIFS(RAB!$F$14:$F$75,RAB!$C$14:$C$75,C725)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SUMIFS(RAB!$F$14:$F$75,RAB!$C$14:$C$75,C726)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SUMIFS(RAB!$F$14:$F$75,RAB!$C$14:$C$75,C727)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SUMIFS(RAB!$F$14:$F$75,RAB!$C$14:$C$75,C728)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SUMIFS(RAB!$F$14:$F$75,RAB!$C$14:$C$75,C729)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SUMIFS(RAB!$F$14:$F$75,RAB!$C$14:$C$75,C730)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SUMIFS(RAB!$F$14:$F$75,RAB!$C$14:$C$75,C731)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SUMIFS(RAB!$F$14:$F$75,RAB!$C$14:$C$75,C732)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SUMIFS(RAB!$F$14:$F$75,RAB!$C$14:$C$75,C733)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SUMIFS(RAB!$F$14:$F$75,RAB!$C$14:$C$75,C734)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SUMIFS(RAB!$F$14:$F$75,RAB!$C$14:$C$75,C735)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SUMIFS(RAB!$F$14:$F$75,RAB!$C$14:$C$75,C736)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SUMIFS(RAB!$F$14:$F$75,RAB!$C$14:$C$75,C737)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SUMIFS(RAB!$F$14:$F$75,RAB!$C$14:$C$75,C738)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SUMIFS(RAB!$F$14:$F$75,RAB!$C$14:$C$75,C739)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SUMIFS(RAB!$F$14:$F$75,RAB!$C$14:$C$75,C740)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SUMIFS(RAB!$F$14:$F$75,RAB!$C$14:$C$75,C741)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SUMIFS(RAB!$F$14:$F$75,RAB!$C$14:$C$75,C742)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SUMIFS(RAB!$F$14:$F$75,RAB!$C$14:$C$75,C743)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SUMIFS(RAB!$F$14:$F$75,RAB!$C$14:$C$75,C744)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SUMIFS(RAB!$F$14:$F$75,RAB!$C$14:$C$75,C745)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SUMIFS(RAB!$F$14:$F$75,RAB!$C$14:$C$75,C746)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SUMIFS(RAB!$F$14:$F$75,RAB!$C$14:$C$75,C747)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SUMIFS(RAB!$F$14:$F$75,RAB!$C$14:$C$75,C748)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SUMIFS(RAB!$F$14:$F$75,RAB!$C$14:$C$75,C749)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SUMIFS(RAB!$F$14:$F$75,RAB!$C$14:$C$75,C750)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SUMIFS(RAB!$F$14:$F$75,RAB!$C$14:$C$75,C751)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SUMIFS(RAB!$F$14:$F$75,RAB!$C$14:$C$75,C752)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SUMIFS(RAB!$F$14:$F$75,RAB!$C$14:$C$75,C753)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SUMIFS(RAB!$F$14:$F$75,RAB!$C$14:$C$75,C754)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SUMIFS(RAB!$F$14:$F$75,RAB!$C$14:$C$75,C755)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SUMIFS(RAB!$F$14:$F$75,RAB!$C$14:$C$75,C756)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SUMIFS(RAB!$F$14:$F$75,RAB!$C$14:$C$75,C757)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SUMIFS(RAB!$F$14:$F$75,RAB!$C$14:$C$75,C758)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SUMIFS(RAB!$F$14:$F$75,RAB!$C$14:$C$75,C759)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SUMIFS(RAB!$F$14:$F$75,RAB!$C$14:$C$75,C760)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SUMIFS(RAB!$F$14:$F$75,RAB!$C$14:$C$75,C761)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SUMIFS(RAB!$F$14:$F$75,RAB!$C$14:$C$75,C762)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SUMIFS(RAB!$F$14:$F$75,RAB!$C$14:$C$75,C763)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SUMIFS(RAB!$F$14:$F$75,RAB!$C$14:$C$75,C764)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SUMIFS(RAB!$F$14:$F$75,RAB!$C$14:$C$75,C765)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SUMIFS(RAB!$F$14:$F$75,RAB!$C$14:$C$75,C766)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SUMIFS(RAB!$F$14:$F$75,RAB!$C$14:$C$75,C767)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SUMIFS(RAB!$F$14:$F$75,RAB!$C$14:$C$75,C768)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SUMIFS(RAB!$F$14:$F$75,RAB!$C$14:$C$75,C769)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SUMIFS(RAB!$F$14:$F$75,RAB!$C$14:$C$75,C770)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SUMIFS(RAB!$F$14:$F$75,RAB!$C$14:$C$75,C771)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SUMIFS(RAB!$F$14:$F$75,RAB!$C$14:$C$75,C772)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SUMIFS(RAB!$F$14:$F$75,RAB!$C$14:$C$75,C773)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SUMIFS(RAB!$F$14:$F$75,RAB!$C$14:$C$75,C774)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SUMIFS(RAB!$F$14:$F$75,RAB!$C$14:$C$75,C775)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SUMIFS(RAB!$F$14:$F$75,RAB!$C$14:$C$75,C776)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SUMIFS(RAB!$F$14:$F$75,RAB!$C$14:$C$75,C777)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SUMIFS(RAB!$F$14:$F$75,RAB!$C$14:$C$75,C778)</f>
        <v>1</v>
      </c>
      <c r="E778" s="26">
        <f t="shared" ca="1" si="33"/>
        <v>1</v>
      </c>
      <c r="F778" s="26">
        <f ca="1">IF(D778=0,0,SUM($E$713:E778))</f>
        <v>1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SUMIFS(RAB!$F$14:$F$75,RAB!$C$14:$C$75,C779)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SUMIFS(RAB!$F$14:$F$75,RAB!$C$14:$C$75,C780)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SUMIFS(RAB!$F$14:$F$75,RAB!$C$14:$C$75,C781)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SUMIFS(RAB!$F$14:$F$75,RAB!$C$14:$C$75,C782)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SUMIFS(RAB!$F$14:$F$75,RAB!$C$14:$C$75,C783)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SUMIFS(RAB!$F$14:$F$75,RAB!$C$14:$C$75,C784)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SUMIFS(RAB!$F$14:$F$75,RAB!$C$14:$C$75,C785)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SUMIFS(RAB!$F$14:$F$75,RAB!$C$14:$C$75,C786)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SUMIFS(RAB!$F$14:$F$75,RAB!$C$14:$C$75,C787)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SUMIFS(RAB!$F$14:$F$75,RAB!$C$14:$C$75,C788)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SUMIFS(RAB!$F$14:$F$75,RAB!$C$14:$C$75,C789)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SUMIFS(RAB!$F$14:$F$75,RAB!$C$14:$C$75,C790)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SUMIFS(RAB!$F$14:$F$75,RAB!$C$14:$C$75,C791)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SUMIFS(RAB!$F$14:$F$75,RAB!$C$14:$C$75,C792)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SUMIFS(RAB!$F$14:$F$75,RAB!$C$14:$C$75,C793)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SUMIFS(RAB!$F$14:$F$75,RAB!$C$14:$C$75,C794)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SUMIFS(RAB!$F$14:$F$75,RAB!$C$14:$C$75,C795)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SUMIFS(RAB!$F$14:$F$75,RAB!$C$14:$C$75,C796)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SUMIFS(RAB!$F$14:$F$75,RAB!$C$14:$C$75,C797)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SUMIFS(RAB!$F$14:$F$75,RAB!$C$14:$C$75,C798)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SUMIFS(RAB!$F$14:$F$75,RAB!$C$14:$C$75,C799)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SUMIFS(RAB!$F$14:$F$75,RAB!$C$14:$C$75,C800)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SUMIFS(RAB!$F$14:$F$75,RAB!$C$14:$C$75,C801)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SUMIFS(RAB!$F$14:$F$75,RAB!$C$14:$C$75,C802)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SUMIFS(RAB!$F$14:$F$75,RAB!$C$14:$C$75,C803)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SUMIFS(RAB!$F$14:$F$75,RAB!$C$14:$C$75,C804)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SUMIFS(RAB!$F$14:$F$75,RAB!$C$14:$C$75,C805)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SUMIFS(RAB!$F$14:$F$75,RAB!$C$14:$C$75,C806)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SUMIFS(RAB!$F$14:$F$75,RAB!$C$14:$C$75,C807)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SUMIFS(RAB!$F$14:$F$75,RAB!$C$14:$C$75,C808)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SUMIFS(RAB!$F$14:$F$75,RAB!$C$14:$C$75,C809)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SUMIFS(RAB!$F$14:$F$75,RAB!$C$14:$C$75,C810)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SUMIFS(RAB!$F$14:$F$75,RAB!$C$14:$C$75,C811)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SUMIFS(RAB!$F$14:$F$75,RAB!$C$14:$C$75,C812)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SUMIFS(RAB!$F$14:$F$75,RAB!$C$14:$C$75,C813)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SUMIFS(RAB!$F$14:$F$75,RAB!$C$14:$C$75,C814)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SUMIFS(RAB!$F$14:$F$75,RAB!$C$14:$C$75,C815)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SUMIFS(RAB!$F$14:$F$75,RAB!$C$14:$C$75,C816)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SUMIFS(RAB!$F$14:$F$75,RAB!$C$14:$C$75,C817)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SUMIFS(RAB!$F$14:$F$75,RAB!$C$14:$C$75,C818)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SUMIFS(RAB!$F$14:$F$75,RAB!$C$14:$C$75,C819)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SUMIFS(RAB!$F$14:$F$75,RAB!$C$14:$C$75,C820)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SUMIFS(RAB!$F$14:$F$75,RAB!$C$14:$C$75,C821)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SUMIFS(RAB!$F$14:$F$75,RAB!$C$14:$C$75,C822)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SUMIFS(RAB!$F$14:$F$75,RAB!$C$14:$C$75,C823)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SUMIFS(RAB!$F$14:$F$75,RAB!$C$14:$C$75,C824)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SUMIFS(RAB!$F$14:$F$75,RAB!$C$14:$C$75,C825)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SUMIFS(RAB!$F$14:$F$75,RAB!$C$14:$C$75,C826)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SUMIFS(RAB!$F$14:$F$75,RAB!$C$14:$C$75,C827)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SUMIFS(RAB!$F$14:$F$75,RAB!$C$14:$C$75,C828)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SUMIFS(RAB!$F$14:$F$75,RAB!$C$14:$C$75,C829)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SUMIFS(RAB!$F$14:$F$75,RAB!$C$14:$C$75,C830)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SUMIFS(RAB!$F$14:$F$75,RAB!$C$14:$C$75,C831)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SUMIFS(RAB!$F$14:$F$75,RAB!$C$14:$C$75,C832)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SUMIFS(RAB!$F$14:$F$75,RAB!$C$14:$C$75,C833)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SUMIFS(RAB!$F$14:$F$75,RAB!$C$14:$C$75,C834)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SUMIFS(RAB!$F$14:$F$75,RAB!$C$14:$C$75,C835)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SUMIFS(RAB!$F$14:$F$75,RAB!$C$14:$C$75,C836)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SUMIFS(RAB!$F$14:$F$75,RAB!$C$14:$C$75,C837)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SUMIFS(RAB!$F$14:$F$75,RAB!$C$14:$C$75,C838)</f>
        <v>118</v>
      </c>
      <c r="E838" s="26">
        <f t="shared" ca="1" si="34"/>
        <v>1</v>
      </c>
      <c r="F838" s="26">
        <f ca="1">IF(D838=0,0,SUM($E$713:E838))</f>
        <v>2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SUMIFS(RAB!$F$14:$F$75,RAB!$C$14:$C$75,C839)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SUMIFS(RAB!$F$14:$F$75,RAB!$C$14:$C$75,C840)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SUMIFS(RAB!$F$14:$F$75,RAB!$C$14:$C$75,C841)</f>
        <v>35</v>
      </c>
      <c r="E841" s="26">
        <f t="shared" ca="1" si="34"/>
        <v>1</v>
      </c>
      <c r="F841" s="26">
        <f ca="1">IF(D841=0,0,SUM($E$713:E841))</f>
        <v>3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SUMIFS(RAB!$F$14:$F$75,RAB!$C$14:$C$75,C842)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SUMIFS(RAB!$F$14:$F$75,RAB!$C$14:$C$75,C843)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SUMIFS(RAB!$F$14:$F$75,RAB!$C$14:$C$75,C844)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SUMIFS(RAB!$F$14:$F$75,RAB!$C$14:$C$75,C845)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SUMIFS(RAB!$F$14:$F$75,RAB!$C$14:$C$75,C846)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SUMIFS(RAB!$F$14:$F$75,RAB!$C$14:$C$75,C847)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SUMIFS(RAB!$F$14:$F$75,RAB!$C$14:$C$75,C848)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SUMIFS(RAB!$F$14:$F$75,RAB!$C$14:$C$75,C849)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SUMIFS(RAB!$F$14:$F$75,RAB!$C$14:$C$75,C850)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SUMIFS(RAB!$F$14:$F$75,RAB!$C$14:$C$75,C851)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SUMIFS(RAB!$F$14:$F$75,RAB!$C$14:$C$75,C852)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SUMIFS(RAB!$F$14:$F$75,RAB!$C$14:$C$75,C853)</f>
        <v>1</v>
      </c>
      <c r="E853" s="26">
        <f t="shared" ca="1" si="35"/>
        <v>1</v>
      </c>
      <c r="F853" s="26">
        <f ca="1">IF(D853=0,0,SUM($E$713:E853))</f>
        <v>4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SUMIFS(RAB!$F$14:$F$75,RAB!$C$14:$C$75,C854)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SUMIFS(RAB!$F$14:$F$75,RAB!$C$14:$C$75,C855)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SUMIFS(RAB!$F$14:$F$75,RAB!$C$14:$C$75,C856)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SUMIFS(RAB!$F$14:$F$75,RAB!$C$14:$C$75,C857)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SUMIFS(RAB!$F$14:$F$75,RAB!$C$14:$C$75,C858)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SUMIFS(RAB!$F$14:$F$75,RAB!$C$14:$C$75,C859)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SUMIFS(RAB!$F$14:$F$75,RAB!$C$14:$C$75,C860)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SUMIFS(RAB!$F$14:$F$75,RAB!$C$14:$C$75,C861)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SUMIFS(RAB!$F$14:$F$75,RAB!$C$14:$C$75,C862)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SUMIFS(RAB!$F$14:$F$75,RAB!$C$14:$C$75,C863)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SUMIFS(RAB!$F$14:$F$75,RAB!$C$14:$C$75,C864)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SUMIFS(RAB!$F$14:$F$75,RAB!$C$14:$C$75,C865)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SUMIFS(RAB!$F$14:$F$75,RAB!$C$14:$C$75,C866)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SUMIFS(RAB!$F$14:$F$75,RAB!$C$14:$C$75,C867)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SUMIFS(RAB!$F$14:$F$75,RAB!$C$14:$C$75,C868)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SUMIFS(RAB!$F$14:$F$75,RAB!$C$14:$C$75,C869)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SUMIFS(RAB!$F$14:$F$75,RAB!$C$14:$C$75,C870)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SUMIFS(RAB!$F$14:$F$75,RAB!$C$14:$C$75,C871)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SUMIFS(RAB!$F$14:$F$75,RAB!$C$14:$C$75,C872)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SUMIFS(RAB!$F$14:$F$75,RAB!$C$14:$C$75,C873)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SUMIFS(RAB!$F$14:$F$75,RAB!$C$14:$C$75,C874)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SUMIFS(RAB!$F$14:$F$75,RAB!$C$14:$C$75,C875)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SUMIFS(RAB!$F$14:$F$75,RAB!$C$14:$C$75,C876)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SUMIFS(RAB!$F$14:$F$75,RAB!$C$14:$C$75,C877)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SUMIFS(RAB!$F$14:$F$75,RAB!$C$14:$C$75,C878)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SUMIFS(RAB!$F$14:$F$75,RAB!$C$14:$C$75,C879)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SUMIFS(RAB!$F$14:$F$75,RAB!$C$14:$C$75,C880)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SUMIFS(RAB!$F$14:$F$75,RAB!$C$14:$C$75,C881)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SUMIFS(RAB!$F$14:$F$75,RAB!$C$14:$C$75,C882)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SUMIFS(RAB!$F$14:$F$75,RAB!$C$14:$C$75,C883)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SUMIFS(RAB!$F$14:$F$75,RAB!$C$14:$C$75,C884)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SUMIFS(RAB!$F$14:$F$75,RAB!$C$14:$C$75,C885)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SUMIFS(RAB!$F$14:$F$75,RAB!$C$14:$C$75,C886)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SUMIFS(RAB!$F$14:$F$75,RAB!$C$14:$C$75,C887)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SUMIFS(RAB!$F$14:$F$75,RAB!$C$14:$C$75,C888)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SUMIFS(RAB!$F$14:$F$75,RAB!$C$14:$C$75,C889)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SUMIFS(RAB!$F$14:$F$75,RAB!$C$14:$C$75,C890)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SUMIFS(RAB!$F$14:$F$75,RAB!$C$14:$C$75,C891)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SUMIFS(RAB!$F$14:$F$75,RAB!$C$14:$C$75,C892)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SUMIFS(RAB!$F$14:$F$75,RAB!$C$14:$C$75,C893)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SUMIFS(RAB!$F$14:$F$75,RAB!$C$14:$C$75,C894)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SUMIFS(RAB!$F$14:$F$75,RAB!$C$14:$C$75,C895)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SUMIFS(RAB!$F$14:$F$75,RAB!$C$14:$C$75,C896)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SUMIFS(RAB!$F$14:$F$75,RAB!$C$14:$C$75,C897)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SUMIFS(RAB!$F$14:$F$75,RAB!$C$14:$C$75,C898)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SUMIFS(RAB!$F$14:$F$75,RAB!$C$14:$C$75,C899)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SUMIFS(RAB!$F$14:$F$75,RAB!$C$14:$C$75,C900)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SUMIFS(RAB!$F$14:$F$75,RAB!$C$14:$C$75,C901)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SUMIFS(RAB!$F$14:$F$75,RAB!$C$14:$C$75,C902)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SUMIFS(RAB!$F$14:$F$75,RAB!$C$14:$C$75,C903)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SUMIFS(RAB!$F$14:$F$75,RAB!$C$14:$C$75,C904)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SUMIFS(RAB!$F$14:$F$75,RAB!$C$14:$C$75,C905)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SUMIFS(RAB!$F$14:$F$75,RAB!$C$14:$C$75,C906)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SUMIFS(RAB!$F$14:$F$75,RAB!$C$14:$C$75,C907)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SUMIFS(RAB!$F$14:$F$75,RAB!$C$14:$C$75,C908)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SUMIFS(RAB!$F$14:$F$75,RAB!$C$14:$C$75,C909)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SUMIFS(RAB!$F$14:$F$75,RAB!$C$14:$C$75,C910)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SUMIFS(RAB!$F$14:$F$75,RAB!$C$14:$C$75,C911)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SUMIFS(RAB!$F$14:$F$75,RAB!$C$14:$C$75,C912)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SUMIFS(RAB!$F$14:$F$75,RAB!$C$14:$C$75,C913)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SUMIFS(RAB!$F$14:$F$75,RAB!$C$14:$C$75,C914)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SUMIFS(RAB!$F$14:$F$75,RAB!$C$14:$C$75,C915)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SUMIFS(RAB!$F$14:$F$75,RAB!$C$14:$C$75,C916)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SUMIFS(RAB!$F$14:$F$75,RAB!$C$14:$C$75,C917)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SUMIFS(RAB!$F$14:$F$75,RAB!$C$14:$C$75,C918)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SUMIFS(RAB!$F$14:$F$75,RAB!$C$14:$C$75,C919)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SUMIFS(RAB!$F$14:$F$75,RAB!$C$14:$C$75,C920)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SUMIFS(RAB!$F$14:$F$75,RAB!$C$14:$C$75,C921)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SUMIFS(RAB!$F$14:$F$75,RAB!$C$14:$C$75,C922)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SUMIFS(RAB!$F$14:$F$75,RAB!$C$14:$C$75,C923)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SUMIFS(RAB!$F$14:$F$75,RAB!$C$14:$C$75,C924)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SUMIFS(RAB!$F$14:$F$75,RAB!$C$14:$C$75,C925)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SUMIFS(RAB!$F$14:$F$75,RAB!$C$14:$C$75,C926)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SUMIFS(RAB!$F$14:$F$75,RAB!$C$14:$C$75,C927)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SUMIFS(RAB!$F$14:$F$75,RAB!$C$14:$C$75,C928)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SUMIFS(RAB!$F$14:$F$75,RAB!$C$14:$C$75,C929)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SUMIFS(RAB!$F$14:$F$75,RAB!$C$14:$C$75,C930)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SUMIFS(RAB!$F$14:$F$75,RAB!$C$14:$C$75,C931)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SUMIFS(RAB!$F$14:$F$75,RAB!$C$14:$C$75,C932)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SUMIFS(RAB!$F$14:$F$75,RAB!$C$14:$C$75,C933)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SUMIFS(RAB!$F$14:$F$75,RAB!$C$14:$C$75,C934)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SUMIFS(RAB!$F$14:$F$75,RAB!$C$14:$C$75,C935)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SUMIFS(RAB!$F$14:$F$75,RAB!$C$14:$C$75,C936)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SUMIFS(RAB!$F$14:$F$75,RAB!$C$14:$C$75,C937)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SUMIFS(RAB!$F$14:$F$75,RAB!$C$14:$C$75,C938)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SUMIFS(RAB!$F$14:$F$75,RAB!$C$14:$C$75,C939)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SUMIFS(RAB!$F$14:$F$75,RAB!$C$14:$C$75,C940)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SUMIFS(RAB!$F$14:$F$75,RAB!$C$14:$C$75,C941)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SUMIFS(RAB!$F$14:$F$75,RAB!$C$14:$C$75,C942)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SUMIFS(RAB!$F$14:$F$75,RAB!$C$14:$C$75,C943)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SUMIFS(RAB!$F$14:$F$75,RAB!$C$14:$C$75,C944)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SUMIFS(RAB!$F$14:$F$75,RAB!$C$14:$C$75,C945)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SUMIFS(RAB!$F$14:$F$75,RAB!$C$14:$C$75,C946)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SUMIFS(RAB!$F$14:$F$75,RAB!$C$14:$C$75,C947)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SUMIFS(RAB!$F$14:$F$75,RAB!$C$14:$C$75,C948)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SUMIFS(RAB!$F$14:$F$75,RAB!$C$14:$C$75,C949)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SUMIFS(RAB!$F$14:$F$75,RAB!$C$14:$C$75,C950)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SUMIFS(RAB!$F$14:$F$75,RAB!$C$14:$C$75,C951)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SUMIFS(RAB!$F$14:$F$75,RAB!$C$14:$C$75,C952)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SUMIFS(RAB!$F$14:$F$75,RAB!$C$14:$C$75,C953)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SUMIFS(RAB!$F$14:$F$75,RAB!$C$14:$C$75,C954)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SUMIFS(RAB!$F$14:$F$75,RAB!$C$14:$C$75,C955)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SUMIFS(RAB!$F$14:$F$75,RAB!$C$14:$C$75,C956)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SUMIFS(RAB!$F$14:$F$75,RAB!$C$14:$C$75,C957)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SUMIFS(RAB!$F$14:$F$75,RAB!$C$14:$C$75,C958)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SUMIFS(RAB!$F$14:$F$75,RAB!$C$14:$C$75,C959)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SUMIFS(RAB!$F$14:$F$75,RAB!$C$14:$C$75,C960)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SUMIFS(RAB!$F$14:$F$75,RAB!$C$14:$C$75,C961)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SUMIFS(RAB!$F$14:$F$75,RAB!$C$14:$C$75,C962)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SUMIFS(RAB!$F$14:$F$75,RAB!$C$14:$C$75,C963)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SUMIFS(RAB!$F$14:$F$75,RAB!$C$14:$C$75,C964)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SUMIFS(RAB!$F$14:$F$75,RAB!$C$14:$C$75,C965)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SUMIFS(RAB!$F$14:$F$75,RAB!$C$14:$C$75,C966)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SUMIFS(RAB!$F$14:$F$75,RAB!$C$14:$C$75,C967)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SUMIFS(RAB!$F$14:$F$75,RAB!$C$14:$C$75,C968)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SUMIFS(RAB!$F$14:$F$75,RAB!$C$14:$C$75,C969)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SUMIFS(RAB!$F$14:$F$75,RAB!$C$14:$C$75,C970)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SUMIFS(RAB!$F$14:$F$75,RAB!$C$14:$C$75,C971)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SUMIFS(RAB!$F$14:$F$75,RAB!$C$14:$C$75,C972)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SUMIFS(RAB!$F$14:$F$75,RAB!$C$14:$C$75,C973)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SUMIFS(RAB!$F$14:$F$75,RAB!$C$14:$C$75,C974)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SUMIFS(RAB!$F$14:$F$75,RAB!$C$14:$C$75,C975)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SUMIFS(RAB!$F$14:$F$75,RAB!$C$14:$C$75,C976)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SUMIFS(RAB!$F$14:$F$75,RAB!$C$14:$C$75,C977)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SUMIFS(RAB!$F$14:$F$75,RAB!$C$14:$C$75,C978)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SUMIFS(RAB!$F$14:$F$75,RAB!$C$14:$C$75,C979)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SUMIFS(RAB!$F$14:$F$75,RAB!$C$14:$C$75,C980)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SUMIFS(RAB!$F$14:$F$75,RAB!$C$14:$C$75,C981)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SUMIFS(RAB!$F$14:$F$75,RAB!$C$14:$C$75,C982)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SUMIFS(RAB!$F$14:$F$75,RAB!$C$14:$C$75,C983)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SUMIFS(RAB!$F$14:$F$75,RAB!$C$14:$C$75,C984)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SUMIFS(RAB!$F$14:$F$75,RAB!$C$14:$C$75,C985)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SUMIFS(RAB!$F$14:$F$75,RAB!$C$14:$C$75,C986)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SUMIFS(RAB!$F$14:$F$75,RAB!$C$14:$C$75,C987)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SUMIFS(RAB!$F$14:$F$75,RAB!$C$14:$C$75,C988)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SUMIFS(RAB!$F$14:$F$75,RAB!$C$14:$C$75,C989)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SUMIFS(RAB!$F$14:$F$75,RAB!$C$14:$C$75,C990)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SUMIFS(RAB!$F$14:$F$75,RAB!$C$14:$C$75,C991)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SUMIFS(RAB!$F$14:$F$75,RAB!$C$14:$C$75,C992)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SUMIFS(RAB!$F$14:$F$75,RAB!$C$14:$C$75,C993)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SUMIFS(RAB!$F$14:$F$75,RAB!$C$14:$C$75,C994)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SUMIFS(RAB!$F$14:$F$75,RAB!$C$14:$C$75,C995)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SUMIFS(RAB!$F$14:$F$75,RAB!$C$14:$C$75,C996)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SUMIFS(RAB!$F$14:$F$75,RAB!$C$14:$C$75,C997)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SUMIFS(RAB!$F$14:$F$75,RAB!$C$14:$C$75,C998)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SUMIFS(RAB!$F$14:$F$75,RAB!$C$14:$C$75,C999)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SUMIFS(RAB!$F$14:$F$75,RAB!$C$14:$C$75,C1000)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SUMIFS(RAB!$F$14:$F$75,RAB!$C$14:$C$75,C1001)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SUMIFS(RAB!$F$14:$F$75,RAB!$C$14:$C$75,C1002)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SUMIFS(RAB!$F$14:$F$75,RAB!$C$14:$C$75,C1003)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SUMIFS(RAB!$F$14:$F$75,RAB!$C$14:$C$75,C1004)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SUMIFS(RAB!$F$14:$F$75,RAB!$C$14:$C$75,C1005)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SUMIFS(RAB!$F$14:$F$75,RAB!$C$14:$C$75,C1006)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SUMIFS(RAB!$F$14:$F$75,RAB!$C$14:$C$75,C1007)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SUMIFS(RAB!$F$14:$F$75,RAB!$C$14:$C$75,C1008)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SUMIFS(RAB!$F$14:$F$75,RAB!$C$14:$C$75,C1009)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SUMIFS(RAB!$F$14:$F$75,RAB!$C$14:$C$75,C1010)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SUMIFS(RAB!$F$14:$F$75,RAB!$C$14:$C$75,C1011)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SUMIFS(RAB!$F$14:$F$75,RAB!$C$14:$C$75,C1012)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SUMIFS(RAB!$F$14:$F$75,RAB!$C$14:$C$75,C1013)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SUMIFS(RAB!$F$14:$F$75,RAB!$C$14:$C$75,C1014)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SUMIFS(RAB!$F$14:$F$75,RAB!$C$14:$C$75,C1015)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SUMIFS(RAB!$F$14:$F$75,RAB!$C$14:$C$75,C1016)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SUMIFS(RAB!$F$14:$F$75,RAB!$C$14:$C$75,C1017)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SUMIFS(RAB!$F$14:$F$75,RAB!$C$14:$C$75,C1018)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SUMIFS(RAB!$F$14:$F$75,RAB!$C$14:$C$75,C1019)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SUMIFS(RAB!$F$14:$F$75,RAB!$C$14:$C$75,C1020)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SUMIFS(RAB!$F$14:$F$75,RAB!$C$14:$C$75,C1021)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SUMIFS(RAB!$F$14:$F$75,RAB!$C$14:$C$75,C1022)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SUMIFS(RAB!$F$14:$F$75,RAB!$C$14:$C$75,C1023)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SUMIFS(RAB!$F$14:$F$75,RAB!$C$14:$C$75,C1024)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SUMIFS(RAB!$F$14:$F$75,RAB!$C$14:$C$75,C1025)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SUMIFS(RAB!$F$14:$F$75,RAB!$C$14:$C$75,C1026)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SUMIFS(RAB!$F$14:$F$75,RAB!$C$14:$C$75,C1027)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SUMIFS(RAB!$F$14:$F$75,RAB!$C$14:$C$75,C1028)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SUMIFS(RAB!$F$14:$F$75,RAB!$C$14:$C$75,C1029)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SUMIFS(RAB!$F$14:$F$75,RAB!$C$14:$C$75,C1030)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SUMIFS(RAB!$F$14:$F$75,RAB!$C$14:$C$75,C1031)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SUMIFS(RAB!$F$14:$F$75,RAB!$C$14:$C$75,C1032)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SUMIFS(RAB!$F$14:$F$75,RAB!$C$14:$C$75,C1033)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SUMIFS(RAB!$F$14:$F$75,RAB!$C$14:$C$75,C1034)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SUMIFS(RAB!$F$14:$F$75,RAB!$C$14:$C$75,C1035)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SUMIFS(RAB!$F$14:$F$75,RAB!$C$14:$C$75,C1036)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SUMIFS(RAB!$F$14:$F$75,RAB!$C$14:$C$75,C1037)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SUMIFS(RAB!$F$14:$F$75,RAB!$C$14:$C$75,C1038)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SUMIFS(RAB!$F$14:$F$75,RAB!$C$14:$C$75,C1039)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SUMIFS(RAB!$F$14:$F$75,RAB!$C$14:$C$75,C1040)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SUMIFS(RAB!$F$14:$F$75,RAB!$C$14:$C$75,C1041)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SUMIFS(RAB!$F$14:$F$75,RAB!$C$14:$C$75,C1042)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SUMIFS(RAB!$F$14:$F$75,RAB!$C$14:$C$75,C1043)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SUMIFS(RAB!$F$14:$F$75,RAB!$C$14:$C$75,C1044)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SUMIFS(RAB!$F$14:$F$75,RAB!$C$14:$C$75,C1045)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SUMIFS(RAB!$F$14:$F$75,RAB!$C$14:$C$75,C1046)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SUMIFS(RAB!$F$14:$F$75,RAB!$C$14:$C$75,C1047)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SUMIFS(RAB!$F$14:$F$75,RAB!$C$14:$C$75,C1048)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SUMIFS(RAB!$F$14:$F$75,RAB!$C$14:$C$75,C1049)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SUMIFS(RAB!$F$14:$F$75,RAB!$C$14:$C$75,C1050)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SUMIFS(RAB!$F$14:$F$75,RAB!$C$14:$C$75,C1051)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SUMIFS(RAB!$F$14:$F$75,RAB!$C$14:$C$75,C1052)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SUMIFS(RAB!$F$14:$F$75,RAB!$C$14:$C$75,C1053)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SUMIFS(RAB!$F$14:$F$75,RAB!$C$14:$C$75,C1054)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SUMIFS(RAB!$F$14:$F$75,RAB!$C$14:$C$75,C1055)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SUMIFS(RAB!$F$14:$F$75,RAB!$C$14:$C$75,C1056)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SUMIFS(RAB!$F$14:$F$75,RAB!$C$14:$C$75,C1057)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SUMIFS(RAB!$F$14:$F$75,RAB!$C$14:$C$75,C1058)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SUMIFS(RAB!$F$14:$F$75,RAB!$C$14:$C$75,C1059)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SUMIFS(RAB!$F$14:$F$75,RAB!$C$14:$C$75,C1060)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SUMIFS(RAB!$F$14:$F$75,RAB!$C$14:$C$75,C1061)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SUMIFS(RAB!$F$14:$F$75,RAB!$C$14:$C$75,C1062)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SUMIFS(RAB!$F$14:$F$75,RAB!$C$14:$C$75,C1063)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SUMIFS(RAB!$F$14:$F$75,RAB!$C$14:$C$75,C1064)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SUMIFS(RAB!$F$14:$F$75,RAB!$C$14:$C$75,C1065)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SUMIFS(RAB!$F$14:$F$75,RAB!$C$14:$C$75,C1066)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SUMIFS(RAB!$F$14:$F$75,RAB!$C$14:$C$75,C1067)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SUMIFS(RAB!$F$14:$F$75,RAB!$C$14:$C$75,C1068)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SUMIFS(RAB!$F$14:$F$75,RAB!$C$14:$C$75,C1069)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SUMIFS(RAB!$F$14:$F$75,RAB!$C$14:$C$75,C1070)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SUMIFS(RAB!$F$14:$F$75,RAB!$C$14:$C$75,C1071)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SUMIFS(RAB!$F$14:$F$75,RAB!$C$14:$C$75,C1072)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SUMIFS(RAB!$F$14:$F$75,RAB!$C$14:$C$75,C1073)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SUMIFS(RAB!$F$14:$F$75,RAB!$C$14:$C$75,C1074)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SUMIFS(RAB!$F$14:$F$75,RAB!$C$14:$C$75,C1075)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SUMIFS(RAB!$F$14:$F$75,RAB!$C$14:$C$75,C1076)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SUMIFS(RAB!$F$14:$F$75,RAB!$C$14:$C$75,C1077)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SUMIFS(RAB!$F$14:$F$75,RAB!$C$14:$C$75,C1078)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SUMIFS(RAB!$F$14:$F$75,RAB!$C$14:$C$75,C1079)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SUMIFS(RAB!$F$14:$F$75,RAB!$C$14:$C$75,C1080)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SUMIFS(RAB!$F$14:$F$75,RAB!$C$14:$C$75,C1081)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SUMIFS(RAB!$F$14:$F$75,RAB!$C$14:$C$75,C1082)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SUMIFS(RAB!$F$14:$F$75,RAB!$C$14:$C$75,C1083)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SUMIFS(RAB!$F$14:$F$75,RAB!$C$14:$C$75,C1084)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SUMIFS(RAB!$F$14:$F$75,RAB!$C$14:$C$75,C1085)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SUMIFS(RAB!$F$14:$F$75,RAB!$C$14:$C$75,C1086)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SUMIFS(RAB!$F$14:$F$75,RAB!$C$14:$C$75,C1087)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SUMIFS(RAB!$F$14:$F$75,RAB!$C$14:$C$75,C1088)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SUMIFS(RAB!$F$14:$F$75,RAB!$C$14:$C$75,C1089)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SUMIFS(RAB!$F$14:$F$75,RAB!$C$14:$C$75,C1090)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SUMIFS(RAB!$F$14:$F$75,RAB!$C$14:$C$75,C1091)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SUMIFS(RAB!$F$14:$F$75,RAB!$C$14:$C$75,C1092)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SUMIFS(RAB!$F$14:$F$75,RAB!$C$14:$C$75,C1093)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SUMIFS(RAB!$F$14:$F$75,RAB!$C$14:$C$75,C1094)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SUMIFS(RAB!$F$14:$F$75,RAB!$C$14:$C$75,C1095)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SUMIFS(RAB!$F$14:$F$75,RAB!$C$14:$C$75,C1096)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SUMIFS(RAB!$F$14:$F$75,RAB!$C$14:$C$75,C1097)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SUMIFS(RAB!$F$14:$F$75,RAB!$C$14:$C$75,C1098)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SUMIFS(RAB!$F$14:$F$75,RAB!$C$14:$C$75,C1099)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SUMIFS(RAB!$F$14:$F$75,RAB!$C$14:$C$75,C1100)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SUMIFS(RAB!$F$14:$F$75,RAB!$C$14:$C$75,C1101)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SUMIFS(RAB!$F$14:$F$75,RAB!$C$14:$C$75,C1102)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SUMIFS(RAB!$F$14:$F$75,RAB!$C$14:$C$75,C1103)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SUMIFS(RAB!$F$14:$F$75,RAB!$C$14:$C$75,C1104)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SUMIFS(RAB!$F$14:$F$75,RAB!$C$14:$C$75,C1105)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SUMIFS(RAB!$F$14:$F$75,RAB!$C$14:$C$75,C1106)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SUMIFS(RAB!$F$14:$F$75,RAB!$C$14:$C$75,C1107)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SUMIFS(RAB!$F$14:$F$75,RAB!$C$14:$C$75,C1108)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SUMIFS(RAB!$F$14:$F$75,RAB!$C$14:$C$75,C1109)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SUMIFS(RAB!$F$14:$F$75,RAB!$C$14:$C$75,C1110)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SUMIFS(RAB!$F$14:$F$75,RAB!$C$14:$C$75,C1111)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SUMIFS(RAB!$F$14:$F$75,RAB!$C$14:$C$75,C1112)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SUMIFS(RAB!$F$14:$F$75,RAB!$C$14:$C$75,C1113)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SUMIFS(RAB!$F$14:$F$75,RAB!$C$14:$C$75,C1114)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SUMIFS(RAB!$F$14:$F$75,RAB!$C$14:$C$75,C1115)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SUMIFS(RAB!$F$14:$F$75,RAB!$C$14:$C$75,C1116)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SUMIFS(RAB!$F$14:$F$75,RAB!$C$14:$C$75,C1117)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SUMIFS(RAB!$F$14:$F$75,RAB!$C$14:$C$75,C1118)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SUMIFS(RAB!$F$14:$F$75,RAB!$C$14:$C$75,C1119)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SUMIFS(RAB!$F$14:$F$75,RAB!$C$14:$C$75,C1120)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SUMIFS(RAB!$F$14:$F$75,RAB!$C$14:$C$75,C1121)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SUMIFS(RAB!$F$14:$F$75,RAB!$C$14:$C$75,C1122)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SUMIFS(RAB!$F$14:$F$75,RAB!$C$14:$C$75,C1123)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SUMIFS(RAB!$F$14:$F$75,RAB!$C$14:$C$75,C1124)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SUMIFS(RAB!$F$14:$F$75,RAB!$C$14:$C$75,C1125)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SUMIFS(RAB!$F$14:$F$75,RAB!$C$14:$C$75,C1126)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SUMIFS(RAB!$F$14:$F$75,RAB!$C$14:$C$75,C1127)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SUMIFS(RAB!$F$14:$F$75,RAB!$C$14:$C$75,C1128)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SUMIFS(RAB!$F$14:$F$75,RAB!$C$14:$C$75,C1129)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SUMIFS(RAB!$F$14:$F$75,RAB!$C$14:$C$75,C1130)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SUMIFS(RAB!$F$14:$F$75,RAB!$C$14:$C$75,C1131)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SUMIFS(RAB!$F$14:$F$75,RAB!$C$14:$C$75,C1132)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SUMIFS(RAB!$F$14:$F$75,RAB!$C$14:$C$75,C1133)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SUMIFS(RAB!$F$14:$F$75,RAB!$C$14:$C$75,C1134)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SUMIFS(RAB!$F$14:$F$75,RAB!$C$14:$C$75,C1135)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SUMIFS(RAB!$F$14:$F$75,RAB!$C$14:$C$75,C1136)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SUMIFS(RAB!$F$14:$F$75,RAB!$C$14:$C$75,C1137)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SUMIFS(RAB!$F$14:$F$75,RAB!$C$14:$C$75,C1138)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SUMIFS(RAB!$F$14:$F$75,RAB!$C$14:$C$75,C1139)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SUMIFS(RAB!$F$14:$F$75,RAB!$C$14:$C$75,C1140)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SUMIFS(RAB!$F$14:$F$75,RAB!$C$14:$C$75,C1141)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SUMIFS(RAB!$F$14:$F$75,RAB!$C$14:$C$75,C1142)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SUMIFS(RAB!$F$14:$F$75,RAB!$C$14:$C$75,C1143)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SUMIFS(RAB!$F$14:$F$75,RAB!$C$14:$C$75,C1144)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SUMIFS(RAB!$F$14:$F$75,RAB!$C$14:$C$75,C1145)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SUMIFS(RAB!$F$14:$F$75,RAB!$C$14:$C$75,C1146)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SUMIFS(RAB!$F$14:$F$75,RAB!$C$14:$C$75,C1147)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SUMIFS(RAB!$F$14:$F$75,RAB!$C$14:$C$75,C1148)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SUMIFS(RAB!$F$14:$F$75,RAB!$C$14:$C$75,C1149)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SUMIFS(RAB!$F$14:$F$75,RAB!$C$14:$C$75,C1150)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SUMIFS(RAB!$F$14:$F$75,RAB!$C$14:$C$75,C1151)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SUMIFS(RAB!$F$14:$F$75,RAB!$C$14:$C$75,C1152)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SUMIFS(RAB!$F$14:$F$75,RAB!$C$14:$C$75,C1153)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SUMIFS(RAB!$F$14:$F$75,RAB!$C$14:$C$75,C1154)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SUMIFS(RAB!$F$14:$F$75,RAB!$C$14:$C$75,C1155)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SUMIFS(RAB!$F$14:$F$75,RAB!$C$14:$C$75,C1156)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SUMIFS(RAB!$F$14:$F$75,RAB!$C$14:$C$75,C1157)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SUMIFS(RAB!$F$14:$F$75,RAB!$C$14:$C$75,C1158)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SUMIFS(RAB!$F$14:$F$75,RAB!$C$14:$C$75,C1159)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SUMIFS(RAB!$F$14:$F$75,RAB!$C$14:$C$75,C1160)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SUMIFS(RAB!$F$14:$F$75,RAB!$C$14:$C$75,C1161)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SUMIFS(RAB!$F$14:$F$75,RAB!$C$14:$C$75,C1162)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SUMIFS(RAB!$F$14:$F$75,RAB!$C$14:$C$75,C1163)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SUMIFS(RAB!$F$14:$F$75,RAB!$C$14:$C$75,C1164)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SUMIFS(RAB!$F$14:$F$75,RAB!$C$14:$C$75,C1165)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SUMIFS(RAB!$F$14:$F$75,RAB!$C$14:$C$75,C1166)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SUMIFS(RAB!$F$14:$F$75,RAB!$C$14:$C$75,C1167)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SUMIFS(RAB!$F$14:$F$75,RAB!$C$14:$C$75,C1168)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SUMIFS(RAB!$F$14:$F$75,RAB!$C$14:$C$75,C1169)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SUMIFS(RAB!$F$14:$F$75,RAB!$C$14:$C$75,C1170)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SUMIFS(RAB!$F$14:$F$75,RAB!$C$14:$C$75,C1171)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SUMIFS(RAB!$F$14:$F$75,RAB!$C$14:$C$75,C1172)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SUMIFS(RAB!$F$14:$F$75,RAB!$C$14:$C$75,C1173)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SUMIFS(RAB!$F$14:$F$75,RAB!$C$14:$C$75,C1174)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SUMIFS(RAB!$F$14:$F$75,RAB!$C$14:$C$75,C1175)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SUMIFS(RAB!$F$14:$F$75,RAB!$C$14:$C$75,C1176)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SUMIFS(RAB!$F$14:$F$75,RAB!$C$14:$C$75,C1177)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SUMIFS(RAB!$F$14:$F$75,RAB!$C$14:$C$75,C1178)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SUMIFS(RAB!$F$14:$F$75,RAB!$C$14:$C$75,C1179)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SUMIFS(RAB!$F$14:$F$75,RAB!$C$14:$C$75,C1180)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SUMIFS(RAB!$F$14:$F$75,RAB!$C$14:$C$75,C1181)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SUMIFS(RAB!$F$14:$F$75,RAB!$C$14:$C$75,C1182)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SUMIFS(RAB!$F$14:$F$75,RAB!$C$14:$C$75,C1183)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SUMIFS(RAB!$F$14:$F$75,RAB!$C$14:$C$75,C1184)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SUMIFS(RAB!$F$14:$F$75,RAB!$C$14:$C$75,C1185)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SUMIFS(RAB!$F$14:$F$75,RAB!$C$14:$C$75,C1186)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SUMIFS(RAB!$F$14:$F$75,RAB!$C$14:$C$75,C1187)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SUMIFS(RAB!$F$14:$F$75,RAB!$C$14:$C$75,C1188)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SUMIFS(RAB!$F$14:$F$75,RAB!$C$14:$C$75,C1189)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SUMIFS(RAB!$F$14:$F$75,RAB!$C$14:$C$75,C1190)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SUMIFS(RAB!$F$14:$F$75,RAB!$C$14:$C$75,C1191)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SUMIFS(RAB!$F$14:$F$75,RAB!$C$14:$C$75,C1192)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SUMIFS(RAB!$F$14:$F$75,RAB!$C$14:$C$75,C1193)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SUMIFS(RAB!$F$14:$F$75,RAB!$C$14:$C$75,C1194)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SUMIFS(RAB!$F$14:$F$75,RAB!$C$14:$C$75,C1195)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SUMIFS(RAB!$F$14:$F$75,RAB!$C$14:$C$75,C1196)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SUMIFS(RAB!$F$14:$F$75,RAB!$C$14:$C$75,C1197)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SUMIFS(RAB!$F$14:$F$75,RAB!$C$14:$C$75,C1198)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SUMIFS(RAB!$F$14:$F$75,RAB!$C$14:$C$75,C1199)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SUMIFS(RAB!$F$14:$F$75,RAB!$C$14:$C$75,C1200)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SUMIFS(RAB!$F$14:$F$75,RAB!$C$14:$C$75,C1201)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SUMIFS(RAB!$F$14:$F$75,RAB!$C$14:$C$75,C1202)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SUMIFS(RAB!$F$14:$F$75,RAB!$C$14:$C$75,C1203)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SUMIFS(RAB!$F$14:$F$75,RAB!$C$14:$C$75,C1204)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SUMIFS(RAB!$F$14:$F$75,RAB!$C$14:$C$75,C1205)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SUMIFS(RAB!$F$14:$F$75,RAB!$C$14:$C$75,C1206)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SUMIFS(RAB!$F$14:$F$75,RAB!$C$14:$C$75,C1207)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SUMIFS(RAB!$F$14:$F$75,RAB!$C$14:$C$75,C1208)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SUMIFS(RAB!$F$14:$F$75,RAB!$C$14:$C$75,C1209)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SUMIFS(RAB!$F$14:$F$75,RAB!$C$14:$C$75,C1210)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SUMIFS(RAB!$F$14:$F$75,RAB!$C$14:$C$75,C1211)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SUMIFS(RAB!$F$14:$F$75,RAB!$C$14:$C$75,C1212)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SUMIFS(RAB!$F$14:$F$75,RAB!$C$14:$C$75,C1213)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SUMIFS(RAB!$F$14:$F$75,RAB!$C$14:$C$75,C1214)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SUMIFS(RAB!$F$14:$F$75,RAB!$C$14:$C$75,C1215)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SUMIFS(RAB!$F$14:$F$75,RAB!$C$14:$C$75,C1216)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SUMIFS(RAB!$F$14:$F$75,RAB!$C$14:$C$75,C1217)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SUMIFS(RAB!$F$14:$F$75,RAB!$C$14:$C$75,C1218)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SUMIFS(RAB!$F$14:$F$75,RAB!$C$14:$C$75,C1219)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SUMIFS(RAB!$F$14:$F$75,RAB!$C$14:$C$75,C1220)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SUMIFS(RAB!$F$14:$F$75,RAB!$C$14:$C$75,C1221)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SUMIFS(RAB!$F$14:$F$75,RAB!$C$14:$C$75,C1222)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SUMIFS(RAB!$F$14:$F$75,RAB!$C$14:$C$75,C1223)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SUMIFS(RAB!$F$14:$F$75,RAB!$C$14:$C$75,C1224)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SUMIFS(RAB!$F$14:$F$75,RAB!$C$14:$C$75,C1225)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SUMIFS(RAB!$F$14:$F$75,RAB!$C$14:$C$75,C1226)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SUMIFS(RAB!$F$14:$F$75,RAB!$C$14:$C$75,C1227)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SUMIFS(RAB!$F$14:$F$75,RAB!$C$14:$C$75,C1228)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SUMIFS(RAB!$F$14:$F$75,RAB!$C$14:$C$75,C1229)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SUMIFS(RAB!$F$14:$F$75,RAB!$C$14:$C$75,C1230)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SUMIFS(RAB!$F$14:$F$75,RAB!$C$14:$C$75,C1231)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SUMIFS(RAB!$F$14:$F$75,RAB!$C$14:$C$75,C1232)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SUMIFS(RAB!$F$14:$F$75,RAB!$C$14:$C$75,C1233)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SUMIFS(RAB!$F$14:$F$75,RAB!$C$14:$C$75,C1234)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SUMIFS(RAB!$F$14:$F$75,RAB!$C$14:$C$75,C1235)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SUMIFS(RAB!$F$14:$F$75,RAB!$C$14:$C$75,C1236)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SUMIFS(RAB!$F$14:$F$75,RAB!$C$14:$C$75,C1237)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SUMIFS(RAB!$F$14:$F$75,RAB!$C$14:$C$75,C1238)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SUMIFS(RAB!$F$14:$F$75,RAB!$C$14:$C$75,C1239)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SUMIFS(RAB!$F$14:$F$75,RAB!$C$14:$C$75,C1240)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SUMIFS(RAB!$F$14:$F$75,RAB!$C$14:$C$75,C1241)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SUMIFS(RAB!$F$14:$F$75,RAB!$C$14:$C$75,C1242)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SUMIFS(RAB!$F$14:$F$75,RAB!$C$14:$C$75,C1243)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SUMIFS(RAB!$F$14:$F$75,RAB!$C$14:$C$75,C1244)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SUMIFS(RAB!$F$14:$F$75,RAB!$C$14:$C$75,C1245)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SUMIFS(RAB!$F$14:$F$75,RAB!$C$14:$C$75,C1246)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SUMIFS(RAB!$F$14:$F$75,RAB!$C$14:$C$75,C1247)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SUMIFS(RAB!$F$14:$F$75,RAB!$C$14:$C$75,C1248)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SUMIFS(RAB!$F$14:$F$75,RAB!$C$14:$C$75,C1249)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SUMIFS(RAB!$F$14:$F$75,RAB!$C$14:$C$75,C1250)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SUMIFS(RAB!$F$14:$F$75,RAB!$C$14:$C$75,C1251)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SUMIFS(RAB!$F$14:$F$75,RAB!$C$14:$C$75,C1252)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SUMIFS(RAB!$F$14:$F$75,RAB!$C$14:$C$75,C1253)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SUMIFS(RAB!$F$14:$F$75,RAB!$C$14:$C$75,C1254)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SUMIFS(RAB!$F$14:$F$75,RAB!$C$14:$C$75,C1255)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SUMIFS(RAB!$F$14:$F$75,RAB!$C$14:$C$75,C1256)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SUMIFS(RAB!$F$14:$F$75,RAB!$C$14:$C$75,C1257)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SUMIFS(RAB!$F$14:$F$75,RAB!$C$14:$C$75,C1258)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SUMIFS(RAB!$F$14:$F$75,RAB!$C$14:$C$75,C1259)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SUMIFS(RAB!$F$14:$F$75,RAB!$C$14:$C$75,C1260)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SUMIFS(RAB!$F$14:$F$75,RAB!$C$14:$C$75,C1261)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SUMIFS(RAB!$F$14:$F$75,RAB!$C$14:$C$75,C1262)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SUMIFS(RAB!$F$14:$F$75,RAB!$C$14:$C$75,C1263)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SUMIFS(RAB!$F$14:$F$75,RAB!$C$14:$C$75,C1264)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SUMIFS(RAB!$F$14:$F$75,RAB!$C$14:$C$75,C1265)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SUMIFS(RAB!$F$14:$F$75,RAB!$C$14:$C$75,C1266)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SUMIFS(RAB!$F$14:$F$75,RAB!$C$14:$C$75,C1267)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SUMIFS(RAB!$F$14:$F$75,RAB!$C$14:$C$75,C1268)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SUMIFS(RAB!$F$14:$F$75,RAB!$C$14:$C$75,C1269)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SUMIFS(RAB!$F$14:$F$75,RAB!$C$14:$C$75,C1270)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SUMIFS(RAB!$F$14:$F$75,RAB!$C$14:$C$75,C1271)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SUMIFS(RAB!$F$14:$F$75,RAB!$C$14:$C$75,C1272)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SUMIFS(RAB!$F$14:$F$75,RAB!$C$14:$C$75,C1273)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SUMIFS(RAB!$F$14:$F$75,RAB!$C$14:$C$75,C1274)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SUMIFS(RAB!$F$14:$F$75,RAB!$C$14:$C$75,C1275)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SUMIFS(RAB!$F$14:$F$75,RAB!$C$14:$C$75,C1276)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SUMIFS(RAB!$F$14:$F$75,RAB!$C$14:$C$75,C1277)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SUMIFS(RAB!$F$14:$F$75,RAB!$C$14:$C$75,C1278)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SUMIFS(RAB!$F$14:$F$75,RAB!$C$14:$C$75,C1279)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SUMIFS(RAB!$F$14:$F$75,RAB!$C$14:$C$75,C1280)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SUMIFS(RAB!$F$14:$F$75,RAB!$C$14:$C$75,C1281)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SUMIFS(RAB!$F$14:$F$75,RAB!$C$14:$C$75,C1282)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SUMIFS(RAB!$F$14:$F$75,RAB!$C$14:$C$75,C1283)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SUMIFS(RAB!$F$14:$F$75,RAB!$C$14:$C$75,C1284)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SUMIFS(RAB!$F$14:$F$75,RAB!$C$14:$C$75,C1285)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SUMIFS(RAB!$F$14:$F$75,RAB!$C$14:$C$75,C1286)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SUMIFS(RAB!$F$14:$F$75,RAB!$C$14:$C$75,C1287)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SUMIFS(RAB!$F$14:$F$75,RAB!$C$14:$C$75,C1288)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SUMIFS(RAB!$F$14:$F$75,RAB!$C$14:$C$75,C1289)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SUMIFS(RAB!$F$14:$F$75,RAB!$C$14:$C$75,C1290)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SUMIFS(RAB!$F$14:$F$75,RAB!$C$14:$C$75,C1291)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SUMIFS(RAB!$F$14:$F$75,RAB!$C$14:$C$75,C1292)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SUMIFS(RAB!$F$14:$F$75,RAB!$C$14:$C$75,C1293)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SUMIFS(RAB!$F$14:$F$75,RAB!$C$14:$C$75,C1294)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SUMIFS(RAB!$F$14:$F$75,RAB!$C$14:$C$75,C1295)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SUMIFS(RAB!$F$14:$F$75,RAB!$C$14:$C$75,C1296)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SUMIFS(RAB!$F$14:$F$75,RAB!$C$14:$C$75,C1297)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SUMIFS(RAB!$F$14:$F$75,RAB!$C$14:$C$75,C1298)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SUMIFS(RAB!$F$14:$F$75,RAB!$C$14:$C$75,C1299)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SUMIFS(RAB!$F$14:$F$75,RAB!$C$14:$C$75,C1300)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SUMIFS(RAB!$F$14:$F$75,RAB!$C$14:$C$75,C1301)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SUMIFS(RAB!$F$14:$F$75,RAB!$C$14:$C$75,C1302)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SUMIFS(RAB!$F$14:$F$75,RAB!$C$14:$C$75,C1303)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SUMIFS(RAB!$F$14:$F$75,RAB!$C$14:$C$75,C1304)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SUMIFS(RAB!$F$14:$F$75,RAB!$C$14:$C$75,C1305)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SUMIFS(RAB!$F$14:$F$75,RAB!$C$14:$C$75,C1306)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SUMIFS(RAB!$F$14:$F$75,RAB!$C$14:$C$75,C1307)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SUMIFS(RAB!$F$14:$F$75,RAB!$C$14:$C$75,C1308)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SUMIFS(RAB!$F$14:$F$75,RAB!$C$14:$C$75,C1309)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SUMIFS(RAB!$F$14:$F$75,RAB!$C$14:$C$75,C1310)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SUMIFS(RAB!$F$14:$F$75,RAB!$C$14:$C$75,C1311)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SUMIFS(RAB!$F$14:$F$75,RAB!$C$14:$C$75,C1312)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SUMIFS(RAB!$F$14:$F$75,RAB!$C$14:$C$75,C1313)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SUMIFS(RAB!$F$14:$F$75,RAB!$C$14:$C$75,C1314)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SUMIFS(RAB!$F$14:$F$75,RAB!$C$14:$C$75,C1315)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SUMIFS(RAB!$F$14:$F$75,RAB!$C$14:$C$75,C1316)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SUMIFS(RAB!$F$14:$F$75,RAB!$C$14:$C$75,C1317)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SUMIFS(RAB!$F$14:$F$75,RAB!$C$14:$C$75,C1318)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SUMIFS(RAB!$F$14:$F$75,RAB!$C$14:$C$75,C1319)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SUMIFS(RAB!$F$14:$F$75,RAB!$C$14:$C$75,C1320)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1" t="s">
        <v>1127</v>
      </c>
      <c r="C4" s="521"/>
      <c r="D4" s="521"/>
      <c r="E4" s="521"/>
      <c r="F4" s="521"/>
      <c r="G4" s="521"/>
      <c r="H4" s="521"/>
      <c r="I4" s="521"/>
      <c r="J4" s="521"/>
      <c r="K4" s="52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PD NAFIADHI 13,2 KVA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SUKOREJO 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2" t="s">
        <v>0</v>
      </c>
      <c r="C11" s="524" t="s">
        <v>1</v>
      </c>
      <c r="D11" s="527" t="s">
        <v>42</v>
      </c>
      <c r="E11" s="527" t="s">
        <v>43</v>
      </c>
      <c r="F11" s="527" t="s">
        <v>2</v>
      </c>
      <c r="G11" s="529" t="s">
        <v>41</v>
      </c>
      <c r="H11" s="527" t="s">
        <v>3</v>
      </c>
      <c r="I11" s="527"/>
      <c r="J11" s="527"/>
      <c r="K11" s="532"/>
      <c r="M11" s="33"/>
      <c r="N11" s="33"/>
      <c r="O11" s="33"/>
      <c r="P11" s="33"/>
      <c r="R11" s="34"/>
      <c r="S11" s="74"/>
      <c r="T11" s="74"/>
    </row>
    <row r="12" spans="1:21" ht="15" customHeight="1">
      <c r="B12" s="523"/>
      <c r="C12" s="525"/>
      <c r="D12" s="528"/>
      <c r="E12" s="528"/>
      <c r="F12" s="528"/>
      <c r="G12" s="530"/>
      <c r="H12" s="536" t="s">
        <v>46</v>
      </c>
      <c r="I12" s="536" t="s">
        <v>5</v>
      </c>
      <c r="J12" s="528" t="s">
        <v>47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3"/>
      <c r="C13" s="526"/>
      <c r="D13" s="528"/>
      <c r="E13" s="528"/>
      <c r="F13" s="528"/>
      <c r="G13" s="531"/>
      <c r="H13" s="537"/>
      <c r="I13" s="537"/>
      <c r="J13" s="528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6" t="s">
        <v>1008</v>
      </c>
      <c r="D38" s="546"/>
      <c r="E38" s="546"/>
      <c r="F38" s="546"/>
      <c r="G38" s="77" t="s">
        <v>9</v>
      </c>
      <c r="H38" s="55">
        <f ca="1">SUM(H14:H37)</f>
        <v>0</v>
      </c>
      <c r="I38" s="55">
        <f ca="1">SUM(I14:I37)</f>
        <v>6765200</v>
      </c>
      <c r="J38" s="55">
        <f ca="1">SUM(J14:J37)</f>
        <v>0</v>
      </c>
      <c r="K38" s="55">
        <f ca="1">SUM(K14:K37)</f>
        <v>6765200</v>
      </c>
      <c r="L38" s="44"/>
      <c r="R38" s="99"/>
      <c r="S38" s="99"/>
      <c r="T38" s="99"/>
    </row>
    <row r="39" spans="1:20" s="36" customFormat="1">
      <c r="A39" s="30"/>
      <c r="B39" s="56"/>
      <c r="C39" s="547" t="s">
        <v>462</v>
      </c>
      <c r="D39" s="547"/>
      <c r="E39" s="547"/>
      <c r="F39" s="547"/>
      <c r="G39" s="59" t="s">
        <v>9</v>
      </c>
      <c r="H39" s="60">
        <f ca="1">H38*0.1</f>
        <v>0</v>
      </c>
      <c r="I39" s="60">
        <f ca="1">I38*0.1</f>
        <v>676520</v>
      </c>
      <c r="J39" s="60">
        <f ca="1">J38*0.1</f>
        <v>0</v>
      </c>
      <c r="K39" s="60">
        <f ca="1">K38*0.1</f>
        <v>676520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8" t="s">
        <v>463</v>
      </c>
      <c r="D40" s="538"/>
      <c r="E40" s="538"/>
      <c r="F40" s="538"/>
      <c r="G40" s="61" t="s">
        <v>9</v>
      </c>
      <c r="H40" s="78">
        <f ca="1">SUM(H38:H39)</f>
        <v>0</v>
      </c>
      <c r="I40" s="78">
        <f ca="1">SUM(I38:I39)</f>
        <v>7441720</v>
      </c>
      <c r="J40" s="61">
        <f ca="1">SUM(J38:J39)</f>
        <v>0</v>
      </c>
      <c r="K40" s="61">
        <f ca="1">SUM(K38:K39)</f>
        <v>7441720</v>
      </c>
      <c r="L40" s="44"/>
      <c r="R40" s="99"/>
      <c r="S40" s="99"/>
      <c r="T40" s="99"/>
    </row>
    <row r="41" spans="1:20" s="36" customFormat="1">
      <c r="A41" s="30"/>
      <c r="B41" s="539" t="e">
        <f ca="1">"Terbilang : ( "&amp;L42&amp;" Rupiah )"</f>
        <v>#NAME?</v>
      </c>
      <c r="C41" s="540"/>
      <c r="D41" s="540"/>
      <c r="E41" s="540"/>
      <c r="F41" s="540"/>
      <c r="G41" s="540"/>
      <c r="H41" s="540"/>
      <c r="I41" s="540"/>
      <c r="J41" s="540"/>
      <c r="K41" s="541"/>
      <c r="L41" s="44"/>
      <c r="R41" s="58"/>
      <c r="S41" s="58"/>
      <c r="T41" s="58"/>
    </row>
    <row r="42" spans="1:20" s="36" customFormat="1">
      <c r="A42" s="30"/>
      <c r="B42" s="542"/>
      <c r="C42" s="543"/>
      <c r="D42" s="543"/>
      <c r="E42" s="543"/>
      <c r="F42" s="543"/>
      <c r="G42" s="543"/>
      <c r="H42" s="543"/>
      <c r="I42" s="543"/>
      <c r="J42" s="543"/>
      <c r="K42" s="544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SUMIFS(RAB!$F$14:$F$75,RAB!$C$14:$C$75,'REKAP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SUMIFS(RAB!$F$14:$F$75,RAB!$C$14:$C$75,'REKAP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SUMIFS(RAB!$F$14:$F$75,RAB!$C$14:$C$75,'REKAP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SUMIFS(RAB!$F$14:$F$75,RAB!$C$14:$C$75,'REKAP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SUMIFS(RAB!$F$14:$F$75,RAB!$C$14:$C$75,'REKAP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SUMIFS(RAB!$F$14:$F$75,RAB!$C$14:$C$75,'REKAP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SUMIFS(RAB!$F$14:$F$75,RAB!$C$14:$C$75,'REKAP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SUMIFS(RAB!$F$14:$F$75,RAB!$C$14:$C$75,'REKAP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SUMIFS(RAB!$F$14:$F$75,RAB!$C$14:$C$75,'REKAP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SUMIFS(RAB!$F$14:$F$75,RAB!$C$14:$C$75,'REKAP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SUMIFS(RAB!$F$14:$F$75,RAB!$C$14:$C$75,'REKAP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SUMIFS(RAB!$F$14:$F$75,RAB!$C$14:$C$75,'REKAP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SUMIFS(RAB!$F$14:$F$75,RAB!$C$14:$C$75,'REKAP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SUMIFS(RAB!$F$14:$F$75,RAB!$C$14:$C$75,'REKAP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SUMIFS(RAB!$F$14:$F$75,RAB!$C$14:$C$75,'REKAP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SUMIFS(RAB!$F$14:$F$75,RAB!$C$14:$C$75,'REKAP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SUMIFS(RAB!$F$14:$F$75,RAB!$C$14:$C$75,'REKAP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SUMIFS(RAB!$F$14:$F$75,RAB!$C$14:$C$75,'REKAP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SUMIFS(RAB!$F$14:$F$75,RAB!$C$14:$C$75,'REKAP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SUMIFS(RAB!$F$14:$F$75,RAB!$C$14:$C$75,'REKAP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1" t="s">
        <v>1034</v>
      </c>
      <c r="C4" s="521"/>
      <c r="D4" s="521"/>
      <c r="E4" s="521"/>
      <c r="F4" s="521"/>
      <c r="G4" s="521"/>
      <c r="H4" s="521"/>
      <c r="I4" s="521"/>
      <c r="J4" s="521"/>
      <c r="K4" s="52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PD NAFIADHI 13,2 KVA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SUKOREJO 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2" t="s">
        <v>0</v>
      </c>
      <c r="C11" s="524" t="s">
        <v>1</v>
      </c>
      <c r="D11" s="527" t="s">
        <v>42</v>
      </c>
      <c r="E11" s="527" t="s">
        <v>43</v>
      </c>
      <c r="F11" s="527" t="s">
        <v>2</v>
      </c>
      <c r="G11" s="529" t="s">
        <v>41</v>
      </c>
      <c r="H11" s="527" t="s">
        <v>3</v>
      </c>
      <c r="I11" s="527"/>
      <c r="J11" s="527"/>
      <c r="K11" s="532"/>
      <c r="M11" s="33"/>
      <c r="N11" s="33"/>
      <c r="O11" s="33"/>
      <c r="P11" s="33"/>
      <c r="R11" s="34"/>
      <c r="S11" s="74"/>
      <c r="T11" s="74"/>
    </row>
    <row r="12" spans="1:21" ht="15" customHeight="1">
      <c r="B12" s="523"/>
      <c r="C12" s="525"/>
      <c r="D12" s="528"/>
      <c r="E12" s="528"/>
      <c r="F12" s="528"/>
      <c r="G12" s="530"/>
      <c r="H12" s="536" t="s">
        <v>46</v>
      </c>
      <c r="I12" s="536" t="s">
        <v>5</v>
      </c>
      <c r="J12" s="528" t="s">
        <v>47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3"/>
      <c r="C13" s="526"/>
      <c r="D13" s="528"/>
      <c r="E13" s="528"/>
      <c r="F13" s="528"/>
      <c r="G13" s="531"/>
      <c r="H13" s="537"/>
      <c r="I13" s="537"/>
      <c r="J13" s="528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13.2 kVA MCCB 20 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NFA2X-T 3x70+1x70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01">
        <f t="shared" ref="F17:F80" ca="1" si="6">IF(ISERROR(OFFSET($D$223,MATCH(A17,$F$224:$F$373,0),0)),"",OFFSET($D$223,MATCH(A17,$F$224:$F$373,0),0))</f>
        <v>118</v>
      </c>
      <c r="G17" s="41">
        <f ca="1">IF(ISERROR(OFFSET('HARGA SATUAN'!$I$6,MATCH(C17,'HARGA SATUAN'!$C$7:$C$1495,0),0)),"",OFFSET('HARGA SATUAN'!$I$6,MATCH(C17,'HARGA SATUAN'!$C$7:$C$1495,0),0))</f>
        <v>54500</v>
      </c>
      <c r="H17" s="42">
        <f t="shared" ca="1" si="1"/>
        <v>6431000</v>
      </c>
      <c r="I17" s="42">
        <f t="shared" ca="1" si="2"/>
        <v>0</v>
      </c>
      <c r="J17" s="42">
        <f t="shared" ca="1" si="3"/>
        <v>0</v>
      </c>
      <c r="K17" s="43">
        <f t="shared" ca="1" si="0"/>
        <v>6431000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35</v>
      </c>
      <c r="G18" s="41">
        <f ca="1">IF(ISERROR(OFFSET('HARGA SATUAN'!$I$6,MATCH(C18,'HARGA SATUAN'!$C$7:$C$1495,0),0)),"",OFFSET('HARGA SATUAN'!$I$6,MATCH(C18,'HARGA SATUAN'!$C$7:$C$1495,0),0))</f>
        <v>13500</v>
      </c>
      <c r="H18" s="42">
        <f t="shared" ca="1" si="1"/>
        <v>472500</v>
      </c>
      <c r="I18" s="42">
        <f t="shared" ca="1" si="2"/>
        <v>0</v>
      </c>
      <c r="J18" s="42">
        <f t="shared" ca="1" si="3"/>
        <v>0</v>
      </c>
      <c r="K18" s="43">
        <f t="shared" ca="1" si="0"/>
        <v>472500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6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6" t="s">
        <v>1008</v>
      </c>
      <c r="D168" s="546"/>
      <c r="E168" s="546"/>
      <c r="F168" s="546"/>
      <c r="G168" s="77" t="s">
        <v>9</v>
      </c>
      <c r="H168" s="55">
        <f ca="1">SUM(H14:H167)</f>
        <v>10468400</v>
      </c>
      <c r="I168" s="55">
        <f ca="1">SUM(I14:I167)</f>
        <v>0</v>
      </c>
      <c r="J168" s="55">
        <f ca="1">SUM(J14:J167)</f>
        <v>0</v>
      </c>
      <c r="K168" s="55">
        <f ca="1">SUM(K14:K167)</f>
        <v>10468400</v>
      </c>
      <c r="L168" s="44"/>
      <c r="R168" s="99"/>
      <c r="S168" s="99"/>
      <c r="T168" s="99"/>
    </row>
    <row r="169" spans="1:20" s="36" customFormat="1">
      <c r="A169" s="30"/>
      <c r="B169" s="56"/>
      <c r="C169" s="547" t="s">
        <v>462</v>
      </c>
      <c r="D169" s="547"/>
      <c r="E169" s="547"/>
      <c r="F169" s="547"/>
      <c r="G169" s="59" t="s">
        <v>9</v>
      </c>
      <c r="H169" s="60">
        <f ca="1">H168*0.1</f>
        <v>1046840</v>
      </c>
      <c r="I169" s="60">
        <f ca="1">I168*0.1</f>
        <v>0</v>
      </c>
      <c r="J169" s="60">
        <f ca="1">J168*0.1</f>
        <v>0</v>
      </c>
      <c r="K169" s="60">
        <f ca="1">K168*0.1</f>
        <v>1046840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8" t="s">
        <v>463</v>
      </c>
      <c r="D170" s="538"/>
      <c r="E170" s="538"/>
      <c r="F170" s="538"/>
      <c r="G170" s="61" t="s">
        <v>9</v>
      </c>
      <c r="H170" s="78">
        <f ca="1">SUM(H168:H169)</f>
        <v>11515240</v>
      </c>
      <c r="I170" s="78">
        <f ca="1">SUM(I168:I169)</f>
        <v>0</v>
      </c>
      <c r="J170" s="61">
        <f ca="1">SUM(J168:J169)</f>
        <v>0</v>
      </c>
      <c r="K170" s="61">
        <f ca="1">SUM(K168:K169)</f>
        <v>11515240</v>
      </c>
      <c r="L170" s="44"/>
      <c r="R170" s="99"/>
      <c r="S170" s="99"/>
      <c r="T170" s="99"/>
    </row>
    <row r="171" spans="1:20" s="36" customFormat="1">
      <c r="A171" s="30"/>
      <c r="B171" s="539" t="e">
        <f ca="1">"Terbilang : ( "&amp;L172&amp;" Rupiah )"</f>
        <v>#NAME?</v>
      </c>
      <c r="C171" s="540"/>
      <c r="D171" s="540"/>
      <c r="E171" s="540"/>
      <c r="F171" s="540"/>
      <c r="G171" s="540"/>
      <c r="H171" s="540"/>
      <c r="I171" s="540"/>
      <c r="J171" s="540"/>
      <c r="K171" s="541"/>
      <c r="L171" s="44"/>
      <c r="R171" s="58"/>
      <c r="S171" s="58"/>
      <c r="T171" s="58"/>
    </row>
    <row r="172" spans="1:20" s="36" customFormat="1">
      <c r="A172" s="30"/>
      <c r="B172" s="542"/>
      <c r="C172" s="543"/>
      <c r="D172" s="543"/>
      <c r="E172" s="543"/>
      <c r="F172" s="543"/>
      <c r="G172" s="543"/>
      <c r="H172" s="543"/>
      <c r="I172" s="543"/>
      <c r="J172" s="543"/>
      <c r="K172" s="544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SUMIFS(RAB!$F$14:$F$75,RAB!$C$14:$C$75,C224)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SUMIFS(RAB!$F$14:$F$75,RAB!$C$14:$C$75,C225)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SUMIFS(RAB!$F$14:$F$75,RAB!$C$14:$C$75,C226)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SUMIFS(RAB!$F$14:$F$75,RAB!$C$14:$C$75,C227)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SUMIFS(RAB!$F$14:$F$75,RAB!$C$14:$C$75,C228)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SUMIFS(RAB!$F$14:$F$75,RAB!$C$14:$C$75,C229)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SUMIFS(RAB!$F$14:$F$75,RAB!$C$14:$C$75,C230)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SUMIFS(RAB!$F$14:$F$75,RAB!$C$14:$C$75,C231)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SUMIFS(RAB!$F$14:$F$75,RAB!$C$14:$C$75,C232)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SUMIFS(RAB!$F$14:$F$75,RAB!$C$14:$C$75,C233)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SUMIFS(RAB!$F$14:$F$75,RAB!$C$14:$C$75,C234)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SUMIFS(RAB!$F$14:$F$75,RAB!$C$14:$C$75,C235)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SUMIFS(RAB!$F$14:$F$75,RAB!$C$14:$C$75,C236)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SUMIFS(RAB!$F$14:$F$75,RAB!$C$14:$C$75,C237)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SUMIFS(RAB!$F$14:$F$75,RAB!$C$14:$C$75,C238)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SUMIFS(RAB!$F$14:$F$75,RAB!$C$14:$C$75,C239)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SUMIFS(RAB!$F$14:$F$75,RAB!$C$14:$C$75,C240)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SUMIFS(RAB!$F$14:$F$75,RAB!$C$14:$C$75,C241)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SUMIFS(RAB!$F$14:$F$75,RAB!$C$14:$C$75,C242)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SUMIFS(RAB!$F$14:$F$75,RAB!$C$14:$C$75,C243)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SUMIFS(RAB!$F$14:$F$75,RAB!$C$14:$C$75,C244)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SUMIFS(RAB!$F$14:$F$75,RAB!$C$14:$C$75,C245)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SUMIFS(RAB!$F$14:$F$75,RAB!$C$14:$C$75,C246)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SUMIFS(RAB!$F$14:$F$75,RAB!$C$14:$C$75,C247)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SUMIFS(RAB!$F$14:$F$75,RAB!$C$14:$C$75,C248)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SUMIFS(RAB!$F$14:$F$75,RAB!$C$14:$C$75,C249)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SUMIFS(RAB!$F$14:$F$75,RAB!$C$14:$C$75,C250)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SUMIFS(RAB!$F$14:$F$75,RAB!$C$14:$C$75,C251)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SUMIFS(RAB!$F$14:$F$75,RAB!$C$14:$C$75,C252)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SUMIFS(RAB!$F$14:$F$75,RAB!$C$14:$C$75,C253)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SUMIFS(RAB!$F$14:$F$75,RAB!$C$14:$C$75,C254)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SUMIFS(RAB!$F$14:$F$75,RAB!$C$14:$C$75,C255)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SUMIFS(RAB!$F$14:$F$75,RAB!$C$14:$C$75,C256)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SUMIFS(RAB!$F$14:$F$75,RAB!$C$14:$C$75,C257)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SUMIFS(RAB!$F$14:$F$75,RAB!$C$14:$C$75,C258)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SUMIFS(RAB!$F$14:$F$75,RAB!$C$14:$C$75,C259)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SUMIFS(RAB!$F$14:$F$75,RAB!$C$14:$C$75,C260)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SUMIFS(RAB!$F$14:$F$75,RAB!$C$14:$C$75,C261)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SUMIFS(RAB!$F$14:$F$75,RAB!$C$14:$C$75,C262)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SUMIFS(RAB!$F$14:$F$75,RAB!$C$14:$C$75,C263)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SUMIFS(RAB!$F$14:$F$75,RAB!$C$14:$C$75,C264)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SUMIFS(RAB!$F$14:$F$75,RAB!$C$14:$C$75,C265)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SUMIFS(RAB!$F$14:$F$75,RAB!$C$14:$C$75,C266)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SUMIFS(RAB!$F$14:$F$75,RAB!$C$14:$C$75,C267)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SUMIFS(RAB!$F$14:$F$75,RAB!$C$14:$C$75,C268)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SUMIFS(RAB!$F$14:$F$75,RAB!$C$14:$C$75,C269)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SUMIFS(RAB!$F$14:$F$75,RAB!$C$14:$C$75,C270)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SUMIFS(RAB!$F$14:$F$75,RAB!$C$14:$C$75,C271)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SUMIFS(RAB!$F$14:$F$75,RAB!$C$14:$C$75,C272)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SUMIFS(RAB!$F$14:$F$75,RAB!$C$14:$C$75,C273)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SUMIFS(RAB!$F$14:$F$75,RAB!$C$14:$C$75,C274)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SUMIFS(RAB!$F$14:$F$75,RAB!$C$14:$C$75,C275)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SUMIFS(RAB!$F$14:$F$75,RAB!$C$14:$C$75,C276)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SUMIFS(RAB!$F$14:$F$75,RAB!$C$14:$C$75,C277)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SUMIFS(RAB!$F$14:$F$75,RAB!$C$14:$C$75,C278)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SUMIFS(RAB!$F$14:$F$75,RAB!$C$14:$C$75,C279)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SUMIFS(RAB!$F$14:$F$75,RAB!$C$14:$C$75,C280)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SUMIFS(RAB!$F$14:$F$75,RAB!$C$14:$C$75,C281)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SUMIFS(RAB!$F$14:$F$75,RAB!$C$14:$C$75,C282)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SUMIFS(RAB!$F$14:$F$75,RAB!$C$14:$C$75,C283)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SUMIFS(RAB!$F$14:$F$75,RAB!$C$14:$C$75,C284)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SUMIFS(RAB!$F$14:$F$75,RAB!$C$14:$C$75,C285)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SUMIFS(RAB!$F$14:$F$75,RAB!$C$14:$C$75,C286)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SUMIFS(RAB!$F$14:$F$75,RAB!$C$14:$C$75,C287)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SUMIFS(RAB!$F$14:$F$75,RAB!$C$14:$C$75,C288)</f>
        <v>1</v>
      </c>
      <c r="E288" s="24">
        <f t="shared" ca="1" si="21"/>
        <v>1</v>
      </c>
      <c r="F288" s="24">
        <f ca="1">IF(D288=0,0,SUM($E$223:E288))</f>
        <v>1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SUMIFS(RAB!$F$14:$F$75,RAB!$C$14:$C$75,C289)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SUMIFS(RAB!$F$14:$F$75,RAB!$C$14:$C$75,C290)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SUMIFS(RAB!$F$14:$F$75,RAB!$C$14:$C$75,C291)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SUMIFS(RAB!$F$14:$F$75,RAB!$C$14:$C$75,C292)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SUMIFS(RAB!$F$14:$F$75,RAB!$C$14:$C$75,C293)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SUMIFS(RAB!$F$14:$F$75,RAB!$C$14:$C$75,C294)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SUMIFS(RAB!$F$14:$F$75,RAB!$C$14:$C$75,C295)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SUMIFS(RAB!$F$14:$F$75,RAB!$C$14:$C$75,C296)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SUMIFS(RAB!$F$14:$F$75,RAB!$C$14:$C$75,C297)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SUMIFS(RAB!$F$14:$F$75,RAB!$C$14:$C$75,C298)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SUMIFS(RAB!$F$14:$F$75,RAB!$C$14:$C$75,C299)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SUMIFS(RAB!$F$14:$F$75,RAB!$C$14:$C$75,C300)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SUMIFS(RAB!$F$14:$F$75,RAB!$C$14:$C$75,C301)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SUMIFS(RAB!$F$14:$F$75,RAB!$C$14:$C$75,C302)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SUMIFS(RAB!$F$14:$F$75,RAB!$C$14:$C$75,C303)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SUMIFS(RAB!$F$14:$F$75,RAB!$C$14:$C$75,C304)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SUMIFS(RAB!$F$14:$F$75,RAB!$C$14:$C$75,C305)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SUMIFS(RAB!$F$14:$F$75,RAB!$C$14:$C$75,C306)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SUMIFS(RAB!$F$14:$F$75,RAB!$C$14:$C$75,C307)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SUMIFS(RAB!$F$14:$F$75,RAB!$C$14:$C$75,C308)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SUMIFS(RAB!$F$14:$F$75,RAB!$C$14:$C$75,C309)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SUMIFS(RAB!$F$14:$F$75,RAB!$C$14:$C$75,C310)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SUMIFS(RAB!$F$14:$F$75,RAB!$C$14:$C$75,C311)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SUMIFS(RAB!$F$14:$F$75,RAB!$C$14:$C$75,C312)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SUMIFS(RAB!$F$14:$F$75,RAB!$C$14:$C$75,C313)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SUMIFS(RAB!$F$14:$F$75,RAB!$C$14:$C$75,C314)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SUMIFS(RAB!$F$14:$F$75,RAB!$C$14:$C$75,C315)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SUMIFS(RAB!$F$14:$F$75,RAB!$C$14:$C$75,C316)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SUMIFS(RAB!$F$14:$F$75,RAB!$C$14:$C$75,C317)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SUMIFS(RAB!$F$14:$F$75,RAB!$C$14:$C$75,C318)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SUMIFS(RAB!$F$14:$F$75,RAB!$C$14:$C$75,C319)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SUMIFS(RAB!$F$14:$F$75,RAB!$C$14:$C$75,C320)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SUMIFS(RAB!$F$14:$F$75,RAB!$C$14:$C$75,C321)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SUMIFS(RAB!$F$14:$F$75,RAB!$C$14:$C$75,C322)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SUMIFS(RAB!$F$14:$F$75,RAB!$C$14:$C$75,C323)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SUMIFS(RAB!$F$14:$F$75,RAB!$C$14:$C$75,C324)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SUMIFS(RAB!$F$14:$F$75,RAB!$C$14:$C$75,C325)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SUMIFS(RAB!$F$14:$F$75,RAB!$C$14:$C$75,C326)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SUMIFS(RAB!$F$14:$F$75,RAB!$C$14:$C$75,C327)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SUMIFS(RAB!$F$14:$F$75,RAB!$C$14:$C$75,C328)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SUMIFS(RAB!$F$14:$F$75,RAB!$C$14:$C$75,C329)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SUMIFS(RAB!$F$14:$F$75,RAB!$C$14:$C$75,C330)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SUMIFS(RAB!$F$14:$F$75,RAB!$C$14:$C$75,C331)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SUMIFS(RAB!$F$14:$F$75,RAB!$C$14:$C$75,C332)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SUMIFS(RAB!$F$14:$F$75,RAB!$C$14:$C$75,C333)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SUMIFS(RAB!$F$14:$F$75,RAB!$C$14:$C$75,C334)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SUMIFS(RAB!$F$14:$F$75,RAB!$C$14:$C$75,C335)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SUMIFS(RAB!$F$14:$F$75,RAB!$C$14:$C$75,C336)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SUMIFS(RAB!$F$14:$F$75,RAB!$C$14:$C$75,C337)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SUMIFS(RAB!$F$14:$F$75,RAB!$C$14:$C$75,C338)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SUMIFS(RAB!$F$14:$F$75,RAB!$C$14:$C$75,C339)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SUMIFS(RAB!$F$14:$F$75,RAB!$C$14:$C$75,C340)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SUMIFS(RAB!$F$14:$F$75,RAB!$C$14:$C$75,C341)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SUMIFS(RAB!$F$14:$F$75,RAB!$C$14:$C$75,C342)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SUMIFS(RAB!$F$14:$F$75,RAB!$C$14:$C$75,C343)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SUMIFS(RAB!$F$14:$F$75,RAB!$C$14:$C$75,C344)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SUMIFS(RAB!$F$14:$F$75,RAB!$C$14:$C$75,C345)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SUMIFS(RAB!$F$14:$F$75,RAB!$C$14:$C$75,C346)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SUMIFS(RAB!$F$14:$F$75,RAB!$C$14:$C$75,C347)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SUMIFS(RAB!$F$14:$F$75,RAB!$C$14:$C$75,C348)</f>
        <v>118</v>
      </c>
      <c r="E348" s="24">
        <f t="shared" ca="1" si="22"/>
        <v>1</v>
      </c>
      <c r="F348" s="24">
        <f ca="1">IF(D348=0,0,SUM($E$223:E348))</f>
        <v>2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SUMIFS(RAB!$F$14:$F$75,RAB!$C$14:$C$75,C349)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SUMIFS(RAB!$F$14:$F$75,RAB!$C$14:$C$75,C350)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SUMIFS(RAB!$F$14:$F$75,RAB!$C$14:$C$75,C351)</f>
        <v>35</v>
      </c>
      <c r="E351" s="24">
        <f t="shared" ca="1" si="22"/>
        <v>1</v>
      </c>
      <c r="F351" s="24">
        <f ca="1">IF(D351=0,0,SUM($E$223:E351))</f>
        <v>3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SUMIFS(RAB!$F$14:$F$75,RAB!$C$14:$C$75,C352)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SUMIFS(RAB!$F$14:$F$75,RAB!$C$14:$C$75,C353)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SUMIFS(RAB!$F$14:$F$75,RAB!$C$14:$C$75,C354)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SUMIFS(RAB!$F$14:$F$75,RAB!$C$14:$C$75,C355)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SUMIFS(RAB!$F$14:$F$75,RAB!$C$14:$C$75,C356)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SUMIFS(RAB!$F$14:$F$75,RAB!$C$14:$C$75,C357)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SUMIFS(RAB!$F$14:$F$75,RAB!$C$14:$C$75,C358)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SUMIFS(RAB!$F$14:$F$75,RAB!$C$14:$C$75,C359)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SUMIFS(RAB!$F$14:$F$75,RAB!$C$14:$C$75,C360)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SUMIFS(RAB!$F$14:$F$75,RAB!$C$14:$C$75,C361)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SUMIFS(RAB!$F$14:$F$75,RAB!$C$14:$C$75,C362)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SUMIFS(RAB!$F$14:$F$75,RAB!$C$14:$C$75,C363)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SUMIFS(RAB!$F$14:$F$75,RAB!$C$14:$C$75,C364)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SUMIFS(RAB!$F$14:$F$75,RAB!$C$14:$C$75,C365)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SUMIFS(RAB!$F$14:$F$75,RAB!$C$14:$C$75,C366)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SUMIFS(RAB!$F$14:$F$75,RAB!$C$14:$C$75,C367)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SUMIFS(RAB!$F$14:$F$75,RAB!$C$14:$C$75,C368)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SUMIFS(RAB!$F$14:$F$75,RAB!$C$14:$C$75,C369)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SUMIFS(RAB!$F$14:$F$75,RAB!$C$14:$C$75,C370)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SUMIFS(RAB!$F$14:$F$75,RAB!$C$14:$C$75,C371)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SUMIFS(RAB!$F$14:$F$75,RAB!$C$14:$C$75,C372)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SUMIFS(RAB!$F$14:$F$75,RAB!$C$14:$C$75,C373)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98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:E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9" t="s">
        <v>41</v>
      </c>
      <c r="C2" s="54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0" t="s">
        <v>23</v>
      </c>
      <c r="C4" s="551" t="s">
        <v>1012</v>
      </c>
      <c r="D4" s="551" t="s">
        <v>42</v>
      </c>
      <c r="E4" s="550" t="s">
        <v>43</v>
      </c>
      <c r="F4" s="108" t="s">
        <v>1599</v>
      </c>
      <c r="G4" s="108" t="s">
        <v>1598</v>
      </c>
      <c r="H4" s="548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0"/>
      <c r="C5" s="551"/>
      <c r="D5" s="551"/>
      <c r="E5" s="550"/>
      <c r="F5" s="93"/>
      <c r="G5" s="93"/>
      <c r="H5" s="548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1611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1610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2" t="s">
        <v>1617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3" t="s">
        <v>1618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3" t="s">
        <v>1619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1" priority="4" operator="equal">
      <formula>0</formula>
    </cfRule>
  </conditionalFormatting>
  <conditionalFormatting sqref="B217 D217:G217">
    <cfRule type="cellIs" dxfId="30" priority="11" operator="equal">
      <formula>0</formula>
    </cfRule>
  </conditionalFormatting>
  <conditionalFormatting sqref="B8:C135">
    <cfRule type="cellIs" dxfId="29" priority="66" operator="equal">
      <formula>0</formula>
    </cfRule>
  </conditionalFormatting>
  <conditionalFormatting sqref="B216:G216">
    <cfRule type="cellIs" dxfId="28" priority="16" operator="equal">
      <formula>0</formula>
    </cfRule>
  </conditionalFormatting>
  <conditionalFormatting sqref="B218:G1496">
    <cfRule type="cellIs" dxfId="27" priority="1" operator="equal">
      <formula>0</formula>
    </cfRule>
  </conditionalFormatting>
  <conditionalFormatting sqref="C143:G149">
    <cfRule type="cellIs" dxfId="26" priority="20" operator="equal">
      <formula>0</formula>
    </cfRule>
  </conditionalFormatting>
  <conditionalFormatting sqref="D9:G142">
    <cfRule type="cellIs" dxfId="25" priority="26" operator="equal">
      <formula>0</formula>
    </cfRule>
  </conditionalFormatting>
  <conditionalFormatting sqref="D1:IV5 A1:C7 D6:K6 H1458:IV1460 H1461:XFD1488 H1489:H1496 I1489:XFD1497 A1497:H1497 A1498:XFD65539">
    <cfRule type="cellIs" dxfId="24" priority="178" operator="equal">
      <formula>0</formula>
    </cfRule>
  </conditionalFormatting>
  <conditionalFormatting sqref="D7:IV8 C136:C142 B136:B149 B150:G213 B214:B215 D214:G215">
    <cfRule type="cellIs" dxfId="23" priority="77" operator="equal">
      <formula>0</formula>
    </cfRule>
  </conditionalFormatting>
  <conditionalFormatting sqref="H9:H1421">
    <cfRule type="cellIs" dxfId="22" priority="3" operator="equal">
      <formula>0</formula>
    </cfRule>
  </conditionalFormatting>
  <conditionalFormatting sqref="H1422:I1457">
    <cfRule type="cellIs" dxfId="21" priority="143" operator="equal">
      <formula>0</formula>
    </cfRule>
  </conditionalFormatting>
  <conditionalFormatting sqref="I108:I1421">
    <cfRule type="cellIs" dxfId="20" priority="2" operator="equal">
      <formula>0</formula>
    </cfRule>
  </conditionalFormatting>
  <conditionalFormatting sqref="I9:IV107">
    <cfRule type="cellIs" dxfId="19" priority="153" operator="equal">
      <formula>0</formula>
    </cfRule>
  </conditionalFormatting>
  <conditionalFormatting sqref="J108:IV1457">
    <cfRule type="cellIs" dxfId="18" priority="5" operator="equal">
      <formula>0</formula>
    </cfRule>
  </conditionalFormatting>
  <conditionalFormatting sqref="M6:IV6">
    <cfRule type="cellIs" dxfId="17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83" t="s">
        <v>1453</v>
      </c>
      <c r="C2" s="583"/>
      <c r="D2" s="583"/>
      <c r="E2" s="58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88" t="s">
        <v>1528</v>
      </c>
      <c r="C4" s="589"/>
      <c r="D4" s="589"/>
      <c r="E4" s="590"/>
      <c r="F4" s="373"/>
      <c r="G4" s="373"/>
      <c r="H4" s="374"/>
      <c r="I4" s="552" t="s">
        <v>1529</v>
      </c>
      <c r="J4" s="553"/>
      <c r="K4" s="553"/>
      <c r="L4" s="554"/>
    </row>
    <row r="5" spans="1:12" ht="34.5" customHeight="1">
      <c r="A5" s="193"/>
      <c r="B5" s="376" t="s">
        <v>1378</v>
      </c>
      <c r="C5" s="224" t="s">
        <v>9</v>
      </c>
      <c r="D5" s="584" t="str">
        <f>DATA!D14</f>
        <v>PD NAFIADHI 13,2 KVA</v>
      </c>
      <c r="E5" s="585"/>
      <c r="F5" s="197"/>
      <c r="G5" s="197"/>
      <c r="I5" s="377" t="s">
        <v>1378</v>
      </c>
      <c r="J5" s="224" t="s">
        <v>9</v>
      </c>
      <c r="K5" s="555" t="str">
        <f>D5</f>
        <v>PD NAFIADHI 13,2 KVA</v>
      </c>
      <c r="L5" s="556"/>
    </row>
    <row r="6" spans="1:12" ht="31.5" customHeight="1">
      <c r="A6" s="193"/>
      <c r="B6" s="376" t="s">
        <v>1525</v>
      </c>
      <c r="C6" s="224" t="s">
        <v>9</v>
      </c>
      <c r="D6" s="593">
        <f>DATA!D17*1000</f>
        <v>4400</v>
      </c>
      <c r="E6" s="594"/>
      <c r="F6" s="197"/>
      <c r="G6" s="197"/>
      <c r="I6" s="377" t="s">
        <v>1526</v>
      </c>
      <c r="J6" s="224" t="s">
        <v>9</v>
      </c>
      <c r="K6" s="557">
        <f>DATA!D20*1000</f>
        <v>13200</v>
      </c>
      <c r="L6" s="558"/>
    </row>
    <row r="7" spans="1:12" ht="30.75" customHeight="1">
      <c r="A7" s="193"/>
      <c r="B7" s="376" t="s">
        <v>1440</v>
      </c>
      <c r="C7" s="224" t="s">
        <v>9</v>
      </c>
      <c r="D7" s="591">
        <f>DATA!D18</f>
        <v>1</v>
      </c>
      <c r="E7" s="592"/>
      <c r="F7" s="375" t="s">
        <v>1452</v>
      </c>
      <c r="I7" s="377" t="s">
        <v>1440</v>
      </c>
      <c r="J7" s="224" t="s">
        <v>9</v>
      </c>
      <c r="K7" s="559">
        <f>DATA!D21</f>
        <v>3</v>
      </c>
      <c r="L7" s="560"/>
    </row>
    <row r="8" spans="1:12" ht="51" customHeight="1">
      <c r="A8" s="193"/>
      <c r="B8" s="376" t="s">
        <v>1441</v>
      </c>
      <c r="C8" s="224" t="s">
        <v>9</v>
      </c>
      <c r="D8" s="591">
        <f>DATA!D19</f>
        <v>220</v>
      </c>
      <c r="E8" s="592"/>
      <c r="F8" s="375" t="s">
        <v>1452</v>
      </c>
      <c r="G8" s="370">
        <v>220</v>
      </c>
      <c r="I8" s="377" t="s">
        <v>1441</v>
      </c>
      <c r="J8" s="224" t="s">
        <v>9</v>
      </c>
      <c r="K8" s="559">
        <f>DATA!D22</f>
        <v>380</v>
      </c>
      <c r="L8" s="560"/>
    </row>
    <row r="9" spans="1:12" ht="30" customHeight="1" thickBot="1">
      <c r="A9" s="193"/>
      <c r="B9" s="382" t="s">
        <v>1537</v>
      </c>
      <c r="C9" s="372" t="s">
        <v>9</v>
      </c>
      <c r="D9" s="586">
        <f>IF(D7=1,D6/(380/3^0.5),(D6/(380*3^0.5)))</f>
        <v>20.055325140271211</v>
      </c>
      <c r="E9" s="587"/>
      <c r="F9" s="196"/>
      <c r="G9" s="371">
        <v>380</v>
      </c>
      <c r="I9" s="383" t="s">
        <v>1537</v>
      </c>
      <c r="J9" s="372" t="s">
        <v>9</v>
      </c>
      <c r="K9" s="563">
        <f>IF(K7=1,K6/(380/3^0.5),(K6/(380*3^0.5)))</f>
        <v>20.055325140271211</v>
      </c>
      <c r="L9" s="564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95"/>
      <c r="E12" s="596"/>
      <c r="F12" s="197"/>
      <c r="G12" s="197"/>
      <c r="I12" s="399" t="s">
        <v>1530</v>
      </c>
      <c r="J12" s="400" t="s">
        <v>9</v>
      </c>
      <c r="K12" s="595" t="s">
        <v>1603</v>
      </c>
      <c r="L12" s="596"/>
    </row>
    <row r="13" spans="1:12" ht="31.5" customHeight="1">
      <c r="A13" s="193"/>
      <c r="B13" s="407" t="s">
        <v>1379</v>
      </c>
      <c r="C13" s="387" t="s">
        <v>9</v>
      </c>
      <c r="D13" s="561"/>
      <c r="E13" s="562"/>
      <c r="F13" s="197"/>
      <c r="G13" s="197"/>
      <c r="I13" s="401" t="s">
        <v>1379</v>
      </c>
      <c r="J13" s="387" t="s">
        <v>9</v>
      </c>
      <c r="K13" s="561" t="s">
        <v>1604</v>
      </c>
      <c r="L13" s="562"/>
    </row>
    <row r="14" spans="1:12" ht="30.75" customHeight="1">
      <c r="A14" s="193"/>
      <c r="B14" s="407" t="s">
        <v>1531</v>
      </c>
      <c r="C14" s="387" t="s">
        <v>9</v>
      </c>
      <c r="D14" s="565"/>
      <c r="E14" s="566"/>
      <c r="F14" s="375" t="s">
        <v>1452</v>
      </c>
      <c r="G14" s="379">
        <v>50</v>
      </c>
      <c r="I14" s="401" t="s">
        <v>1531</v>
      </c>
      <c r="J14" s="387" t="s">
        <v>9</v>
      </c>
      <c r="K14" s="567">
        <v>160</v>
      </c>
      <c r="L14" s="568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69">
        <v>0</v>
      </c>
      <c r="E16" s="570"/>
      <c r="F16" s="375"/>
      <c r="G16" s="379">
        <v>160</v>
      </c>
      <c r="I16" s="401" t="s">
        <v>1533</v>
      </c>
      <c r="J16" s="387" t="s">
        <v>9</v>
      </c>
      <c r="K16" s="573">
        <f>K9</f>
        <v>20.055325140271211</v>
      </c>
      <c r="L16" s="574"/>
    </row>
    <row r="17" spans="1:12" ht="34.5" customHeight="1">
      <c r="A17" s="193"/>
      <c r="B17" s="407" t="s">
        <v>1534</v>
      </c>
      <c r="C17" s="387" t="s">
        <v>9</v>
      </c>
      <c r="D17" s="571">
        <f>IF(D15=1,D14/(20/3^0.5),(D14/(20*3^0.5)))</f>
        <v>0</v>
      </c>
      <c r="E17" s="572"/>
      <c r="F17" s="375" t="s">
        <v>1452</v>
      </c>
      <c r="G17" s="380">
        <v>200</v>
      </c>
      <c r="I17" s="401" t="s">
        <v>1534</v>
      </c>
      <c r="J17" s="387" t="s">
        <v>9</v>
      </c>
      <c r="K17" s="577">
        <f>IF(K15=1,K14/(20/3^0.5),(K14/(20*3^0.5)))</f>
        <v>4.6188021535170067</v>
      </c>
      <c r="L17" s="578"/>
    </row>
    <row r="18" spans="1:12" ht="34.5" customHeight="1">
      <c r="A18" s="193"/>
      <c r="B18" s="407" t="s">
        <v>1535</v>
      </c>
      <c r="C18" s="387" t="s">
        <v>9</v>
      </c>
      <c r="D18" s="571">
        <f>IF(D15=1,D14/(380/3^0.5),(D14/(380*3^0.5)))*1000</f>
        <v>0</v>
      </c>
      <c r="E18" s="572"/>
      <c r="F18" s="375" t="s">
        <v>1452</v>
      </c>
      <c r="G18" s="380">
        <v>250</v>
      </c>
      <c r="I18" s="401" t="s">
        <v>1535</v>
      </c>
      <c r="J18" s="387" t="s">
        <v>9</v>
      </c>
      <c r="K18" s="577">
        <f>IF(K15=1,K14/(380/3^0.5),(K14/(380*3^0.5)))*1000</f>
        <v>243.0948501851056</v>
      </c>
      <c r="L18" s="578"/>
    </row>
    <row r="19" spans="1:12" ht="30" customHeight="1">
      <c r="A19" s="193"/>
      <c r="B19" s="408" t="s">
        <v>1527</v>
      </c>
      <c r="C19" s="386" t="s">
        <v>9</v>
      </c>
      <c r="D19" s="571">
        <f>IF(D15=1,D14/(380/3^0.5),(D14/(380*3^0.5)))</f>
        <v>0</v>
      </c>
      <c r="E19" s="572"/>
      <c r="F19" s="196"/>
      <c r="G19" s="371"/>
      <c r="I19" s="403" t="s">
        <v>1527</v>
      </c>
      <c r="J19" s="386" t="s">
        <v>9</v>
      </c>
      <c r="K19" s="577">
        <f>IF(K15=1,K14/(380/3^0.5),(K14/(380*3^0.5)))</f>
        <v>0.2430948501851056</v>
      </c>
      <c r="L19" s="578"/>
    </row>
    <row r="20" spans="1:12" ht="30" customHeight="1" thickBot="1">
      <c r="A20" s="193"/>
      <c r="B20" s="409" t="s">
        <v>1536</v>
      </c>
      <c r="C20" s="405" t="s">
        <v>9</v>
      </c>
      <c r="D20" s="597" t="e">
        <f>D16/D18</f>
        <v>#DIV/0!</v>
      </c>
      <c r="E20" s="598"/>
      <c r="F20" s="196"/>
      <c r="G20" s="371"/>
      <c r="I20" s="404" t="s">
        <v>1527</v>
      </c>
      <c r="J20" s="405" t="s">
        <v>9</v>
      </c>
      <c r="K20" s="575">
        <f>K16/K18</f>
        <v>8.2500000000000004E-2</v>
      </c>
      <c r="L20" s="576"/>
    </row>
    <row r="21" spans="1:12" ht="9.75" customHeight="1">
      <c r="A21" s="193"/>
      <c r="B21" s="394" t="s">
        <v>1536</v>
      </c>
      <c r="C21" s="395" t="s">
        <v>9</v>
      </c>
      <c r="D21" s="582">
        <v>1</v>
      </c>
      <c r="E21" s="582"/>
      <c r="F21" s="396"/>
      <c r="G21" s="397"/>
      <c r="H21" s="398"/>
      <c r="I21" s="394" t="s">
        <v>1527</v>
      </c>
      <c r="J21" s="395" t="s">
        <v>9</v>
      </c>
      <c r="K21" s="582">
        <v>1</v>
      </c>
      <c r="L21" s="582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79"/>
      <c r="C24" s="580"/>
      <c r="D24" s="580"/>
      <c r="E24" s="581"/>
      <c r="I24" s="579"/>
      <c r="J24" s="580"/>
      <c r="K24" s="580"/>
      <c r="L24" s="581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L16" sqref="L16"/>
    </sheetView>
  </sheetViews>
  <sheetFormatPr defaultColWidth="9.140625" defaultRowHeight="15"/>
  <cols>
    <col min="1" max="1" width="1.28515625" style="234" customWidth="1"/>
    <col min="2" max="2" width="25.28515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99"/>
      <c r="C1" s="599"/>
      <c r="D1" s="599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8.7999999999999989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8527199.9999999981</v>
      </c>
    </row>
    <row r="10" spans="2:11" ht="20.100000000000001" customHeight="1">
      <c r="B10" s="238" t="s">
        <v>1445</v>
      </c>
      <c r="C10" s="239" t="s">
        <v>9</v>
      </c>
      <c r="D10" s="245">
        <f ca="1">RAB!K81</f>
        <v>24368673.47975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487373.46959500003</v>
      </c>
    </row>
    <row r="12" spans="2:11" ht="9" customHeight="1">
      <c r="B12" s="600"/>
      <c r="C12" s="600"/>
      <c r="D12" s="600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PD NAFIADHI 13,2 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1624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4.4000000000000004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13.2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19" activePane="bottomLeft" state="frozen"/>
      <selection activeCell="H1093" sqref="H1093"/>
      <selection pane="bottomLeft" activeCell="K36" sqref="K3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7" t="s">
        <v>1356</v>
      </c>
      <c r="C3" s="607"/>
      <c r="D3" s="607"/>
      <c r="E3" s="607"/>
      <c r="F3" s="252" t="str">
        <f>DATA!D14</f>
        <v>PD NAFIADHI 13,2 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1" t="s">
        <v>1348</v>
      </c>
      <c r="C5" s="601" t="s">
        <v>1357</v>
      </c>
      <c r="D5" s="606" t="s">
        <v>1358</v>
      </c>
      <c r="E5" s="606" t="s">
        <v>1359</v>
      </c>
      <c r="F5" s="601" t="s">
        <v>1360</v>
      </c>
      <c r="G5" s="601"/>
      <c r="H5" s="601"/>
      <c r="I5" s="601"/>
      <c r="J5" s="601"/>
      <c r="K5" s="601" t="s">
        <v>1361</v>
      </c>
      <c r="L5" s="601"/>
      <c r="M5" s="254"/>
      <c r="N5" s="604" t="s">
        <v>1362</v>
      </c>
      <c r="O5" s="606" t="s">
        <v>1363</v>
      </c>
      <c r="P5" s="606" t="s">
        <v>1364</v>
      </c>
      <c r="Q5" s="606" t="s">
        <v>1365</v>
      </c>
      <c r="R5" s="255"/>
      <c r="S5" s="256"/>
      <c r="T5" s="602" t="s">
        <v>1366</v>
      </c>
      <c r="U5" s="257"/>
    </row>
    <row r="6" spans="1:21" ht="20.100000000000001" customHeight="1">
      <c r="B6" s="601"/>
      <c r="C6" s="601"/>
      <c r="D6" s="601"/>
      <c r="E6" s="60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5"/>
      <c r="O6" s="601"/>
      <c r="P6" s="601"/>
      <c r="Q6" s="601"/>
      <c r="R6" s="255"/>
      <c r="S6" s="256"/>
      <c r="T6" s="601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1407.9999999999998</v>
      </c>
      <c r="D7" s="263">
        <f>C7*4/24</f>
        <v>234.66666666666663</v>
      </c>
      <c r="E7" s="263">
        <f>C7-D7</f>
        <v>1173.333333333333</v>
      </c>
      <c r="F7" s="264">
        <f ca="1">DATA!D10/1000000</f>
        <v>24.368673479750001</v>
      </c>
      <c r="G7" s="265">
        <f ca="1">DATA!$D$11/1000000</f>
        <v>0.48737346959500005</v>
      </c>
      <c r="H7" s="265">
        <f>C7*DATA!$D$5/1000000</f>
        <v>1.5264480646083101</v>
      </c>
      <c r="I7" s="265">
        <f>(C7*DATA!$D$5*DATA!$D$7)/1000000</f>
        <v>3.4345081453686976E-2</v>
      </c>
      <c r="J7" s="263">
        <f ca="1">SUM(F7:I7)</f>
        <v>26.416840095406997</v>
      </c>
      <c r="K7" s="266">
        <f>DATA!D9/1000000</f>
        <v>8.5271999999999988</v>
      </c>
      <c r="L7" s="263">
        <f>((D7*DATA!$D$23)/1000000)+((E7*DATA!$D$24)/1000000)</f>
        <v>2.0341375999999998</v>
      </c>
      <c r="M7" s="263">
        <f>K7+L7</f>
        <v>10.561337599999998</v>
      </c>
      <c r="N7" s="263">
        <f ca="1">M7-J7</f>
        <v>-15.855502495406999</v>
      </c>
      <c r="O7" s="261">
        <v>1</v>
      </c>
      <c r="P7" s="263">
        <f ca="1">O7*N7</f>
        <v>-15.855502495406999</v>
      </c>
      <c r="Q7" s="263">
        <f ca="1">P7</f>
        <v>-15.855502495406999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4223.9999999999991</v>
      </c>
      <c r="D8" s="263">
        <f>C8*4/24</f>
        <v>703.99999999999989</v>
      </c>
      <c r="E8" s="263">
        <f t="shared" ref="E8:E32" si="0">C8-D8</f>
        <v>3519.9999999999991</v>
      </c>
      <c r="F8" s="261"/>
      <c r="G8" s="265">
        <f ca="1">DATA!$D$11/1000000</f>
        <v>0.48737346959500005</v>
      </c>
      <c r="H8" s="265">
        <f>C8*DATA!$D$5/1000000</f>
        <v>4.5793441938249302</v>
      </c>
      <c r="I8" s="265">
        <f>(C8*DATA!$D$5*DATA!$D$7)/1000000</f>
        <v>0.10303524436106092</v>
      </c>
      <c r="J8" s="263">
        <f t="shared" ref="J8:J32" ca="1" si="1">SUM(F8:I8)</f>
        <v>5.1697529077809907</v>
      </c>
      <c r="K8" s="268"/>
      <c r="L8" s="263">
        <f>((D8*DATA!$D$23)/1000000)+((E8*DATA!$D$24)/1000000)</f>
        <v>6.1024127999999989</v>
      </c>
      <c r="M8" s="263">
        <f t="shared" ref="M8:M32" si="2">K8+L8</f>
        <v>6.1024127999999989</v>
      </c>
      <c r="N8" s="263">
        <f ca="1">M8-J8</f>
        <v>0.93265989221900814</v>
      </c>
      <c r="O8" s="262">
        <f>1/(1+'[92]Asumsi I'!$C$3)^(KKF!A8)</f>
        <v>0.89285714285714279</v>
      </c>
      <c r="P8" s="263">
        <f ca="1">O8*N8</f>
        <v>0.83273204662411437</v>
      </c>
      <c r="Q8" s="263">
        <f ca="1">Q7+P8</f>
        <v>-15.022770448782884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4223.9999999999991</v>
      </c>
      <c r="D9" s="263">
        <f t="shared" ref="D9:D32" si="5">C9*4/24</f>
        <v>703.99999999999989</v>
      </c>
      <c r="E9" s="263">
        <f t="shared" si="0"/>
        <v>3519.9999999999991</v>
      </c>
      <c r="F9" s="261"/>
      <c r="G9" s="265">
        <f ca="1">DATA!$D$11/1000000</f>
        <v>0.48737346959500005</v>
      </c>
      <c r="H9" s="265">
        <f>C9*DATA!$D$5/1000000</f>
        <v>4.5793441938249302</v>
      </c>
      <c r="I9" s="265">
        <f>(C9*DATA!$D$5*DATA!$D$7)/1000000</f>
        <v>0.10303524436106092</v>
      </c>
      <c r="J9" s="263">
        <f t="shared" ca="1" si="1"/>
        <v>5.1697529077809907</v>
      </c>
      <c r="K9" s="263"/>
      <c r="L9" s="263">
        <f>((D9*DATA!$D$23)/1000000)+((E9*DATA!$D$24)/1000000)</f>
        <v>6.1024127999999989</v>
      </c>
      <c r="M9" s="263">
        <f t="shared" si="2"/>
        <v>6.1024127999999989</v>
      </c>
      <c r="N9" s="263">
        <f t="shared" ref="N9:N32" ca="1" si="6">M9-J9</f>
        <v>0.93265989221900814</v>
      </c>
      <c r="O9" s="269">
        <f>1/(1+'[92]Asumsi I'!$C$3)^(KKF!A9)</f>
        <v>0.79719387755102034</v>
      </c>
      <c r="P9" s="263">
        <f t="shared" ref="P9:P32" ca="1" si="7">O9*N9</f>
        <v>0.74351075591438776</v>
      </c>
      <c r="Q9" s="263">
        <f ca="1">Q8+P9</f>
        <v>-14.279259692868497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4223.9999999999991</v>
      </c>
      <c r="D10" s="263">
        <f t="shared" si="5"/>
        <v>703.99999999999989</v>
      </c>
      <c r="E10" s="263">
        <f t="shared" si="0"/>
        <v>3519.9999999999991</v>
      </c>
      <c r="F10" s="261"/>
      <c r="G10" s="265">
        <f ca="1">DATA!$D$11/1000000</f>
        <v>0.48737346959500005</v>
      </c>
      <c r="H10" s="265">
        <f>C10*DATA!$D$5/1000000</f>
        <v>4.5793441938249302</v>
      </c>
      <c r="I10" s="265">
        <f>(C10*DATA!$D$5*DATA!$D$7)/1000000</f>
        <v>0.10303524436106092</v>
      </c>
      <c r="J10" s="263">
        <f t="shared" ca="1" si="1"/>
        <v>5.1697529077809907</v>
      </c>
      <c r="K10" s="261"/>
      <c r="L10" s="263">
        <f>((D10*DATA!$D$23)/1000000)+((E10*DATA!$D$24)/1000000)</f>
        <v>6.1024127999999989</v>
      </c>
      <c r="M10" s="263">
        <f t="shared" si="2"/>
        <v>6.1024127999999989</v>
      </c>
      <c r="N10" s="263">
        <f t="shared" ca="1" si="6"/>
        <v>0.93265989221900814</v>
      </c>
      <c r="O10" s="262">
        <f>1/(1+'[92]Asumsi I'!$C$3)^(KKF!A10)</f>
        <v>0.71178024781341087</v>
      </c>
      <c r="P10" s="263">
        <f t="shared" ca="1" si="7"/>
        <v>0.66384888920927465</v>
      </c>
      <c r="Q10" s="263">
        <f t="shared" ref="Q10:Q30" ca="1" si="9">Q9+P10</f>
        <v>-13.615410803659222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4223.9999999999991</v>
      </c>
      <c r="D11" s="263">
        <f t="shared" si="5"/>
        <v>703.99999999999989</v>
      </c>
      <c r="E11" s="263">
        <f t="shared" si="0"/>
        <v>3519.9999999999991</v>
      </c>
      <c r="F11" s="261"/>
      <c r="G11" s="265">
        <f ca="1">DATA!$D$11/1000000</f>
        <v>0.48737346959500005</v>
      </c>
      <c r="H11" s="265">
        <f>C11*DATA!$D$5/1000000</f>
        <v>4.5793441938249302</v>
      </c>
      <c r="I11" s="265">
        <f>(C11*DATA!$D$5*DATA!$D$7)/1000000</f>
        <v>0.10303524436106092</v>
      </c>
      <c r="J11" s="263">
        <f t="shared" ca="1" si="1"/>
        <v>5.1697529077809907</v>
      </c>
      <c r="K11" s="261"/>
      <c r="L11" s="263">
        <f>((D11*DATA!$D$23)/1000000)+((E11*DATA!$D$24)/1000000)</f>
        <v>6.1024127999999989</v>
      </c>
      <c r="M11" s="263">
        <f t="shared" si="2"/>
        <v>6.1024127999999989</v>
      </c>
      <c r="N11" s="263">
        <f t="shared" ca="1" si="6"/>
        <v>0.93265989221900814</v>
      </c>
      <c r="O11" s="262">
        <f>1/(1+'[92]Asumsi I'!$C$3)^(KKF!A11)</f>
        <v>0.63551807840483121</v>
      </c>
      <c r="P11" s="263">
        <f t="shared" ca="1" si="7"/>
        <v>0.59272222250828099</v>
      </c>
      <c r="Q11" s="263">
        <f t="shared" ca="1" si="9"/>
        <v>-13.022688581150941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4223.9999999999991</v>
      </c>
      <c r="D12" s="263">
        <f t="shared" si="5"/>
        <v>703.99999999999989</v>
      </c>
      <c r="E12" s="263">
        <f t="shared" si="0"/>
        <v>3519.9999999999991</v>
      </c>
      <c r="F12" s="261"/>
      <c r="G12" s="265">
        <f ca="1">DATA!$D$11/1000000</f>
        <v>0.48737346959500005</v>
      </c>
      <c r="H12" s="265">
        <f>C12*DATA!$D$5/1000000</f>
        <v>4.5793441938249302</v>
      </c>
      <c r="I12" s="265">
        <f>(C12*DATA!$D$5*DATA!$D$7)/1000000</f>
        <v>0.10303524436106092</v>
      </c>
      <c r="J12" s="263">
        <f t="shared" ca="1" si="1"/>
        <v>5.1697529077809907</v>
      </c>
      <c r="K12" s="261"/>
      <c r="L12" s="263">
        <f>((D12*DATA!$D$23)/1000000)+((E12*DATA!$D$24)/1000000)</f>
        <v>6.1024127999999989</v>
      </c>
      <c r="M12" s="263">
        <f t="shared" si="2"/>
        <v>6.1024127999999989</v>
      </c>
      <c r="N12" s="263">
        <f t="shared" ca="1" si="6"/>
        <v>0.93265989221900814</v>
      </c>
      <c r="O12" s="262">
        <f>1/(1+'[92]Asumsi I'!$C$3)^(KKF!A12)</f>
        <v>0.56742685571859919</v>
      </c>
      <c r="P12" s="263">
        <f t="shared" ca="1" si="7"/>
        <v>0.52921627009667938</v>
      </c>
      <c r="Q12" s="263">
        <f t="shared" ca="1" si="9"/>
        <v>-12.493472311054262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4223.9999999999991</v>
      </c>
      <c r="D13" s="263">
        <f t="shared" si="5"/>
        <v>703.99999999999989</v>
      </c>
      <c r="E13" s="263">
        <f t="shared" si="0"/>
        <v>3519.9999999999991</v>
      </c>
      <c r="F13" s="261"/>
      <c r="G13" s="265">
        <f ca="1">DATA!$D$11/1000000</f>
        <v>0.48737346959500005</v>
      </c>
      <c r="H13" s="265">
        <f>C13*DATA!$D$5/1000000</f>
        <v>4.5793441938249302</v>
      </c>
      <c r="I13" s="265">
        <f>(C13*DATA!$D$5*DATA!$D$7)/1000000</f>
        <v>0.10303524436106092</v>
      </c>
      <c r="J13" s="263">
        <f t="shared" ca="1" si="1"/>
        <v>5.1697529077809907</v>
      </c>
      <c r="K13" s="261"/>
      <c r="L13" s="263">
        <f>((D13*DATA!$D$23)/1000000)+((E13*DATA!$D$24)/1000000)</f>
        <v>6.1024127999999989</v>
      </c>
      <c r="M13" s="263">
        <f t="shared" si="2"/>
        <v>6.1024127999999989</v>
      </c>
      <c r="N13" s="263">
        <f t="shared" ca="1" si="6"/>
        <v>0.93265989221900814</v>
      </c>
      <c r="O13" s="262">
        <f>1/(1+'[92]Asumsi I'!$C$3)^(KKF!A13)</f>
        <v>0.50663112117732068</v>
      </c>
      <c r="P13" s="263">
        <f t="shared" ca="1" si="7"/>
        <v>0.47251452687203516</v>
      </c>
      <c r="Q13" s="263">
        <f t="shared" ca="1" si="9"/>
        <v>-12.020957784182228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4223.9999999999991</v>
      </c>
      <c r="D14" s="263">
        <f t="shared" si="5"/>
        <v>703.99999999999989</v>
      </c>
      <c r="E14" s="263">
        <f t="shared" si="0"/>
        <v>3519.9999999999991</v>
      </c>
      <c r="F14" s="261"/>
      <c r="G14" s="265">
        <f ca="1">DATA!$D$11/1000000</f>
        <v>0.48737346959500005</v>
      </c>
      <c r="H14" s="265">
        <f>C14*DATA!$D$5/1000000</f>
        <v>4.5793441938249302</v>
      </c>
      <c r="I14" s="265">
        <f>(C14*DATA!$D$5*DATA!$D$7)/1000000</f>
        <v>0.10303524436106092</v>
      </c>
      <c r="J14" s="263">
        <f t="shared" ca="1" si="1"/>
        <v>5.1697529077809907</v>
      </c>
      <c r="K14" s="261"/>
      <c r="L14" s="263">
        <f>((D14*DATA!$D$23)/1000000)+((E14*DATA!$D$24)/1000000)</f>
        <v>6.1024127999999989</v>
      </c>
      <c r="M14" s="263">
        <f t="shared" si="2"/>
        <v>6.1024127999999989</v>
      </c>
      <c r="N14" s="263">
        <f t="shared" ca="1" si="6"/>
        <v>0.93265989221900814</v>
      </c>
      <c r="O14" s="262">
        <f>1/(1+'[92]Asumsi I'!$C$3)^(KKF!A14)</f>
        <v>0.45234921533689343</v>
      </c>
      <c r="P14" s="263">
        <f t="shared" ca="1" si="7"/>
        <v>0.42188797042145992</v>
      </c>
      <c r="Q14" s="263">
        <f t="shared" ca="1" si="9"/>
        <v>-11.599069813760767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4223.9999999999991</v>
      </c>
      <c r="D15" s="263">
        <f t="shared" si="5"/>
        <v>703.99999999999989</v>
      </c>
      <c r="E15" s="263">
        <f t="shared" si="0"/>
        <v>3519.9999999999991</v>
      </c>
      <c r="F15" s="261"/>
      <c r="G15" s="265">
        <f ca="1">DATA!$D$11/1000000</f>
        <v>0.48737346959500005</v>
      </c>
      <c r="H15" s="265">
        <f>C15*DATA!$D$5/1000000</f>
        <v>4.5793441938249302</v>
      </c>
      <c r="I15" s="265">
        <f>(C15*DATA!$D$5*DATA!$D$7)/1000000</f>
        <v>0.10303524436106092</v>
      </c>
      <c r="J15" s="263">
        <f t="shared" ca="1" si="1"/>
        <v>5.1697529077809907</v>
      </c>
      <c r="K15" s="261"/>
      <c r="L15" s="263">
        <f>((D15*DATA!$D$23)/1000000)+((E15*DATA!$D$24)/1000000)</f>
        <v>6.1024127999999989</v>
      </c>
      <c r="M15" s="263">
        <f t="shared" si="2"/>
        <v>6.1024127999999989</v>
      </c>
      <c r="N15" s="263">
        <f t="shared" ca="1" si="6"/>
        <v>0.93265989221900814</v>
      </c>
      <c r="O15" s="262">
        <f>1/(1+'[92]Asumsi I'!$C$3)^(KKF!A15)</f>
        <v>0.4038832279793691</v>
      </c>
      <c r="P15" s="263">
        <f t="shared" ca="1" si="7"/>
        <v>0.37668568787630347</v>
      </c>
      <c r="Q15" s="263">
        <f t="shared" ca="1" si="9"/>
        <v>-11.222384125884464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4223.9999999999991</v>
      </c>
      <c r="D16" s="263">
        <f t="shared" si="5"/>
        <v>703.99999999999989</v>
      </c>
      <c r="E16" s="263">
        <f t="shared" si="0"/>
        <v>3519.9999999999991</v>
      </c>
      <c r="F16" s="261"/>
      <c r="G16" s="265">
        <f ca="1">DATA!$D$11/1000000</f>
        <v>0.48737346959500005</v>
      </c>
      <c r="H16" s="265">
        <f>C16*DATA!$D$5/1000000</f>
        <v>4.5793441938249302</v>
      </c>
      <c r="I16" s="265">
        <f>(C16*DATA!$D$5*DATA!$D$7)/1000000</f>
        <v>0.10303524436106092</v>
      </c>
      <c r="J16" s="263">
        <f t="shared" ca="1" si="1"/>
        <v>5.1697529077809907</v>
      </c>
      <c r="K16" s="261"/>
      <c r="L16" s="263">
        <f>((D16*DATA!$D$23)/1000000)+((E16*DATA!$D$24)/1000000)</f>
        <v>6.1024127999999989</v>
      </c>
      <c r="M16" s="263">
        <f t="shared" si="2"/>
        <v>6.1024127999999989</v>
      </c>
      <c r="N16" s="263">
        <f t="shared" ca="1" si="6"/>
        <v>0.93265989221900814</v>
      </c>
      <c r="O16" s="262">
        <f>1/(1+'[92]Asumsi I'!$C$3)^(KKF!A16)</f>
        <v>0.36061002498157957</v>
      </c>
      <c r="P16" s="263">
        <f t="shared" ca="1" si="7"/>
        <v>0.33632650703241385</v>
      </c>
      <c r="Q16" s="263">
        <f t="shared" ca="1" si="9"/>
        <v>-10.88605761885205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4223.9999999999991</v>
      </c>
      <c r="D17" s="263">
        <f t="shared" si="5"/>
        <v>703.99999999999989</v>
      </c>
      <c r="E17" s="263">
        <f t="shared" si="0"/>
        <v>3519.9999999999991</v>
      </c>
      <c r="F17" s="261"/>
      <c r="G17" s="265">
        <f ca="1">DATA!$D$11/1000000</f>
        <v>0.48737346959500005</v>
      </c>
      <c r="H17" s="265">
        <f>C17*DATA!$D$5/1000000</f>
        <v>4.5793441938249302</v>
      </c>
      <c r="I17" s="265">
        <f>(C17*DATA!$D$5*DATA!$D$7)/1000000</f>
        <v>0.10303524436106092</v>
      </c>
      <c r="J17" s="263">
        <f t="shared" ca="1" si="1"/>
        <v>5.1697529077809907</v>
      </c>
      <c r="K17" s="261"/>
      <c r="L17" s="263">
        <f>((D17*DATA!$D$23)/1000000)+((E17*DATA!$D$24)/1000000)</f>
        <v>6.1024127999999989</v>
      </c>
      <c r="M17" s="263">
        <f t="shared" si="2"/>
        <v>6.1024127999999989</v>
      </c>
      <c r="N17" s="263">
        <f t="shared" ca="1" si="6"/>
        <v>0.93265989221900814</v>
      </c>
      <c r="O17" s="262">
        <f>1/(1+'[92]Asumsi I'!$C$3)^(KKF!A17)</f>
        <v>0.32197323659069599</v>
      </c>
      <c r="P17" s="263">
        <f t="shared" ca="1" si="7"/>
        <v>0.30029152413608373</v>
      </c>
      <c r="Q17" s="263">
        <f t="shared" ca="1" si="9"/>
        <v>-10.585766094715966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4223.9999999999991</v>
      </c>
      <c r="D18" s="263">
        <f t="shared" si="5"/>
        <v>703.99999999999989</v>
      </c>
      <c r="E18" s="263">
        <f t="shared" si="0"/>
        <v>3519.9999999999991</v>
      </c>
      <c r="F18" s="261"/>
      <c r="G18" s="265">
        <f ca="1">DATA!$D$11/1000000</f>
        <v>0.48737346959500005</v>
      </c>
      <c r="H18" s="265">
        <f>C18*DATA!$D$5/1000000</f>
        <v>4.5793441938249302</v>
      </c>
      <c r="I18" s="265">
        <f>(C18*DATA!$D$5*DATA!$D$7)/1000000</f>
        <v>0.10303524436106092</v>
      </c>
      <c r="J18" s="263">
        <f t="shared" ca="1" si="1"/>
        <v>5.1697529077809907</v>
      </c>
      <c r="K18" s="261"/>
      <c r="L18" s="263">
        <f>((D18*DATA!$D$23)/1000000)+((E18*DATA!$D$24)/1000000)</f>
        <v>6.1024127999999989</v>
      </c>
      <c r="M18" s="263">
        <f t="shared" si="2"/>
        <v>6.1024127999999989</v>
      </c>
      <c r="N18" s="263">
        <f t="shared" ca="1" si="6"/>
        <v>0.93265989221900814</v>
      </c>
      <c r="O18" s="262">
        <f>1/(1+'[92]Asumsi I'!$C$3)^(KKF!A18)</f>
        <v>0.28747610409883567</v>
      </c>
      <c r="P18" s="263">
        <f t="shared" ca="1" si="7"/>
        <v>0.26811743226436047</v>
      </c>
      <c r="Q18" s="263">
        <f t="shared" ca="1" si="9"/>
        <v>-10.317648662451607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4223.9999999999991</v>
      </c>
      <c r="D19" s="263">
        <f t="shared" si="5"/>
        <v>703.99999999999989</v>
      </c>
      <c r="E19" s="263">
        <f t="shared" si="0"/>
        <v>3519.9999999999991</v>
      </c>
      <c r="F19" s="261"/>
      <c r="G19" s="265">
        <f ca="1">DATA!$D$11/1000000</f>
        <v>0.48737346959500005</v>
      </c>
      <c r="H19" s="265">
        <f>C19*DATA!$D$5/1000000</f>
        <v>4.5793441938249302</v>
      </c>
      <c r="I19" s="265">
        <f>(C19*DATA!$D$5*DATA!$D$7)/1000000</f>
        <v>0.10303524436106092</v>
      </c>
      <c r="J19" s="263">
        <f t="shared" ca="1" si="1"/>
        <v>5.1697529077809907</v>
      </c>
      <c r="K19" s="261"/>
      <c r="L19" s="263">
        <f>((D19*DATA!$D$23)/1000000)+((E19*DATA!$D$24)/1000000)</f>
        <v>6.1024127999999989</v>
      </c>
      <c r="M19" s="263">
        <f t="shared" si="2"/>
        <v>6.1024127999999989</v>
      </c>
      <c r="N19" s="263">
        <f t="shared" ca="1" si="6"/>
        <v>0.93265989221900814</v>
      </c>
      <c r="O19" s="262">
        <f>1/(1+'[92]Asumsi I'!$C$3)^(KKF!A19)</f>
        <v>0.25667509294538904</v>
      </c>
      <c r="P19" s="263">
        <f t="shared" ca="1" si="7"/>
        <v>0.23939056452175045</v>
      </c>
      <c r="Q19" s="263">
        <f t="shared" ca="1" si="9"/>
        <v>-10.078258097929856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4223.9999999999991</v>
      </c>
      <c r="D20" s="263">
        <f t="shared" si="5"/>
        <v>703.99999999999989</v>
      </c>
      <c r="E20" s="263">
        <f t="shared" si="0"/>
        <v>3519.9999999999991</v>
      </c>
      <c r="F20" s="261"/>
      <c r="G20" s="265">
        <f ca="1">DATA!$D$11/1000000</f>
        <v>0.48737346959500005</v>
      </c>
      <c r="H20" s="265">
        <f>C20*DATA!$D$5/1000000</f>
        <v>4.5793441938249302</v>
      </c>
      <c r="I20" s="265">
        <f>(C20*DATA!$D$5*DATA!$D$7)/1000000</f>
        <v>0.10303524436106092</v>
      </c>
      <c r="J20" s="263">
        <f t="shared" ca="1" si="1"/>
        <v>5.1697529077809907</v>
      </c>
      <c r="K20" s="261"/>
      <c r="L20" s="263">
        <f>((D20*DATA!$D$23)/1000000)+((E20*DATA!$D$24)/1000000)</f>
        <v>6.1024127999999989</v>
      </c>
      <c r="M20" s="263">
        <f t="shared" si="2"/>
        <v>6.1024127999999989</v>
      </c>
      <c r="N20" s="263">
        <f t="shared" ca="1" si="6"/>
        <v>0.93265989221900814</v>
      </c>
      <c r="O20" s="262">
        <f>1/(1+'[92]Asumsi I'!$C$3)^(KKF!A20)</f>
        <v>0.22917419012981158</v>
      </c>
      <c r="P20" s="263">
        <f t="shared" ca="1" si="7"/>
        <v>0.21374157546584854</v>
      </c>
      <c r="Q20" s="263">
        <f t="shared" ca="1" si="9"/>
        <v>-9.8645165224640081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4223.9999999999991</v>
      </c>
      <c r="D21" s="263">
        <f t="shared" si="5"/>
        <v>703.99999999999989</v>
      </c>
      <c r="E21" s="263">
        <f t="shared" si="0"/>
        <v>3519.9999999999991</v>
      </c>
      <c r="F21" s="261"/>
      <c r="G21" s="265">
        <f ca="1">DATA!$D$11/1000000</f>
        <v>0.48737346959500005</v>
      </c>
      <c r="H21" s="265">
        <f>C21*DATA!$D$5/1000000</f>
        <v>4.5793441938249302</v>
      </c>
      <c r="I21" s="265">
        <f>(C21*DATA!$D$5*DATA!$D$7)/1000000</f>
        <v>0.10303524436106092</v>
      </c>
      <c r="J21" s="263">
        <f t="shared" ca="1" si="1"/>
        <v>5.1697529077809907</v>
      </c>
      <c r="K21" s="261"/>
      <c r="L21" s="263">
        <f>((D21*DATA!$D$23)/1000000)+((E21*DATA!$D$24)/1000000)</f>
        <v>6.1024127999999989</v>
      </c>
      <c r="M21" s="263">
        <f t="shared" si="2"/>
        <v>6.1024127999999989</v>
      </c>
      <c r="N21" s="263">
        <f t="shared" ca="1" si="6"/>
        <v>0.93265989221900814</v>
      </c>
      <c r="O21" s="262">
        <f>1/(1+'[92]Asumsi I'!$C$3)^(KKF!A21)</f>
        <v>0.20461981261590317</v>
      </c>
      <c r="P21" s="263">
        <f t="shared" ca="1" si="7"/>
        <v>0.19084069238022189</v>
      </c>
      <c r="Q21" s="263">
        <f t="shared" ca="1" si="9"/>
        <v>-9.673675830083786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4223.9999999999991</v>
      </c>
      <c r="D22" s="263">
        <f t="shared" si="5"/>
        <v>703.99999999999989</v>
      </c>
      <c r="E22" s="263">
        <f t="shared" si="0"/>
        <v>3519.9999999999991</v>
      </c>
      <c r="F22" s="261"/>
      <c r="G22" s="265">
        <f ca="1">DATA!$D$11/1000000</f>
        <v>0.48737346959500005</v>
      </c>
      <c r="H22" s="265">
        <f>C22*DATA!$D$5/1000000</f>
        <v>4.5793441938249302</v>
      </c>
      <c r="I22" s="265">
        <f>(C22*DATA!$D$5*DATA!$D$7)/1000000</f>
        <v>0.10303524436106092</v>
      </c>
      <c r="J22" s="263">
        <f t="shared" ca="1" si="1"/>
        <v>5.1697529077809907</v>
      </c>
      <c r="K22" s="261"/>
      <c r="L22" s="263">
        <f>((D22*DATA!$D$23)/1000000)+((E22*DATA!$D$24)/1000000)</f>
        <v>6.1024127999999989</v>
      </c>
      <c r="M22" s="263">
        <f t="shared" si="2"/>
        <v>6.1024127999999989</v>
      </c>
      <c r="N22" s="263">
        <f t="shared" ca="1" si="6"/>
        <v>0.93265989221900814</v>
      </c>
      <c r="O22" s="262">
        <f>1/(1+'[92]Asumsi I'!$C$3)^(KKF!A22)</f>
        <v>0.18269626126419927</v>
      </c>
      <c r="P22" s="263">
        <f t="shared" ca="1" si="7"/>
        <v>0.17039347533948385</v>
      </c>
      <c r="Q22" s="263">
        <f t="shared" ca="1" si="9"/>
        <v>-9.5032823547443019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4223.9999999999991</v>
      </c>
      <c r="D23" s="263">
        <f t="shared" si="5"/>
        <v>703.99999999999989</v>
      </c>
      <c r="E23" s="263">
        <f t="shared" si="0"/>
        <v>3519.9999999999991</v>
      </c>
      <c r="F23" s="261"/>
      <c r="G23" s="265">
        <f ca="1">DATA!$D$11/1000000</f>
        <v>0.48737346959500005</v>
      </c>
      <c r="H23" s="265">
        <f>C23*DATA!$D$5/1000000</f>
        <v>4.5793441938249302</v>
      </c>
      <c r="I23" s="265">
        <f>(C23*DATA!$D$5*DATA!$D$7)/1000000</f>
        <v>0.10303524436106092</v>
      </c>
      <c r="J23" s="263">
        <f t="shared" ca="1" si="1"/>
        <v>5.1697529077809907</v>
      </c>
      <c r="K23" s="261"/>
      <c r="L23" s="263">
        <f>((D23*DATA!$D$23)/1000000)+((E23*DATA!$D$24)/1000000)</f>
        <v>6.1024127999999989</v>
      </c>
      <c r="M23" s="263">
        <f t="shared" si="2"/>
        <v>6.1024127999999989</v>
      </c>
      <c r="N23" s="263">
        <f t="shared" ca="1" si="6"/>
        <v>0.93265989221900814</v>
      </c>
      <c r="O23" s="262">
        <f>1/(1+'[92]Asumsi I'!$C$3)^(KKF!A23)</f>
        <v>0.16312166184303503</v>
      </c>
      <c r="P23" s="263">
        <f t="shared" ca="1" si="7"/>
        <v>0.15213703155311054</v>
      </c>
      <c r="Q23" s="263">
        <f t="shared" ca="1" si="9"/>
        <v>-9.3511453231911918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4223.9999999999991</v>
      </c>
      <c r="D24" s="263">
        <f t="shared" si="5"/>
        <v>703.99999999999989</v>
      </c>
      <c r="E24" s="263">
        <f t="shared" si="0"/>
        <v>3519.9999999999991</v>
      </c>
      <c r="F24" s="261"/>
      <c r="G24" s="265">
        <f ca="1">DATA!$D$11/1000000</f>
        <v>0.48737346959500005</v>
      </c>
      <c r="H24" s="265">
        <f>C24*DATA!$D$5/1000000</f>
        <v>4.5793441938249302</v>
      </c>
      <c r="I24" s="265">
        <f>(C24*DATA!$D$5*DATA!$D$7)/1000000</f>
        <v>0.10303524436106092</v>
      </c>
      <c r="J24" s="263">
        <f t="shared" ca="1" si="1"/>
        <v>5.1697529077809907</v>
      </c>
      <c r="K24" s="261"/>
      <c r="L24" s="263">
        <f>((D24*DATA!$D$23)/1000000)+((E24*DATA!$D$24)/1000000)</f>
        <v>6.1024127999999989</v>
      </c>
      <c r="M24" s="263">
        <f t="shared" si="2"/>
        <v>6.1024127999999989</v>
      </c>
      <c r="N24" s="263">
        <f t="shared" ca="1" si="6"/>
        <v>0.93265989221900814</v>
      </c>
      <c r="O24" s="262">
        <f>1/(1+'[92]Asumsi I'!$C$3)^(KKF!A24)</f>
        <v>0.14564434093128129</v>
      </c>
      <c r="P24" s="263">
        <f t="shared" ca="1" si="7"/>
        <v>0.13583663531527729</v>
      </c>
      <c r="Q24" s="263">
        <f t="shared" ca="1" si="9"/>
        <v>-9.2153086878759147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4223.9999999999991</v>
      </c>
      <c r="D25" s="263">
        <f t="shared" si="5"/>
        <v>703.99999999999989</v>
      </c>
      <c r="E25" s="263">
        <f t="shared" si="0"/>
        <v>3519.9999999999991</v>
      </c>
      <c r="F25" s="261"/>
      <c r="G25" s="265">
        <f ca="1">DATA!$D$11/1000000</f>
        <v>0.48737346959500005</v>
      </c>
      <c r="H25" s="265">
        <f>C25*DATA!$D$5/1000000</f>
        <v>4.5793441938249302</v>
      </c>
      <c r="I25" s="265">
        <f>(C25*DATA!$D$5*DATA!$D$7)/1000000</f>
        <v>0.10303524436106092</v>
      </c>
      <c r="J25" s="263">
        <f t="shared" ca="1" si="1"/>
        <v>5.1697529077809907</v>
      </c>
      <c r="K25" s="261"/>
      <c r="L25" s="263">
        <f>((D25*DATA!$D$23)/1000000)+((E25*DATA!$D$24)/1000000)</f>
        <v>6.1024127999999989</v>
      </c>
      <c r="M25" s="263">
        <f t="shared" si="2"/>
        <v>6.1024127999999989</v>
      </c>
      <c r="N25" s="263">
        <f t="shared" ca="1" si="6"/>
        <v>0.93265989221900814</v>
      </c>
      <c r="O25" s="262">
        <f>1/(1+'[92]Asumsi I'!$C$3)^(KKF!A25)</f>
        <v>0.13003959011721541</v>
      </c>
      <c r="P25" s="263">
        <f t="shared" ca="1" si="7"/>
        <v>0.12128271010292613</v>
      </c>
      <c r="Q25" s="263">
        <f t="shared" ca="1" si="9"/>
        <v>-9.0940259777729882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4223.9999999999991</v>
      </c>
      <c r="D26" s="263">
        <f t="shared" si="5"/>
        <v>703.99999999999989</v>
      </c>
      <c r="E26" s="263">
        <f t="shared" si="0"/>
        <v>3519.9999999999991</v>
      </c>
      <c r="F26" s="261"/>
      <c r="G26" s="265">
        <f ca="1">DATA!$D$11/1000000</f>
        <v>0.48737346959500005</v>
      </c>
      <c r="H26" s="265">
        <f>C26*DATA!$D$5/1000000</f>
        <v>4.5793441938249302</v>
      </c>
      <c r="I26" s="265">
        <f>(C26*DATA!$D$5*DATA!$D$7)/1000000</f>
        <v>0.10303524436106092</v>
      </c>
      <c r="J26" s="263">
        <f t="shared" ca="1" si="1"/>
        <v>5.1697529077809907</v>
      </c>
      <c r="K26" s="261"/>
      <c r="L26" s="263">
        <f>((D26*DATA!$D$23)/1000000)+((E26*DATA!$D$24)/1000000)</f>
        <v>6.1024127999999989</v>
      </c>
      <c r="M26" s="263">
        <f t="shared" si="2"/>
        <v>6.1024127999999989</v>
      </c>
      <c r="N26" s="263">
        <f t="shared" ca="1" si="6"/>
        <v>0.93265989221900814</v>
      </c>
      <c r="O26" s="262">
        <f>1/(1+'[92]Asumsi I'!$C$3)^(KKF!A26)</f>
        <v>0.1161067768903709</v>
      </c>
      <c r="P26" s="263">
        <f t="shared" ca="1" si="7"/>
        <v>0.10828813402046975</v>
      </c>
      <c r="Q26" s="263">
        <f t="shared" ca="1" si="9"/>
        <v>-8.9857378437525188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4223.9999999999991</v>
      </c>
      <c r="D27" s="263">
        <f t="shared" si="5"/>
        <v>703.99999999999989</v>
      </c>
      <c r="E27" s="263">
        <f t="shared" si="0"/>
        <v>3519.9999999999991</v>
      </c>
      <c r="F27" s="261"/>
      <c r="G27" s="265">
        <f ca="1">DATA!$D$11/1000000</f>
        <v>0.48737346959500005</v>
      </c>
      <c r="H27" s="265">
        <f>C27*DATA!$D$5/1000000</f>
        <v>4.5793441938249302</v>
      </c>
      <c r="I27" s="265">
        <f>(C27*DATA!$D$5*DATA!$D$7)/1000000</f>
        <v>0.10303524436106092</v>
      </c>
      <c r="J27" s="263">
        <f t="shared" ca="1" si="1"/>
        <v>5.1697529077809907</v>
      </c>
      <c r="K27" s="261"/>
      <c r="L27" s="263">
        <f>((D27*DATA!$D$23)/1000000)+((E27*DATA!$D$24)/1000000)</f>
        <v>6.1024127999999989</v>
      </c>
      <c r="M27" s="263">
        <f t="shared" si="2"/>
        <v>6.1024127999999989</v>
      </c>
      <c r="N27" s="263">
        <f t="shared" ca="1" si="6"/>
        <v>0.93265989221900814</v>
      </c>
      <c r="O27" s="262">
        <f>1/(1+'[92]Asumsi I'!$C$3)^(KKF!A27)</f>
        <v>0.1036667650806883</v>
      </c>
      <c r="P27" s="263">
        <f t="shared" ca="1" si="7"/>
        <v>9.6685833946847988E-2</v>
      </c>
      <c r="Q27" s="263">
        <f t="shared" ca="1" si="9"/>
        <v>-8.8890520098056705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4223.9999999999991</v>
      </c>
      <c r="D28" s="263">
        <f t="shared" si="5"/>
        <v>703.99999999999989</v>
      </c>
      <c r="E28" s="263">
        <f t="shared" si="0"/>
        <v>3519.9999999999991</v>
      </c>
      <c r="F28" s="261"/>
      <c r="G28" s="265">
        <f ca="1">DATA!$D$11/1000000</f>
        <v>0.48737346959500005</v>
      </c>
      <c r="H28" s="265">
        <f>C28*DATA!$D$5/1000000</f>
        <v>4.5793441938249302</v>
      </c>
      <c r="I28" s="265">
        <f>(C28*DATA!$D$5*DATA!$D$7)/1000000</f>
        <v>0.10303524436106092</v>
      </c>
      <c r="J28" s="263">
        <f t="shared" ca="1" si="1"/>
        <v>5.1697529077809907</v>
      </c>
      <c r="K28" s="261"/>
      <c r="L28" s="263">
        <f>((D28*DATA!$D$23)/1000000)+((E28*DATA!$D$24)/1000000)</f>
        <v>6.1024127999999989</v>
      </c>
      <c r="M28" s="263">
        <f t="shared" si="2"/>
        <v>6.1024127999999989</v>
      </c>
      <c r="N28" s="263">
        <f t="shared" ca="1" si="6"/>
        <v>0.93265989221900814</v>
      </c>
      <c r="O28" s="262">
        <f>1/(1+'[92]Asumsi I'!$C$3)^(KKF!A28)</f>
        <v>9.2559611679185971E-2</v>
      </c>
      <c r="P28" s="263">
        <f t="shared" ca="1" si="7"/>
        <v>8.6326637452542834E-2</v>
      </c>
      <c r="Q28" s="263">
        <f t="shared" ca="1" si="9"/>
        <v>-8.8027253723531285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4223.9999999999991</v>
      </c>
      <c r="D29" s="263">
        <f t="shared" si="5"/>
        <v>703.99999999999989</v>
      </c>
      <c r="E29" s="263">
        <f t="shared" si="0"/>
        <v>3519.9999999999991</v>
      </c>
      <c r="F29" s="261"/>
      <c r="G29" s="265">
        <f ca="1">DATA!$D$11/1000000</f>
        <v>0.48737346959500005</v>
      </c>
      <c r="H29" s="265">
        <f>C29*DATA!$D$5/1000000</f>
        <v>4.5793441938249302</v>
      </c>
      <c r="I29" s="265">
        <f>(C29*DATA!$D$5*DATA!$D$7)/1000000</f>
        <v>0.10303524436106092</v>
      </c>
      <c r="J29" s="263">
        <f t="shared" ca="1" si="1"/>
        <v>5.1697529077809907</v>
      </c>
      <c r="K29" s="261"/>
      <c r="L29" s="263">
        <f>((D29*DATA!$D$23)/1000000)+((E29*DATA!$D$24)/1000000)</f>
        <v>6.1024127999999989</v>
      </c>
      <c r="M29" s="263">
        <f t="shared" si="2"/>
        <v>6.1024127999999989</v>
      </c>
      <c r="N29" s="263">
        <f t="shared" ca="1" si="6"/>
        <v>0.93265989221900814</v>
      </c>
      <c r="O29" s="262">
        <f>1/(1+'[92]Asumsi I'!$C$3)^(KKF!A29)</f>
        <v>8.2642510427844609E-2</v>
      </c>
      <c r="P29" s="263">
        <f t="shared" ca="1" si="7"/>
        <v>7.7077354868341816E-2</v>
      </c>
      <c r="Q29" s="263">
        <f t="shared" ca="1" si="9"/>
        <v>-8.7256480174847866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4223.9999999999991</v>
      </c>
      <c r="D30" s="263">
        <f t="shared" si="5"/>
        <v>703.99999999999989</v>
      </c>
      <c r="E30" s="263">
        <f t="shared" si="0"/>
        <v>3519.9999999999991</v>
      </c>
      <c r="F30" s="261"/>
      <c r="G30" s="265">
        <f ca="1">DATA!$D$11/1000000</f>
        <v>0.48737346959500005</v>
      </c>
      <c r="H30" s="265">
        <f>C30*DATA!$D$5/1000000</f>
        <v>4.5793441938249302</v>
      </c>
      <c r="I30" s="265">
        <f>(C30*DATA!$D$5*DATA!$D$7)/1000000</f>
        <v>0.10303524436106092</v>
      </c>
      <c r="J30" s="263">
        <f t="shared" ca="1" si="1"/>
        <v>5.1697529077809907</v>
      </c>
      <c r="K30" s="261"/>
      <c r="L30" s="263">
        <f>((D30*DATA!$D$23)/1000000)+((E30*DATA!$D$24)/1000000)</f>
        <v>6.1024127999999989</v>
      </c>
      <c r="M30" s="263">
        <f t="shared" si="2"/>
        <v>6.1024127999999989</v>
      </c>
      <c r="N30" s="263">
        <f t="shared" ca="1" si="6"/>
        <v>0.93265989221900814</v>
      </c>
      <c r="O30" s="262">
        <f>1/(1+'[92]Asumsi I'!$C$3)^(KKF!A30)</f>
        <v>7.3787955739146982E-2</v>
      </c>
      <c r="P30" s="263">
        <f t="shared" ca="1" si="7"/>
        <v>6.8819066846733765E-2</v>
      </c>
      <c r="Q30" s="263">
        <f t="shared" ca="1" si="9"/>
        <v>-8.6568289506380527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4223.9999999999991</v>
      </c>
      <c r="D31" s="263">
        <f t="shared" si="5"/>
        <v>703.99999999999989</v>
      </c>
      <c r="E31" s="263">
        <f t="shared" si="0"/>
        <v>3519.9999999999991</v>
      </c>
      <c r="F31" s="261"/>
      <c r="G31" s="265">
        <f ca="1">DATA!$D$11/1000000</f>
        <v>0.48737346959500005</v>
      </c>
      <c r="H31" s="265">
        <f>C31*DATA!$D$5/1000000</f>
        <v>4.5793441938249302</v>
      </c>
      <c r="I31" s="265">
        <f>(C31*DATA!$D$5*DATA!$D$7)/1000000</f>
        <v>0.10303524436106092</v>
      </c>
      <c r="J31" s="263">
        <f t="shared" ca="1" si="1"/>
        <v>5.1697529077809907</v>
      </c>
      <c r="K31" s="261"/>
      <c r="L31" s="263">
        <f>((D31*DATA!$D$23)/1000000)+((E31*DATA!$D$24)/1000000)</f>
        <v>6.1024127999999989</v>
      </c>
      <c r="M31" s="263">
        <f t="shared" si="2"/>
        <v>6.1024127999999989</v>
      </c>
      <c r="N31" s="263">
        <f t="shared" ca="1" si="6"/>
        <v>0.93265989221900814</v>
      </c>
      <c r="O31" s="262">
        <f>1/(1+'[92]Asumsi I'!$C$3)^(KKF!A31)</f>
        <v>6.5882103338524081E-2</v>
      </c>
      <c r="P31" s="263">
        <f t="shared" ca="1" si="7"/>
        <v>6.1445595398869422E-2</v>
      </c>
      <c r="Q31" s="263">
        <f ca="1">Q30+P31</f>
        <v>-8.5953833552391838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4223.9999999999991</v>
      </c>
      <c r="D32" s="263">
        <f t="shared" si="5"/>
        <v>703.99999999999989</v>
      </c>
      <c r="E32" s="263">
        <f t="shared" si="0"/>
        <v>3519.9999999999991</v>
      </c>
      <c r="F32" s="261"/>
      <c r="G32" s="265">
        <f ca="1">DATA!$D$11/1000000</f>
        <v>0.48737346959500005</v>
      </c>
      <c r="H32" s="265">
        <f>C32*DATA!$D$5/1000000</f>
        <v>4.5793441938249302</v>
      </c>
      <c r="I32" s="265">
        <f>(C32*DATA!$D$5*DATA!$D$7)/1000000</f>
        <v>0.10303524436106092</v>
      </c>
      <c r="J32" s="263">
        <f t="shared" ca="1" si="1"/>
        <v>5.1697529077809907</v>
      </c>
      <c r="K32" s="261"/>
      <c r="L32" s="263">
        <f>((D32*DATA!$D$23)/1000000)+((E32*DATA!$D$24)/1000000)</f>
        <v>6.1024127999999989</v>
      </c>
      <c r="M32" s="263">
        <f t="shared" si="2"/>
        <v>6.1024127999999989</v>
      </c>
      <c r="N32" s="263">
        <f t="shared" ca="1" si="6"/>
        <v>0.93265989221900814</v>
      </c>
      <c r="O32" s="262">
        <f>1/(1+'[92]Asumsi I'!$C$3)^(KKF!A32)</f>
        <v>5.8823306552253637E-2</v>
      </c>
      <c r="P32" s="263">
        <f t="shared" ca="1" si="7"/>
        <v>5.4862138748990555E-2</v>
      </c>
      <c r="Q32" s="263">
        <f ca="1">Q31+P32</f>
        <v>-8.5405212164901929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3" t="s">
        <v>1373</v>
      </c>
      <c r="G33" s="603"/>
      <c r="H33" s="603"/>
      <c r="I33" s="271"/>
      <c r="J33" s="272">
        <f ca="1">SUM(J7:J32)</f>
        <v>155.66066278993179</v>
      </c>
      <c r="K33" s="603" t="s">
        <v>1374</v>
      </c>
      <c r="L33" s="603"/>
      <c r="M33" s="272">
        <f>SUM(M7:M32)</f>
        <v>163.12165759999993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28.324194399048704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1.0479311514954615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-7.6254653718662428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3.2165679362097466E-2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96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C63" sqref="C63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7" t="s">
        <v>1036</v>
      </c>
      <c r="P3" s="627"/>
      <c r="Q3" s="293"/>
      <c r="T3" s="291"/>
      <c r="U3" s="292" t="s">
        <v>1041</v>
      </c>
      <c r="V3" s="291"/>
    </row>
    <row r="4" spans="1:22" ht="15.75" customHeight="1">
      <c r="B4" s="628" t="s">
        <v>1023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0" t="s">
        <v>1626</v>
      </c>
      <c r="H6" s="611"/>
      <c r="I6" s="611"/>
      <c r="J6" s="611"/>
      <c r="K6" s="611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1627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0" t="s">
        <v>0</v>
      </c>
      <c r="C11" s="632" t="s">
        <v>1</v>
      </c>
      <c r="D11" s="621" t="s">
        <v>42</v>
      </c>
      <c r="E11" s="621" t="s">
        <v>43</v>
      </c>
      <c r="F11" s="621" t="s">
        <v>2</v>
      </c>
      <c r="G11" s="635" t="s">
        <v>41</v>
      </c>
      <c r="H11" s="621" t="s">
        <v>3</v>
      </c>
      <c r="I11" s="621"/>
      <c r="J11" s="621"/>
      <c r="K11" s="622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1"/>
      <c r="C12" s="633"/>
      <c r="D12" s="625"/>
      <c r="E12" s="625"/>
      <c r="F12" s="625"/>
      <c r="G12" s="636"/>
      <c r="H12" s="623" t="s">
        <v>46</v>
      </c>
      <c r="I12" s="623" t="s">
        <v>5</v>
      </c>
      <c r="J12" s="625" t="s">
        <v>47</v>
      </c>
      <c r="K12" s="62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1"/>
      <c r="C13" s="634"/>
      <c r="D13" s="625"/>
      <c r="E13" s="625"/>
      <c r="F13" s="625"/>
      <c r="G13" s="637"/>
      <c r="H13" s="624"/>
      <c r="I13" s="624"/>
      <c r="J13" s="625"/>
      <c r="K13" s="62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9" ca="1" si="0">IF(OR(D14="MDU",D14="MDU-KD"),(IF($O$3="RAB NON MDU","PLN KD",G14*F14)),0)</f>
        <v>0</v>
      </c>
      <c r="I14" s="308">
        <f t="shared" ref="I14:I19" ca="1" si="1">IF(D14="HDW",G14*F14,0)</f>
        <v>0</v>
      </c>
      <c r="J14" s="308">
        <f t="shared" ref="J14:J19" ca="1" si="2">IF(D14="JASA",G14*F14,0)</f>
        <v>0</v>
      </c>
      <c r="K14" s="309">
        <f t="shared" ref="K14:K1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1605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19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>
      <c r="A16" s="283"/>
      <c r="B16" s="450">
        <v>1</v>
      </c>
      <c r="C16" s="451" t="s">
        <v>101</v>
      </c>
      <c r="D16" s="305" t="s">
        <v>45</v>
      </c>
      <c r="E16" s="306" t="s">
        <v>100</v>
      </c>
      <c r="F16" s="420">
        <v>2</v>
      </c>
      <c r="G16" s="307">
        <f ca="1">IF(ISERROR(OFFSET('HARGA SATUAN'!$I$6,MATCH(RAB!C16,'HARGA SATUAN'!$C$7:$C$1495,0),0)),0,OFFSET('HARGA SATUAN'!$I$6,MATCH(RAB!C16,'HARGA SATUAN'!$C$7:$C$1495,0),0))</f>
        <v>3382600</v>
      </c>
      <c r="H16" s="308">
        <f t="shared" ref="H16" si="5">IF(OR(D16="MDU",D16="MDU-KD"),(IF($O$3="RAB NON MDU","PLN KD",G16*F16)),0)</f>
        <v>0</v>
      </c>
      <c r="I16" s="308">
        <f t="shared" ref="I16" ca="1" si="6">IF(D16="HDW",G16*F16,0)</f>
        <v>6765200</v>
      </c>
      <c r="J16" s="308">
        <f t="shared" ref="J16" si="7">IF(D16="JASA",G16*F16,0)</f>
        <v>0</v>
      </c>
      <c r="K16" s="309">
        <f t="shared" ref="K16" ca="1" si="8">SUM(H16:J16)</f>
        <v>6765200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3</v>
      </c>
      <c r="C17" s="418" t="s">
        <v>6</v>
      </c>
      <c r="D17" s="305" t="str">
        <f ca="1">IF(ISERROR(OFFSET('HARGA SATUAN'!$D$6,MATCH(RAB!C17,'HARGA SATUAN'!$C$7:$C$1495,0),0)),"",OFFSET('HARGA SATUAN'!$D$6,MATCH(RAB!C17,'HARGA SATUAN'!$C$7:$C$1495,0),0))</f>
        <v>JASA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f>SUM(F16:F16)</f>
        <v>2</v>
      </c>
      <c r="G17" s="307">
        <f ca="1">IF(ISERROR(OFFSET('HARGA SATUAN'!$I$6,MATCH(RAB!C17,'HARGA SATUAN'!$C$7:$C$1495,0),0)),0,OFFSET('HARGA SATUAN'!$I$6,MATCH(RAB!C17,'HARGA SATUAN'!$C$7:$C$1495,0),0))</f>
        <v>10066.666666666668</v>
      </c>
      <c r="H17" s="308">
        <f t="shared" ca="1" si="0"/>
        <v>0</v>
      </c>
      <c r="I17" s="308">
        <f t="shared" ca="1" si="1"/>
        <v>0</v>
      </c>
      <c r="J17" s="308">
        <f t="shared" ca="1" si="2"/>
        <v>20133.333333333336</v>
      </c>
      <c r="K17" s="309">
        <f t="shared" ca="1" si="3"/>
        <v>20133.333333333336</v>
      </c>
      <c r="L17" s="289"/>
      <c r="M17" s="289" t="e">
        <f>IF(AND(F17&gt;0,#REF!=0),"",IF(AND(ISBLANK(F17)=FALSE,K17=0),"WARNING",""))</f>
        <v>#REF!</v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 hidden="1">
      <c r="A18" s="283"/>
      <c r="B18" s="421"/>
      <c r="C18" s="418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t="shared" ca="1" si="4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303">
        <v>4</v>
      </c>
      <c r="C19" s="109" t="s">
        <v>461</v>
      </c>
      <c r="D19" s="305" t="str">
        <f ca="1">IF(ISERROR(OFFSET('HARGA SATUAN'!$D$6,MATCH(RAB!C19,'HARGA SATUAN'!$C$7:$C$1495,0),0)),"",OFFSET('HARGA SATUAN'!$D$6,MATCH(RAB!C19,'HARGA SATUAN'!$C$7:$C$1495,0),0))</f>
        <v>HDW</v>
      </c>
      <c r="E19" s="306" t="str">
        <f ca="1">IF(B19="+","Unit",IF(ISERROR(OFFSET('HARGA SATUAN'!$E$6,MATCH(RAB!C19,'HARGA SATUAN'!$C$7:$C$1495,0),0)),"",OFFSET('HARGA SATUAN'!$E$6,MATCH(RAB!C19,'HARGA SATUAN'!$C$7:$C$1495,0),0)))</f>
        <v>Set</v>
      </c>
      <c r="F19" s="420">
        <v>2</v>
      </c>
      <c r="G19" s="307">
        <f ca="1">IF(ISERROR(OFFSET('HARGA SATUAN'!$I$6,MATCH(RAB!C19,'HARGA SATUAN'!$C$7:$C$1495,0),0)),0,OFFSET('HARGA SATUAN'!$I$6,MATCH(RAB!C19,'HARGA SATUAN'!$C$7:$C$1495,0),0))</f>
        <v>200000</v>
      </c>
      <c r="H19" s="308">
        <f t="shared" ca="1" si="0"/>
        <v>0</v>
      </c>
      <c r="I19" s="308">
        <f t="shared" ca="1" si="1"/>
        <v>400000</v>
      </c>
      <c r="J19" s="308">
        <f t="shared" ca="1" si="2"/>
        <v>0</v>
      </c>
      <c r="K19" s="309">
        <f t="shared" ca="1" si="3"/>
        <v>400000</v>
      </c>
      <c r="L19" s="289"/>
      <c r="M19" s="289" t="str">
        <f t="shared" si="4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303"/>
      <c r="C20" s="109"/>
      <c r="D20" s="305"/>
      <c r="E20" s="306"/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ref="H20:H22" si="9">IF(OR(D20="MDU",D20="MDU-KD"),(IF($O$3="RAB NON MDU","PLN KD",G20*F20)),0)</f>
        <v>0</v>
      </c>
      <c r="I20" s="308">
        <f t="shared" ref="I20:I22" si="10">IF(D20="HDW",G20*F20,0)</f>
        <v>0</v>
      </c>
      <c r="J20" s="308">
        <f t="shared" ref="J20:J22" si="11">IF(D20="JASA",G20*F20,0)</f>
        <v>0</v>
      </c>
      <c r="K20" s="309">
        <f t="shared" ref="K20:K22" si="12">SUM(H20:J20)</f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9" t="s">
        <v>1601</v>
      </c>
      <c r="C21" s="422" t="s">
        <v>1607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20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9"/>
        <v>0</v>
      </c>
      <c r="I21" s="308">
        <f t="shared" ca="1" si="10"/>
        <v>0</v>
      </c>
      <c r="J21" s="308">
        <f t="shared" ca="1" si="11"/>
        <v>0</v>
      </c>
      <c r="K21" s="309">
        <f t="shared" ca="1" si="12"/>
        <v>0</v>
      </c>
      <c r="L21" s="289"/>
      <c r="M21" s="289" t="str">
        <f ca="1">IF(AND(F21&gt;0,F19=0),"",IF(AND(ISBLANK(F21)=FALSE,K21=0),"WARNING",""))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2" t="s">
        <v>1035</v>
      </c>
      <c r="C22" s="453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>Unit</v>
      </c>
      <c r="F22" s="456">
        <v>6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e">
        <f>IF(AND(F22&gt;0,#REF!=0),"",IF(AND(ISBLANK(F22)=FALSE,K22=0),"WARNING",""))</f>
        <v>#REF!</v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52">
        <v>1</v>
      </c>
      <c r="C23" s="453" t="s">
        <v>595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6">
        <f>F22*1</f>
        <v>6</v>
      </c>
      <c r="G23" s="307">
        <f ca="1">IF(ISERROR(OFFSET('HARGA SATUAN'!$I$6,MATCH(RAB!C23,'HARGA SATUAN'!$C$7:$C$1495,0),0)),0,OFFSET('HARGA SATUAN'!$I$6,MATCH(RAB!C23,'HARGA SATUAN'!$C$7:$C$1495,0),0))</f>
        <v>78500</v>
      </c>
      <c r="H23" s="308">
        <f t="shared" ref="H23" ca="1" si="13">IF(OR(D23="MDU",D23="MDU-KD"),(IF($O$3="RAB NON MDU","PLN KD",G23*F23)),0)</f>
        <v>0</v>
      </c>
      <c r="I23" s="308">
        <f t="shared" ref="I23" ca="1" si="14">IF(D23="HDW",G23*F23,0)</f>
        <v>471000</v>
      </c>
      <c r="J23" s="308">
        <f t="shared" ref="J23" ca="1" si="15">IF(D23="JASA",G23*F23,0)</f>
        <v>0</v>
      </c>
      <c r="K23" s="309">
        <f t="shared" ref="K23" ca="1" si="16">SUM(H23:J23)</f>
        <v>471000</v>
      </c>
      <c r="L23" s="316"/>
      <c r="M23" s="289" t="str">
        <f t="shared" ref="M23:M33" ca="1" si="17">IF(AND(F23&gt;0,F22=0),"",IF(AND(ISBLANK(F23)=FALSE,K23=0),"WARNING",""))</f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52">
        <v>2</v>
      </c>
      <c r="C24" s="453" t="s">
        <v>229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56">
        <f>F22*1</f>
        <v>6</v>
      </c>
      <c r="G24" s="307">
        <f ca="1">IF(ISERROR(OFFSET('HARGA SATUAN'!$I$6,MATCH(RAB!C24,'HARGA SATUAN'!$C$7:$C$1495,0),0)),0,OFFSET('HARGA SATUAN'!$I$6,MATCH(RAB!C24,'HARGA SATUAN'!$C$7:$C$1495,0),0))</f>
        <v>4212</v>
      </c>
      <c r="H24" s="308">
        <f t="shared" ref="H24:H26" ca="1" si="18">IF(OR(D24="MDU",D24="MDU-KD"),(IF($O$3="RAB NON MDU","PLN KD",G24*F24)),0)</f>
        <v>0</v>
      </c>
      <c r="I24" s="308">
        <f t="shared" ref="I24:I26" ca="1" si="19">IF(D24="HDW",G24*F24,0)</f>
        <v>25272</v>
      </c>
      <c r="J24" s="308">
        <f t="shared" ref="J24:J26" ca="1" si="20">IF(D24="JASA",G24*F24,0)</f>
        <v>0</v>
      </c>
      <c r="K24" s="309">
        <f t="shared" ref="K24:K26" ca="1" si="21">SUM(H24:J24)</f>
        <v>25272</v>
      </c>
      <c r="L24" s="316"/>
      <c r="M24" s="289" t="str">
        <f t="shared" ca="1" si="17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52">
        <v>3</v>
      </c>
      <c r="C25" s="453" t="s">
        <v>266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56">
        <f>F22*1</f>
        <v>6</v>
      </c>
      <c r="G25" s="307">
        <f ca="1">IF(ISERROR(OFFSET('HARGA SATUAN'!$I$6,MATCH(RAB!C25,'HARGA SATUAN'!$C$7:$C$1495,0),0)),0,OFFSET('HARGA SATUAN'!$I$6,MATCH(RAB!C25,'HARGA SATUAN'!$C$7:$C$1495,0),0))</f>
        <v>23310</v>
      </c>
      <c r="H25" s="308">
        <f t="shared" ca="1" si="18"/>
        <v>0</v>
      </c>
      <c r="I25" s="308">
        <f t="shared" ca="1" si="19"/>
        <v>139860</v>
      </c>
      <c r="J25" s="308">
        <f t="shared" ca="1" si="20"/>
        <v>0</v>
      </c>
      <c r="K25" s="309">
        <f t="shared" ca="1" si="21"/>
        <v>139860</v>
      </c>
      <c r="L25" s="316"/>
      <c r="M25" s="289" t="str">
        <f t="shared" ca="1" si="17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52">
        <v>4</v>
      </c>
      <c r="C26" s="453" t="s">
        <v>35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8">
        <f>F22*1</f>
        <v>6</v>
      </c>
      <c r="G26" s="307">
        <f ca="1">IF(ISERROR(OFFSET('HARGA SATUAN'!$I$6,MATCH(RAB!C26,'HARGA SATUAN'!$C$7:$C$1495,0),0)),0,OFFSET('HARGA SATUAN'!$I$6,MATCH(RAB!C26,'HARGA SATUAN'!$C$7:$C$1495,0),0))</f>
        <v>2300</v>
      </c>
      <c r="H26" s="308">
        <f t="shared" ca="1" si="18"/>
        <v>0</v>
      </c>
      <c r="I26" s="308">
        <f t="shared" ca="1" si="19"/>
        <v>13800</v>
      </c>
      <c r="J26" s="308">
        <f t="shared" ca="1" si="20"/>
        <v>0</v>
      </c>
      <c r="K26" s="309">
        <f t="shared" ca="1" si="21"/>
        <v>13800</v>
      </c>
      <c r="L26" s="316"/>
      <c r="M26" s="289" t="str">
        <f t="shared" ca="1" si="17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52">
        <v>5</v>
      </c>
      <c r="C27" s="453" t="s">
        <v>630</v>
      </c>
      <c r="D27" s="305" t="str">
        <f ca="1">IF(ISERROR(OFFSET('HARGA SATUAN'!$D$6,MATCH(RAB!C27,'HARGA SATUAN'!$C$7:$C$1495,0),0)),"",OFFSET('HARGA SATUAN'!$D$6,MATCH(RAB!C27,'HARGA SATUAN'!$C$7:$C$1495,0),0))</f>
        <v>JASA</v>
      </c>
      <c r="E27" s="306" t="str">
        <f ca="1">IF(B27="+","Unit",IF(ISERROR(OFFSET('HARGA SATUAN'!$E$6,MATCH(RAB!C27,'HARGA SATUAN'!$C$7:$C$1495,0),0)),"",OFFSET('HARGA SATUAN'!$E$6,MATCH(RAB!C27,'HARGA SATUAN'!$C$7:$C$1495,0),0)))</f>
        <v>Unit</v>
      </c>
      <c r="F27" s="458">
        <f>F22*1</f>
        <v>6</v>
      </c>
      <c r="G27" s="307">
        <f ca="1">IF(ISERROR(OFFSET('HARGA SATUAN'!$I$6,MATCH(RAB!C27,'HARGA SATUAN'!$C$7:$C$1495,0),0)),0,OFFSET('HARGA SATUAN'!$I$6,MATCH(RAB!C27,'HARGA SATUAN'!$C$7:$C$1495,0),0))</f>
        <v>35700</v>
      </c>
      <c r="H27" s="308">
        <f t="shared" ref="H27" ca="1" si="22">IF(OR(D27="MDU",D27="MDU-KD"),(IF($O$3="RAB NON MDU","PLN KD",G27*F27)),0)</f>
        <v>0</v>
      </c>
      <c r="I27" s="308">
        <f t="shared" ref="I27" ca="1" si="23">IF(D27="HDW",G27*F27,0)</f>
        <v>0</v>
      </c>
      <c r="J27" s="308">
        <f t="shared" ref="J27" ca="1" si="24">IF(D27="JASA",G27*F27,0)</f>
        <v>214200</v>
      </c>
      <c r="K27" s="309">
        <f t="shared" ref="K27" ca="1" si="25">SUM(H27:J27)</f>
        <v>214200</v>
      </c>
      <c r="L27" s="316"/>
      <c r="M27" s="289" t="str">
        <f t="shared" ca="1" si="17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52"/>
      <c r="C28" s="453"/>
      <c r="D28" s="305" t="str">
        <f ca="1">IF(ISERROR(OFFSET('HARGA SATUAN'!$D$6,MATCH(RAB!C28,'HARGA SATUAN'!$C$7:$C$1495,0),0)),"",OFFSET('HARGA SATUAN'!$D$6,MATCH(RAB!C28,'HARGA SATUAN'!$C$7:$C$1495,0),0))</f>
        <v/>
      </c>
      <c r="E28" s="306" t="str">
        <f ca="1">IF(B28="+","Unit",IF(ISERROR(OFFSET('HARGA SATUAN'!$E$6,MATCH(RAB!C28,'HARGA SATUAN'!$C$7:$C$1495,0),0)),"",OFFSET('HARGA SATUAN'!$E$6,MATCH(RAB!C28,'HARGA SATUAN'!$C$7:$C$1495,0),0)))</f>
        <v/>
      </c>
      <c r="F28" s="458"/>
      <c r="G28" s="307">
        <f ca="1">IF(ISERROR(OFFSET('HARGA SATUAN'!$I$6,MATCH(RAB!C28,'HARGA SATUAN'!$C$7:$C$1495,0),0)),0,OFFSET('HARGA SATUAN'!$I$6,MATCH(RAB!C28,'HARGA SATUAN'!$C$7:$C$1495,0),0))</f>
        <v>0</v>
      </c>
      <c r="H28" s="308">
        <f t="shared" ref="H28:H57" ca="1" si="26">IF(OR(D28="MDU",D28="MDU-KD"),(IF($O$3="RAB NON MDU","PLN KD",G28*F28)),0)</f>
        <v>0</v>
      </c>
      <c r="I28" s="308">
        <f t="shared" ref="I28:I57" ca="1" si="27">IF(D28="HDW",G28*F28,0)</f>
        <v>0</v>
      </c>
      <c r="J28" s="308">
        <f t="shared" ref="J28:J57" ca="1" si="28">IF(D28="JASA",G28*F28,0)</f>
        <v>0</v>
      </c>
      <c r="K28" s="309">
        <f t="shared" ref="K28:K57" ca="1" si="29">SUM(H28:J28)</f>
        <v>0</v>
      </c>
      <c r="L28" s="316"/>
      <c r="M28" s="289" t="str">
        <f t="shared" ca="1" si="17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52" t="s">
        <v>1035</v>
      </c>
      <c r="C29" s="453" t="s">
        <v>1615</v>
      </c>
      <c r="D29" s="305" t="str">
        <f ca="1">IF(ISERROR(OFFSET('HARGA SATUAN'!$D$6,MATCH(RAB!C29,'HARGA SATUAN'!$C$7:$C$1495,0),0)),"",OFFSET('HARGA SATUAN'!$D$6,MATCH(RAB!C29,'HARGA SATUAN'!$C$7:$C$1495,0),0))</f>
        <v/>
      </c>
      <c r="E29" s="306" t="str">
        <f ca="1">IF(B29="+","Unit",IF(ISERROR(OFFSET('HARGA SATUAN'!$E$6,MATCH(RAB!C29,'HARGA SATUAN'!$C$7:$C$1495,0),0)),"",OFFSET('HARGA SATUAN'!$E$6,MATCH(RAB!C29,'HARGA SATUAN'!$C$7:$C$1495,0),0)))</f>
        <v>Unit</v>
      </c>
      <c r="F29" s="456">
        <v>2</v>
      </c>
      <c r="G29" s="307">
        <f ca="1">IF(ISERROR(OFFSET('HARGA SATUAN'!$I$6,MATCH(RAB!C29,'HARGA SATUAN'!$C$7:$C$1495,0),0)),0,OFFSET('HARGA SATUAN'!$I$6,MATCH(RAB!C29,'HARGA SATUAN'!$C$7:$C$1495,0),0))</f>
        <v>0</v>
      </c>
      <c r="H29" s="308">
        <f t="shared" ref="H29:H33" ca="1" si="30">IF(OR(D29="MDU",D29="MDU-KD"),(IF($O$3="RAB NON MDU","PLN KD",G29*F29)),0)</f>
        <v>0</v>
      </c>
      <c r="I29" s="308">
        <f t="shared" ref="I29:I33" ca="1" si="31">IF(D29="HDW",G29*F29,0)</f>
        <v>0</v>
      </c>
      <c r="J29" s="308">
        <f t="shared" ref="J29:J33" ca="1" si="32">IF(D29="JASA",G29*F29,0)</f>
        <v>0</v>
      </c>
      <c r="K29" s="309">
        <f t="shared" ref="K29:K33" ca="1" si="33">SUM(H29:J29)</f>
        <v>0</v>
      </c>
      <c r="L29" s="316"/>
      <c r="M29" s="289" t="e">
        <f>IF(AND(F29&gt;0,#REF!=0),"",IF(AND(ISBLANK(F29)=FALSE,K29=0),"WARNING",""))</f>
        <v>#REF!</v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52">
        <v>1</v>
      </c>
      <c r="C30" s="453" t="s">
        <v>30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6">
        <f>F29*1</f>
        <v>2</v>
      </c>
      <c r="G30" s="307">
        <f ca="1">IF(ISERROR(OFFSET('HARGA SATUAN'!$I$6,MATCH(RAB!C30,'HARGA SATUAN'!$C$7:$C$1495,0),0)),0,OFFSET('HARGA SATUAN'!$I$6,MATCH(RAB!C30,'HARGA SATUAN'!$C$7:$C$1495,0),0))</f>
        <v>47459</v>
      </c>
      <c r="H30" s="308">
        <f t="shared" ca="1" si="30"/>
        <v>0</v>
      </c>
      <c r="I30" s="308">
        <f t="shared" ca="1" si="31"/>
        <v>94918</v>
      </c>
      <c r="J30" s="308">
        <f t="shared" ca="1" si="32"/>
        <v>0</v>
      </c>
      <c r="K30" s="309">
        <f t="shared" ca="1" si="33"/>
        <v>94918</v>
      </c>
      <c r="L30" s="316"/>
      <c r="M30" s="289" t="str">
        <f t="shared" ca="1" si="17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52">
        <v>2</v>
      </c>
      <c r="C31" s="453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56">
        <f>F29*0.8</f>
        <v>1.6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30"/>
        <v>0</v>
      </c>
      <c r="I31" s="308">
        <f t="shared" ca="1" si="31"/>
        <v>48000</v>
      </c>
      <c r="J31" s="308">
        <f t="shared" ca="1" si="32"/>
        <v>0</v>
      </c>
      <c r="K31" s="309">
        <f t="shared" ca="1" si="33"/>
        <v>48000</v>
      </c>
      <c r="L31" s="316"/>
      <c r="M31" s="289" t="str">
        <f t="shared" ca="1" si="17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52">
        <v>3</v>
      </c>
      <c r="C32" s="453" t="s">
        <v>33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6">
        <f>F29*1</f>
        <v>2</v>
      </c>
      <c r="G32" s="307">
        <f ca="1">IF(ISERROR(OFFSET('HARGA SATUAN'!$I$6,MATCH(RAB!C32,'HARGA SATUAN'!$C$7:$C$1495,0),0)),0,OFFSET('HARGA SATUAN'!$I$6,MATCH(RAB!C32,'HARGA SATUAN'!$C$7:$C$1495,0),0))</f>
        <v>9500</v>
      </c>
      <c r="H32" s="308">
        <f t="shared" ca="1" si="30"/>
        <v>0</v>
      </c>
      <c r="I32" s="308">
        <f t="shared" ca="1" si="31"/>
        <v>19000</v>
      </c>
      <c r="J32" s="308">
        <f t="shared" ca="1" si="32"/>
        <v>0</v>
      </c>
      <c r="K32" s="309">
        <f t="shared" ca="1" si="33"/>
        <v>19000</v>
      </c>
      <c r="L32" s="316"/>
      <c r="M32" s="289" t="str">
        <f t="shared" ca="1" si="17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52">
        <v>4</v>
      </c>
      <c r="C33" s="453" t="s">
        <v>737</v>
      </c>
      <c r="D33" s="305" t="str">
        <f ca="1">IF(ISERROR(OFFSET('HARGA SATUAN'!$D$6,MATCH(RAB!C33,'HARGA SATUAN'!$C$7:$C$1495,0),0)),"",OFFSET('HARGA SATUAN'!$D$6,MATCH(RAB!C33,'HARGA SATUAN'!$C$7:$C$1495,0),0))</f>
        <v>JASA</v>
      </c>
      <c r="E33" s="306" t="str">
        <f ca="1">IF(B33="+","Unit",IF(ISERROR(OFFSET('HARGA SATUAN'!$E$6,MATCH(RAB!C33,'HARGA SATUAN'!$C$7:$C$1495,0),0)),"",OFFSET('HARGA SATUAN'!$E$6,MATCH(RAB!C33,'HARGA SATUAN'!$C$7:$C$1495,0),0)))</f>
        <v>Unit</v>
      </c>
      <c r="F33" s="456">
        <f>F29*1</f>
        <v>2</v>
      </c>
      <c r="G33" s="307">
        <f ca="1">IF(ISERROR(OFFSET('HARGA SATUAN'!$I$6,MATCH(RAB!C33,'HARGA SATUAN'!$C$7:$C$1495,0),0)),0,OFFSET('HARGA SATUAN'!$I$6,MATCH(RAB!C33,'HARGA SATUAN'!$C$7:$C$1495,0),0))</f>
        <v>16200</v>
      </c>
      <c r="H33" s="308">
        <f t="shared" ca="1" si="30"/>
        <v>0</v>
      </c>
      <c r="I33" s="308">
        <f t="shared" ca="1" si="31"/>
        <v>0</v>
      </c>
      <c r="J33" s="308">
        <f t="shared" ca="1" si="32"/>
        <v>32400</v>
      </c>
      <c r="K33" s="309">
        <f t="shared" ca="1" si="33"/>
        <v>32400</v>
      </c>
      <c r="L33" s="316"/>
      <c r="M33" s="289" t="str">
        <f t="shared" ca="1" si="17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52"/>
      <c r="C34" s="453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58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ref="H34:H55" ca="1" si="34">IF(OR(D34="MDU",D34="MDU-KD"),(IF($O$3="RAB NON MDU","PLN KD",G34*F34)),0)</f>
        <v>0</v>
      </c>
      <c r="I34" s="308">
        <f t="shared" ref="I34:I55" ca="1" si="35">IF(D34="HDW",G34*F34,0)</f>
        <v>0</v>
      </c>
      <c r="J34" s="308">
        <f t="shared" ref="J34:J55" ca="1" si="36">IF(D34="JASA",G34*F34,0)</f>
        <v>0</v>
      </c>
      <c r="K34" s="309">
        <f t="shared" ref="K34:K55" ca="1" si="37">SUM(H34:J34)</f>
        <v>0</v>
      </c>
      <c r="L34" s="316"/>
      <c r="M34" s="289" t="e">
        <f>IF(AND(F34&gt;0,#REF!=0),"",IF(AND(ISBLANK(F34)=FALSE,K34=0),"WARNING",""))</f>
        <v>#REF!</v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idden="1">
      <c r="A35" s="283"/>
      <c r="B35" s="452"/>
      <c r="C35" s="453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58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34"/>
        <v>0</v>
      </c>
      <c r="I35" s="308">
        <f t="shared" ca="1" si="35"/>
        <v>0</v>
      </c>
      <c r="J35" s="308">
        <f t="shared" ca="1" si="36"/>
        <v>0</v>
      </c>
      <c r="K35" s="309">
        <f t="shared" ca="1" si="37"/>
        <v>0</v>
      </c>
      <c r="L35" s="316"/>
      <c r="M35" s="289" t="str">
        <f t="shared" ref="M35:M65" ca="1" si="38">IF(AND(F35&gt;0,F34=0),"",IF(AND(ISBLANK(F35)=FALSE,K35=0),"WARNING",""))</f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idden="1">
      <c r="A36" s="283"/>
      <c r="B36" s="452"/>
      <c r="C36" s="453"/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58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34"/>
        <v>0</v>
      </c>
      <c r="I36" s="308">
        <f t="shared" ca="1" si="35"/>
        <v>0</v>
      </c>
      <c r="J36" s="308">
        <f t="shared" ca="1" si="36"/>
        <v>0</v>
      </c>
      <c r="K36" s="309">
        <f t="shared" ca="1" si="37"/>
        <v>0</v>
      </c>
      <c r="L36" s="316"/>
      <c r="M36" s="289" t="str">
        <f t="shared" ca="1" si="38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idden="1">
      <c r="A37" s="283"/>
      <c r="B37" s="452"/>
      <c r="C37" s="453"/>
      <c r="D37" s="305" t="str">
        <f ca="1">IF(ISERROR(OFFSET('HARGA SATUAN'!$D$6,MATCH(RAB!C37,'HARGA SATUAN'!$C$7:$C$1495,0),0)),"",OFFSET('HARGA SATUAN'!$D$6,MATCH(RAB!C37,'HARGA SATUAN'!$C$7:$C$1495,0),0))</f>
        <v/>
      </c>
      <c r="E37" s="306" t="str">
        <f ca="1">IF(B37="+","Unit",IF(ISERROR(OFFSET('HARGA SATUAN'!$E$6,MATCH(RAB!C37,'HARGA SATUAN'!$C$7:$C$1495,0),0)),"",OFFSET('HARGA SATUAN'!$E$6,MATCH(RAB!C37,'HARGA SATUAN'!$C$7:$C$1495,0),0)))</f>
        <v/>
      </c>
      <c r="F37" s="458"/>
      <c r="G37" s="307">
        <f ca="1">IF(ISERROR(OFFSET('HARGA SATUAN'!$I$6,MATCH(RAB!C37,'HARGA SATUAN'!$C$7:$C$1495,0),0)),0,OFFSET('HARGA SATUAN'!$I$6,MATCH(RAB!C37,'HARGA SATUAN'!$C$7:$C$1495,0),0))</f>
        <v>0</v>
      </c>
      <c r="H37" s="308">
        <f t="shared" ca="1" si="34"/>
        <v>0</v>
      </c>
      <c r="I37" s="308">
        <f t="shared" ca="1" si="35"/>
        <v>0</v>
      </c>
      <c r="J37" s="308">
        <f t="shared" ca="1" si="36"/>
        <v>0</v>
      </c>
      <c r="K37" s="309">
        <f t="shared" ca="1" si="37"/>
        <v>0</v>
      </c>
      <c r="L37" s="316"/>
      <c r="M37" s="289" t="str">
        <f t="shared" ca="1" si="38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idden="1">
      <c r="A38" s="283"/>
      <c r="B38" s="452"/>
      <c r="C38" s="453"/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58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34"/>
        <v>0</v>
      </c>
      <c r="I38" s="308">
        <f t="shared" ca="1" si="35"/>
        <v>0</v>
      </c>
      <c r="J38" s="308">
        <f t="shared" ca="1" si="36"/>
        <v>0</v>
      </c>
      <c r="K38" s="309">
        <f t="shared" ca="1" si="37"/>
        <v>0</v>
      </c>
      <c r="L38" s="316"/>
      <c r="M38" s="289" t="str">
        <f t="shared" ca="1" si="38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idden="1">
      <c r="A39" s="283"/>
      <c r="B39" s="452"/>
      <c r="C39" s="453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8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34"/>
        <v>0</v>
      </c>
      <c r="I39" s="308">
        <f t="shared" ca="1" si="35"/>
        <v>0</v>
      </c>
      <c r="J39" s="308">
        <f t="shared" ca="1" si="36"/>
        <v>0</v>
      </c>
      <c r="K39" s="309">
        <f t="shared" ca="1" si="37"/>
        <v>0</v>
      </c>
      <c r="L39" s="316"/>
      <c r="M39" s="289" t="str">
        <f t="shared" ca="1" si="38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52"/>
      <c r="C40" s="453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8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34"/>
        <v>0</v>
      </c>
      <c r="I40" s="308">
        <f t="shared" ca="1" si="35"/>
        <v>0</v>
      </c>
      <c r="J40" s="308">
        <f t="shared" ca="1" si="36"/>
        <v>0</v>
      </c>
      <c r="K40" s="309">
        <f t="shared" ca="1" si="37"/>
        <v>0</v>
      </c>
      <c r="L40" s="316"/>
      <c r="M40" s="289" t="str">
        <f t="shared" ca="1" si="38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52"/>
      <c r="C41" s="453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8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34"/>
        <v>0</v>
      </c>
      <c r="I41" s="308">
        <f t="shared" ca="1" si="35"/>
        <v>0</v>
      </c>
      <c r="J41" s="308">
        <f t="shared" ca="1" si="36"/>
        <v>0</v>
      </c>
      <c r="K41" s="309">
        <f t="shared" ca="1" si="37"/>
        <v>0</v>
      </c>
      <c r="L41" s="316"/>
      <c r="M41" s="289" t="str">
        <f t="shared" ca="1" si="38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52"/>
      <c r="C42" s="453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8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34"/>
        <v>0</v>
      </c>
      <c r="I42" s="308">
        <f t="shared" ca="1" si="35"/>
        <v>0</v>
      </c>
      <c r="J42" s="308">
        <f t="shared" ca="1" si="36"/>
        <v>0</v>
      </c>
      <c r="K42" s="309">
        <f t="shared" ca="1" si="37"/>
        <v>0</v>
      </c>
      <c r="L42" s="316"/>
      <c r="M42" s="289" t="str">
        <f t="shared" ca="1" si="38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52"/>
      <c r="C43" s="453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58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34"/>
        <v>0</v>
      </c>
      <c r="I43" s="308">
        <f t="shared" ca="1" si="35"/>
        <v>0</v>
      </c>
      <c r="J43" s="308">
        <f t="shared" ca="1" si="36"/>
        <v>0</v>
      </c>
      <c r="K43" s="309">
        <f t="shared" ca="1" si="37"/>
        <v>0</v>
      </c>
      <c r="L43" s="316"/>
      <c r="M43" s="289" t="str">
        <f t="shared" ca="1" si="38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52"/>
      <c r="C44" s="453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34"/>
        <v>0</v>
      </c>
      <c r="I44" s="308">
        <f t="shared" ca="1" si="35"/>
        <v>0</v>
      </c>
      <c r="J44" s="308">
        <f t="shared" ca="1" si="36"/>
        <v>0</v>
      </c>
      <c r="K44" s="309">
        <f t="shared" ca="1" si="37"/>
        <v>0</v>
      </c>
      <c r="L44" s="316"/>
      <c r="M44" s="289" t="str">
        <f t="shared" ca="1" si="38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2"/>
      <c r="C45" s="453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34"/>
        <v>0</v>
      </c>
      <c r="I45" s="308">
        <f t="shared" ca="1" si="35"/>
        <v>0</v>
      </c>
      <c r="J45" s="308">
        <f t="shared" ca="1" si="36"/>
        <v>0</v>
      </c>
      <c r="K45" s="309">
        <f t="shared" ca="1" si="37"/>
        <v>0</v>
      </c>
      <c r="L45" s="316"/>
      <c r="M45" s="289" t="str">
        <f t="shared" ca="1" si="38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2"/>
      <c r="C46" s="453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34"/>
        <v>0</v>
      </c>
      <c r="I46" s="308">
        <f t="shared" ca="1" si="35"/>
        <v>0</v>
      </c>
      <c r="J46" s="308">
        <f t="shared" ca="1" si="36"/>
        <v>0</v>
      </c>
      <c r="K46" s="309">
        <f t="shared" ca="1" si="37"/>
        <v>0</v>
      </c>
      <c r="L46" s="316"/>
      <c r="M46" s="289" t="str">
        <f t="shared" ca="1" si="38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2"/>
      <c r="C47" s="453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34"/>
        <v>0</v>
      </c>
      <c r="I47" s="308">
        <f t="shared" ca="1" si="35"/>
        <v>0</v>
      </c>
      <c r="J47" s="308">
        <f t="shared" ca="1" si="36"/>
        <v>0</v>
      </c>
      <c r="K47" s="309">
        <f t="shared" ca="1" si="37"/>
        <v>0</v>
      </c>
      <c r="L47" s="316"/>
      <c r="M47" s="289" t="str">
        <f t="shared" ca="1" si="38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2"/>
      <c r="C48" s="453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34"/>
        <v>0</v>
      </c>
      <c r="I48" s="308">
        <f t="shared" ca="1" si="35"/>
        <v>0</v>
      </c>
      <c r="J48" s="308">
        <f t="shared" ca="1" si="36"/>
        <v>0</v>
      </c>
      <c r="K48" s="309">
        <f t="shared" ca="1" si="37"/>
        <v>0</v>
      </c>
      <c r="L48" s="316"/>
      <c r="M48" s="289" t="str">
        <f t="shared" ca="1" si="38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2"/>
      <c r="C49" s="453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34"/>
        <v>0</v>
      </c>
      <c r="I49" s="308">
        <f t="shared" ca="1" si="35"/>
        <v>0</v>
      </c>
      <c r="J49" s="308">
        <f t="shared" ca="1" si="36"/>
        <v>0</v>
      </c>
      <c r="K49" s="309">
        <f t="shared" ca="1" si="37"/>
        <v>0</v>
      </c>
      <c r="L49" s="316"/>
      <c r="M49" s="289" t="str">
        <f t="shared" ca="1" si="38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2"/>
      <c r="C50" s="453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34"/>
        <v>0</v>
      </c>
      <c r="I50" s="308">
        <f t="shared" ca="1" si="35"/>
        <v>0</v>
      </c>
      <c r="J50" s="308">
        <f t="shared" ca="1" si="36"/>
        <v>0</v>
      </c>
      <c r="K50" s="309">
        <f t="shared" ca="1" si="37"/>
        <v>0</v>
      </c>
      <c r="L50" s="316"/>
      <c r="M50" s="289" t="str">
        <f t="shared" ca="1" si="38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2"/>
      <c r="C51" s="453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34"/>
        <v>0</v>
      </c>
      <c r="I51" s="308">
        <f t="shared" ca="1" si="35"/>
        <v>0</v>
      </c>
      <c r="J51" s="308">
        <f t="shared" ca="1" si="36"/>
        <v>0</v>
      </c>
      <c r="K51" s="309">
        <f t="shared" ca="1" si="37"/>
        <v>0</v>
      </c>
      <c r="L51" s="316"/>
      <c r="M51" s="289" t="str">
        <f t="shared" ca="1" si="38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2"/>
      <c r="C52" s="453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34"/>
        <v>0</v>
      </c>
      <c r="I52" s="308">
        <f t="shared" ca="1" si="35"/>
        <v>0</v>
      </c>
      <c r="J52" s="308">
        <f t="shared" ca="1" si="36"/>
        <v>0</v>
      </c>
      <c r="K52" s="309">
        <f t="shared" ca="1" si="37"/>
        <v>0</v>
      </c>
      <c r="L52" s="316"/>
      <c r="M52" s="289" t="str">
        <f t="shared" ca="1" si="38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2"/>
      <c r="C53" s="453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34"/>
        <v>0</v>
      </c>
      <c r="I53" s="308">
        <f t="shared" ca="1" si="35"/>
        <v>0</v>
      </c>
      <c r="J53" s="308">
        <f t="shared" ca="1" si="36"/>
        <v>0</v>
      </c>
      <c r="K53" s="309">
        <f t="shared" ca="1" si="37"/>
        <v>0</v>
      </c>
      <c r="L53" s="316"/>
      <c r="M53" s="289" t="str">
        <f t="shared" ca="1" si="38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2"/>
      <c r="C54" s="453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34"/>
        <v>0</v>
      </c>
      <c r="I54" s="308">
        <f t="shared" ca="1" si="35"/>
        <v>0</v>
      </c>
      <c r="J54" s="308">
        <f t="shared" ca="1" si="36"/>
        <v>0</v>
      </c>
      <c r="K54" s="309">
        <f t="shared" ca="1" si="37"/>
        <v>0</v>
      </c>
      <c r="L54" s="316"/>
      <c r="M54" s="289" t="str">
        <f t="shared" ca="1" si="38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2"/>
      <c r="C55" s="453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34"/>
        <v>0</v>
      </c>
      <c r="I55" s="308">
        <f t="shared" ca="1" si="35"/>
        <v>0</v>
      </c>
      <c r="J55" s="308">
        <f t="shared" ca="1" si="36"/>
        <v>0</v>
      </c>
      <c r="K55" s="309">
        <f t="shared" ca="1" si="37"/>
        <v>0</v>
      </c>
      <c r="L55" s="316"/>
      <c r="M55" s="289" t="str">
        <f t="shared" ca="1" si="38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419" t="s">
        <v>1602</v>
      </c>
      <c r="C56" s="422" t="s">
        <v>1606</v>
      </c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9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26"/>
        <v>0</v>
      </c>
      <c r="I56" s="308">
        <f t="shared" ca="1" si="27"/>
        <v>0</v>
      </c>
      <c r="J56" s="308">
        <f t="shared" ca="1" si="28"/>
        <v>0</v>
      </c>
      <c r="K56" s="309">
        <f t="shared" ca="1" si="29"/>
        <v>0</v>
      </c>
      <c r="L56" s="316"/>
      <c r="M56" s="289" t="str">
        <f t="shared" ca="1" si="38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>
        <v>1</v>
      </c>
      <c r="C57" s="109" t="s">
        <v>1457</v>
      </c>
      <c r="D57" s="226" t="s">
        <v>44</v>
      </c>
      <c r="E57" s="227" t="s">
        <v>7</v>
      </c>
      <c r="F57" s="457">
        <v>118</v>
      </c>
      <c r="G57" s="307">
        <f ca="1">IF(ISERROR(OFFSET('HARGA SATUAN'!$I$6,MATCH(RAB!C57,'HARGA SATUAN'!$C$7:$C$1495,0),0)),0,OFFSET('HARGA SATUAN'!$I$6,MATCH(RAB!C57,'HARGA SATUAN'!$C$7:$C$1495,0),0))</f>
        <v>54500</v>
      </c>
      <c r="H57" s="308">
        <f t="shared" ca="1" si="26"/>
        <v>6431000</v>
      </c>
      <c r="I57" s="308">
        <f t="shared" si="27"/>
        <v>0</v>
      </c>
      <c r="J57" s="308">
        <f t="shared" si="28"/>
        <v>0</v>
      </c>
      <c r="K57" s="309">
        <f t="shared" ca="1" si="29"/>
        <v>6431000</v>
      </c>
      <c r="L57" s="316"/>
      <c r="M57" s="289" t="str">
        <f t="shared" si="38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>
        <v>2</v>
      </c>
      <c r="C58" s="109" t="s">
        <v>346</v>
      </c>
      <c r="D58" s="305" t="s">
        <v>47</v>
      </c>
      <c r="E58" s="306" t="s">
        <v>297</v>
      </c>
      <c r="F58" s="464">
        <f>F57/50</f>
        <v>2.36</v>
      </c>
      <c r="G58" s="307">
        <f ca="1">IF(ISERROR(OFFSET('HARGA SATUAN'!$I$6,MATCH(RAB!C58,'HARGA SATUAN'!$C$7:$C$1495,0),0)),0,OFFSET('HARGA SATUAN'!$I$6,MATCH(RAB!C58,'HARGA SATUAN'!$C$7:$C$1495,0),0))</f>
        <v>223500</v>
      </c>
      <c r="H58" s="308">
        <f t="shared" ref="H58" si="39">IF(OR(D58="MDU",D58="MDU-KD"),(IF($O$3="RAB NON MDU","PLN KD",G58*F58)),0)</f>
        <v>0</v>
      </c>
      <c r="I58" s="308">
        <f t="shared" ref="I58" si="40">IF(D58="HDW",G58*F58,0)</f>
        <v>0</v>
      </c>
      <c r="J58" s="308">
        <f t="shared" ref="J58" ca="1" si="41">IF(D58="JASA",G58*F58,0)</f>
        <v>527460</v>
      </c>
      <c r="K58" s="309">
        <f t="shared" ref="K58" ca="1" si="42">SUM(H58:J58)</f>
        <v>527460</v>
      </c>
      <c r="L58" s="316"/>
      <c r="M58" s="289" t="str">
        <f t="shared" ca="1" si="38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/>
      <c r="C59" s="319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7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ref="H59:H60" ca="1" si="43">IF(OR(D59="MDU",D59="MDU-KD"),(IF($O$3="RAB NON MDU","PLN KD",G59*F59)),0)</f>
        <v>0</v>
      </c>
      <c r="I59" s="308">
        <f t="shared" ref="I59:I60" ca="1" si="44">IF(D59="HDW",G59*F59,0)</f>
        <v>0</v>
      </c>
      <c r="J59" s="308">
        <f t="shared" ref="J59:J60" ca="1" si="45">IF(D59="JASA",G59*F59,0)</f>
        <v>0</v>
      </c>
      <c r="K59" s="309">
        <f t="shared" ref="K59:K60" ca="1" si="46">SUM(H59:J59)</f>
        <v>0</v>
      </c>
      <c r="L59" s="316"/>
      <c r="M59" s="289" t="e">
        <f>IF(AND(F59&gt;0,#REF!=0),"",IF(AND(ISBLANK(F59)=FALSE,K59=0),"WARNING",""))</f>
        <v>#REF!</v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19" t="s">
        <v>1612</v>
      </c>
      <c r="C60" s="422" t="s">
        <v>1608</v>
      </c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60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43"/>
        <v>0</v>
      </c>
      <c r="I60" s="308">
        <f t="shared" ca="1" si="44"/>
        <v>0</v>
      </c>
      <c r="J60" s="308">
        <f t="shared" ca="1" si="45"/>
        <v>0</v>
      </c>
      <c r="K60" s="309">
        <f t="shared" ca="1" si="46"/>
        <v>0</v>
      </c>
      <c r="L60" s="316"/>
      <c r="M60" s="289" t="str">
        <f t="shared" ca="1" si="38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19" t="s">
        <v>1035</v>
      </c>
      <c r="C61" s="422" t="s">
        <v>1628</v>
      </c>
      <c r="D61" s="305" t="s">
        <v>48</v>
      </c>
      <c r="E61" s="306" t="s">
        <v>14</v>
      </c>
      <c r="F61" s="461">
        <v>1</v>
      </c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ref="H61:H63" si="47">IF(OR(D61="MDU",D61="MDU-KD"),(IF($O$3="RAB NON MDU","PLN KD",G61*F61)),0)</f>
        <v>0</v>
      </c>
      <c r="I61" s="308">
        <f t="shared" ref="I61:I63" si="48">IF(D61="HDW",G61*F61,0)</f>
        <v>0</v>
      </c>
      <c r="J61" s="308">
        <f t="shared" ref="J61:J63" si="49">IF(D61="JASA",G61*F61,0)</f>
        <v>0</v>
      </c>
      <c r="K61" s="309">
        <f t="shared" ref="K61:K63" si="50">SUM(H61:J61)</f>
        <v>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419">
        <v>1</v>
      </c>
      <c r="C62" s="319" t="s">
        <v>483</v>
      </c>
      <c r="D62" s="305" t="s">
        <v>45</v>
      </c>
      <c r="E62" s="306" t="s">
        <v>8</v>
      </c>
      <c r="F62" s="461">
        <v>1</v>
      </c>
      <c r="G62" s="307">
        <f ca="1">IF(ISERROR(OFFSET('HARGA SATUAN'!$I$6,MATCH(RAB!C62,'HARGA SATUAN'!$C$7:$C$1495,0),0)),0,OFFSET('HARGA SATUAN'!$I$6,MATCH(RAB!C62,'HARGA SATUAN'!$C$7:$C$1495,0),0))</f>
        <v>1719200</v>
      </c>
      <c r="H62" s="308">
        <f t="shared" si="47"/>
        <v>0</v>
      </c>
      <c r="I62" s="308">
        <f t="shared" ca="1" si="48"/>
        <v>1719200</v>
      </c>
      <c r="J62" s="308">
        <f t="shared" si="49"/>
        <v>0</v>
      </c>
      <c r="K62" s="309">
        <f t="shared" ca="1" si="50"/>
        <v>1719200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54">
        <v>2</v>
      </c>
      <c r="C63" s="465" t="s">
        <v>510</v>
      </c>
      <c r="D63" s="305" t="s">
        <v>44</v>
      </c>
      <c r="E63" s="306" t="s">
        <v>14</v>
      </c>
      <c r="F63" s="466">
        <v>1</v>
      </c>
      <c r="G63" s="307">
        <f ca="1">IF(ISERROR(OFFSET('HARGA SATUAN'!$I$6,MATCH(RAB!C63,'HARGA SATUAN'!$C$7:$C$1495,0),0)),0,OFFSET('HARGA SATUAN'!$I$6,MATCH(RAB!C63,'HARGA SATUAN'!$C$7:$C$1495,0),0))</f>
        <v>3564900</v>
      </c>
      <c r="H63" s="308">
        <f t="shared" ca="1" si="47"/>
        <v>3564900</v>
      </c>
      <c r="I63" s="308">
        <f t="shared" si="48"/>
        <v>0</v>
      </c>
      <c r="J63" s="308">
        <f t="shared" si="49"/>
        <v>0</v>
      </c>
      <c r="K63" s="309">
        <f t="shared" ca="1" si="50"/>
        <v>3564900</v>
      </c>
      <c r="L63" s="316"/>
      <c r="M63" s="289" t="str">
        <f>IF(AND(F63&gt;0,F60=0),"",IF(AND(ISBLANK(F63)=FALSE,K63=0),"WARNING",""))</f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52">
        <v>3</v>
      </c>
      <c r="C64" s="109" t="s">
        <v>77</v>
      </c>
      <c r="D64" s="305" t="s">
        <v>44</v>
      </c>
      <c r="E64" s="306" t="s">
        <v>7</v>
      </c>
      <c r="F64" s="466">
        <v>35</v>
      </c>
      <c r="G64" s="307">
        <f ca="1">IF(ISERROR(OFFSET('HARGA SATUAN'!$I$6,MATCH(RAB!C64,'HARGA SATUAN'!$C$7:$C$1495,0),0)),0,OFFSET('HARGA SATUAN'!$I$6,MATCH(RAB!C64,'HARGA SATUAN'!$C$7:$C$1495,0),0))</f>
        <v>13500</v>
      </c>
      <c r="H64" s="308">
        <f t="shared" ref="H64:H73" ca="1" si="51">IF(OR(D64="MDU",D64="MDU-KD"),(IF($O$3="RAB NON MDU","PLN KD",G64*F64)),0)</f>
        <v>472500</v>
      </c>
      <c r="I64" s="308">
        <f t="shared" ref="I64:I73" si="52">IF(D64="HDW",G64*F64,0)</f>
        <v>0</v>
      </c>
      <c r="J64" s="308">
        <f t="shared" ref="J64:J73" si="53">IF(D64="JASA",G64*F64,0)</f>
        <v>0</v>
      </c>
      <c r="K64" s="309">
        <f t="shared" ref="K64:K73" ca="1" si="54">SUM(H64:J64)</f>
        <v>472500</v>
      </c>
      <c r="L64" s="316"/>
      <c r="M64" s="289" t="str">
        <f t="shared" ca="1" si="38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452">
        <v>4</v>
      </c>
      <c r="C65" s="509" t="s">
        <v>799</v>
      </c>
      <c r="D65" s="305" t="s">
        <v>47</v>
      </c>
      <c r="E65" s="306" t="s">
        <v>14</v>
      </c>
      <c r="F65" s="466">
        <v>1</v>
      </c>
      <c r="G65" s="307">
        <f ca="1">IF(ISERROR(OFFSET('HARGA SATUAN'!$I$6,MATCH(RAB!C65,'HARGA SATUAN'!$C$7:$C$1495,0),0)),0,OFFSET('HARGA SATUAN'!$I$6,MATCH(RAB!C65,'HARGA SATUAN'!$C$7:$C$1495,0),0))</f>
        <v>106400</v>
      </c>
      <c r="H65" s="308">
        <f t="shared" si="51"/>
        <v>0</v>
      </c>
      <c r="I65" s="308">
        <f t="shared" si="52"/>
        <v>0</v>
      </c>
      <c r="J65" s="308">
        <f t="shared" ca="1" si="53"/>
        <v>106400</v>
      </c>
      <c r="K65" s="309">
        <f t="shared" ca="1" si="54"/>
        <v>106400</v>
      </c>
      <c r="L65" s="316"/>
      <c r="M65" s="289" t="str">
        <f t="shared" ca="1" si="38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52"/>
      <c r="C66" s="455"/>
      <c r="D66" s="305"/>
      <c r="E66" s="306"/>
      <c r="F66" s="466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:H72" si="55">IF(OR(D66="MDU",D66="MDU-KD"),(IF($O$3="RAB NON MDU","PLN KD",G66*F66)),0)</f>
        <v>0</v>
      </c>
      <c r="I66" s="308">
        <f t="shared" ref="I66:I72" si="56">IF(D66="HDW",G66*F66,0)</f>
        <v>0</v>
      </c>
      <c r="J66" s="308">
        <f t="shared" ref="J66:J72" si="57">IF(D66="JASA",G66*F66,0)</f>
        <v>0</v>
      </c>
      <c r="K66" s="309">
        <f t="shared" ref="K66:K72" si="58">SUM(H66:J66)</f>
        <v>0</v>
      </c>
      <c r="L66" s="316"/>
      <c r="M66" s="289" t="e">
        <f>IF(AND(F66&gt;0,#REF!=0),"",IF(AND(ISBLANK(F66)=FALSE,K66=0),"WARNING",""))</f>
        <v>#REF!</v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467" t="s">
        <v>1035</v>
      </c>
      <c r="C67" s="468" t="s">
        <v>1625</v>
      </c>
      <c r="D67" s="39" t="s">
        <v>48</v>
      </c>
      <c r="E67" s="456" t="s">
        <v>14</v>
      </c>
      <c r="F67" s="469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si="55"/>
        <v>0</v>
      </c>
      <c r="I67" s="308">
        <f t="shared" si="56"/>
        <v>0</v>
      </c>
      <c r="J67" s="308">
        <f t="shared" si="57"/>
        <v>0</v>
      </c>
      <c r="K67" s="309">
        <f t="shared" si="58"/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467">
        <v>1</v>
      </c>
      <c r="C68" s="468" t="s">
        <v>29</v>
      </c>
      <c r="D68" s="39" t="s">
        <v>45</v>
      </c>
      <c r="E68" s="456" t="s">
        <v>8</v>
      </c>
      <c r="F68" s="469">
        <f>F67*1</f>
        <v>1</v>
      </c>
      <c r="G68" s="307">
        <f ca="1">IF(ISERROR(OFFSET('HARGA SATUAN'!$I$6,MATCH(RAB!C68,'HARGA SATUAN'!$C$7:$C$1495,0),0)),0,OFFSET('HARGA SATUAN'!$I$6,MATCH(RAB!C68,'HARGA SATUAN'!$C$7:$C$1495,0),0))</f>
        <v>185200</v>
      </c>
      <c r="H68" s="308">
        <f t="shared" si="55"/>
        <v>0</v>
      </c>
      <c r="I68" s="308">
        <f t="shared" ca="1" si="56"/>
        <v>185200</v>
      </c>
      <c r="J68" s="308">
        <f t="shared" si="57"/>
        <v>0</v>
      </c>
      <c r="K68" s="309">
        <f t="shared" ca="1" si="58"/>
        <v>185200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467">
        <v>2</v>
      </c>
      <c r="C69" s="468" t="s">
        <v>30</v>
      </c>
      <c r="D69" s="39" t="s">
        <v>45</v>
      </c>
      <c r="E69" s="456" t="s">
        <v>8</v>
      </c>
      <c r="F69" s="469">
        <f>F67*1</f>
        <v>1</v>
      </c>
      <c r="G69" s="307">
        <f ca="1">IF(ISERROR(OFFSET('HARGA SATUAN'!$I$6,MATCH(RAB!C69,'HARGA SATUAN'!$C$7:$C$1495,0),0)),0,OFFSET('HARGA SATUAN'!$I$6,MATCH(RAB!C69,'HARGA SATUAN'!$C$7:$C$1495,0),0))</f>
        <v>47459</v>
      </c>
      <c r="H69" s="308">
        <f t="shared" si="55"/>
        <v>0</v>
      </c>
      <c r="I69" s="308">
        <f t="shared" ca="1" si="56"/>
        <v>47459</v>
      </c>
      <c r="J69" s="308">
        <f t="shared" si="57"/>
        <v>0</v>
      </c>
      <c r="K69" s="309">
        <f t="shared" ca="1" si="58"/>
        <v>47459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67">
        <v>3</v>
      </c>
      <c r="C70" s="468" t="s">
        <v>32</v>
      </c>
      <c r="D70" s="39" t="s">
        <v>45</v>
      </c>
      <c r="E70" s="456" t="s">
        <v>7</v>
      </c>
      <c r="F70" s="469">
        <f>F67*1.5</f>
        <v>1.5</v>
      </c>
      <c r="G70" s="307">
        <f ca="1">IF(ISERROR(OFFSET('HARGA SATUAN'!$I$6,MATCH(RAB!C70,'HARGA SATUAN'!$C$7:$C$1495,0),0)),0,OFFSET('HARGA SATUAN'!$I$6,MATCH(RAB!C70,'HARGA SATUAN'!$C$7:$C$1495,0),0))</f>
        <v>30000</v>
      </c>
      <c r="H70" s="308">
        <f t="shared" si="55"/>
        <v>0</v>
      </c>
      <c r="I70" s="308">
        <f t="shared" ca="1" si="56"/>
        <v>45000</v>
      </c>
      <c r="J70" s="308">
        <f t="shared" si="57"/>
        <v>0</v>
      </c>
      <c r="K70" s="309">
        <f t="shared" ca="1" si="58"/>
        <v>45000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467">
        <v>4</v>
      </c>
      <c r="C71" s="468" t="s">
        <v>33</v>
      </c>
      <c r="D71" s="39" t="s">
        <v>45</v>
      </c>
      <c r="E71" s="456" t="s">
        <v>8</v>
      </c>
      <c r="F71" s="469">
        <f>F67*2</f>
        <v>2</v>
      </c>
      <c r="G71" s="307">
        <f ca="1">IF(ISERROR(OFFSET('HARGA SATUAN'!$I$6,MATCH(RAB!C71,'HARGA SATUAN'!$C$7:$C$1495,0),0)),0,OFFSET('HARGA SATUAN'!$I$6,MATCH(RAB!C71,'HARGA SATUAN'!$C$7:$C$1495,0),0))</f>
        <v>9500</v>
      </c>
      <c r="H71" s="308">
        <f t="shared" si="55"/>
        <v>0</v>
      </c>
      <c r="I71" s="308">
        <f t="shared" ca="1" si="56"/>
        <v>19000</v>
      </c>
      <c r="J71" s="308">
        <f t="shared" si="57"/>
        <v>0</v>
      </c>
      <c r="K71" s="309">
        <f t="shared" ca="1" si="58"/>
        <v>19000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67">
        <v>5</v>
      </c>
      <c r="C72" s="468" t="s">
        <v>735</v>
      </c>
      <c r="D72" s="39" t="s">
        <v>47</v>
      </c>
      <c r="E72" s="456" t="s">
        <v>14</v>
      </c>
      <c r="F72" s="469">
        <f>F67*1</f>
        <v>1</v>
      </c>
      <c r="G72" s="307">
        <f ca="1">IF(ISERROR(OFFSET('HARGA SATUAN'!$I$6,MATCH(RAB!C72,'HARGA SATUAN'!$C$7:$C$1495,0),0)),0,OFFSET('HARGA SATUAN'!$I$6,MATCH(RAB!C72,'HARGA SATUAN'!$C$7:$C$1495,0),0))</f>
        <v>56400</v>
      </c>
      <c r="H72" s="308">
        <f t="shared" si="55"/>
        <v>0</v>
      </c>
      <c r="I72" s="308">
        <f t="shared" si="56"/>
        <v>0</v>
      </c>
      <c r="J72" s="308">
        <f t="shared" ca="1" si="57"/>
        <v>56400</v>
      </c>
      <c r="K72" s="309">
        <f t="shared" ca="1" si="58"/>
        <v>56400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52"/>
      <c r="C73" s="109"/>
      <c r="D73" s="305"/>
      <c r="E73" s="306"/>
      <c r="F73" s="461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si="51"/>
        <v>0</v>
      </c>
      <c r="I73" s="308">
        <f t="shared" si="52"/>
        <v>0</v>
      </c>
      <c r="J73" s="308">
        <f t="shared" si="53"/>
        <v>0</v>
      </c>
      <c r="K73" s="309">
        <f t="shared" si="54"/>
        <v>0</v>
      </c>
      <c r="L73" s="316"/>
      <c r="M73" s="289" t="str">
        <f>IF(AND(F73&gt;0,F66=0),"",IF(AND(ISBLANK(F73)=FALSE,K73=0),"WARNING",""))</f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>
      <c r="B74" s="321"/>
      <c r="C74" s="320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315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ref="H74" ca="1" si="59">IF(OR(D74="MDU",D74="MDU-KD"),(IF($O$3="RAB NON MDU","PLN KD",G74*F74)),0)</f>
        <v>0</v>
      </c>
      <c r="I74" s="308">
        <f t="shared" ref="I74" ca="1" si="60">IF(D74="HDW",G74*F74,0)</f>
        <v>0</v>
      </c>
      <c r="J74" s="308">
        <f t="shared" ref="J74" ca="1" si="61">IF(D74="JASA",G74*F74,0)</f>
        <v>0</v>
      </c>
      <c r="K74" s="309">
        <f t="shared" ref="K74" ca="1" si="62">SUM(H74:J74)</f>
        <v>0</v>
      </c>
      <c r="M74" s="289" t="e">
        <f>IF(AND(F74&gt;0,#REF!=0),"",IF(AND(ISBLANK(F74)=FALSE,K74=0),"WARNING",""))</f>
        <v>#REF!</v>
      </c>
    </row>
    <row r="75" spans="1:22">
      <c r="B75" s="322"/>
      <c r="C75" s="323" t="s">
        <v>475</v>
      </c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315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ref="H75" ca="1" si="63">IF(OR(D75="MDU",D75="MDU-KD"),(IF($O$3="RAB NON MDU","PLN KD",G75*F75)),0)</f>
        <v>0</v>
      </c>
      <c r="I75" s="308">
        <f t="shared" ref="I75" ca="1" si="64">IF(D75="HDW",G75*F75,0)</f>
        <v>0</v>
      </c>
      <c r="J75" s="308">
        <f t="shared" ref="J75" ca="1" si="65">IF(D75="JASA",G75*F75,0)</f>
        <v>0</v>
      </c>
      <c r="K75" s="309">
        <f t="shared" ref="K75" ca="1" si="66">SUM(H75:J75)</f>
        <v>0</v>
      </c>
      <c r="M75" s="289" t="e">
        <f>IF(AND(F75&gt;0,#REF!=0),"",IF(AND(ISBLANK(F75)=FALSE,K75=0),"WARNING",""))</f>
        <v>#REF!</v>
      </c>
    </row>
    <row r="76" spans="1:22">
      <c r="B76" s="325">
        <v>1</v>
      </c>
      <c r="C76" s="326" t="s">
        <v>1091</v>
      </c>
      <c r="D76" s="327" t="str">
        <f ca="1">IF(ISERROR(OFFSET('HARGA SATUAN'!$D$6,MATCH(RAB!C76,'HARGA SATUAN'!$C$7:$C$1495,0),0)),"",OFFSET('HARGA SATUAN'!$D$6,MATCH(RAB!C76,'HARGA SATUAN'!$C$7:$C$1495,0),0))</f>
        <v>JASA</v>
      </c>
      <c r="E76" s="328" t="str">
        <f ca="1">IF(ISERROR(OFFSET('HARGA SATUAN'!$E$6,MATCH(RAB!C76,'HARGA SATUAN'!$C$7:$C$1495,0),0)),"",OFFSET('HARGA SATUAN'!$E$6,MATCH(RAB!C76,'HARGA SATUAN'!$C$7:$C$1495,0),0))</f>
        <v>Lot</v>
      </c>
      <c r="F76" s="329">
        <v>1</v>
      </c>
      <c r="G76" s="330">
        <f ca="1">IF(ISERROR(OFFSET('HARGA SATUAN'!$I$6,MATCH(RAB!C76,'HARGA SATUAN'!$C$7:$C$1495,0),0)),0,OFFSET('HARGA SATUAN'!$I$6,MATCH(RAB!C76,'HARGA SATUAN'!$C$7:$C$1495,0),0))</f>
        <v>2.5000000000000001E-2</v>
      </c>
      <c r="H76" s="331">
        <f ca="1">SUM(H14:H75)*G76</f>
        <v>261710</v>
      </c>
      <c r="I76" s="331">
        <f ca="1">SUM(I14:I75)*G76</f>
        <v>249822.72500000001</v>
      </c>
      <c r="J76" s="331">
        <f ca="1">SUM(J14:J75)*G76</f>
        <v>23924.833333333336</v>
      </c>
      <c r="K76" s="331">
        <f ca="1">SUM(K14:K75)*G76</f>
        <v>535457.55833333335</v>
      </c>
      <c r="M76" s="289" t="str">
        <f t="shared" ref="M76" si="67">IF(AND(F76&gt;0,F75=0),"",IF(AND(ISBLANK(F76)=FALSE,K76=0),"WARNING",""))</f>
        <v/>
      </c>
    </row>
    <row r="77" spans="1:22">
      <c r="B77" s="332"/>
      <c r="C77" s="333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IF(ISERROR(OFFSET('HARGA SATUAN'!$E$6,MATCH(RAB!C77,'HARGA SATUAN'!$C$7:$C$1495,0),0)),"",OFFSET('HARGA SATUAN'!$E$6,MATCH(RAB!C77,'HARGA SATUAN'!$C$7:$C$1495,0),0))</f>
        <v/>
      </c>
      <c r="F77" s="324"/>
      <c r="G77" s="307" t="str">
        <f ca="1">IF(ISERROR(OFFSET('HARGA SATUAN'!$I$6,MATCH(RAB!C77,'HARGA SATUAN'!$C$7:$C$1495,0),0)),"",OFFSET('HARGA SATUAN'!$I$6,MATCH(RAB!C77,'HARGA SATUAN'!$C$7:$C$1495,0),0))</f>
        <v/>
      </c>
      <c r="H77" s="308">
        <f ca="1">IF(OR(D77="MDU",D77="MDU-KD"),IF(G77="PLN",0,G77*F77),0)</f>
        <v>0</v>
      </c>
      <c r="I77" s="308">
        <f ca="1">IF(D77="HDW",IF(G77="PLN",0,G77*F77),0)</f>
        <v>0</v>
      </c>
      <c r="J77" s="308">
        <f ca="1">IF(D77="JASA",IF(G77="PLN",0,G77*F77),0)</f>
        <v>0</v>
      </c>
      <c r="K77" s="309">
        <f ca="1">SUM(H77:J77)</f>
        <v>0</v>
      </c>
    </row>
    <row r="78" spans="1:22" ht="15.75" thickBot="1">
      <c r="B78" s="334"/>
      <c r="C78" s="335"/>
      <c r="D78" s="336"/>
      <c r="E78" s="337"/>
      <c r="F78" s="337"/>
      <c r="G78" s="337"/>
      <c r="H78" s="338"/>
      <c r="I78" s="338"/>
      <c r="J78" s="338"/>
      <c r="K78" s="339"/>
    </row>
    <row r="79" spans="1:22">
      <c r="B79" s="340"/>
      <c r="C79" s="629" t="s">
        <v>1008</v>
      </c>
      <c r="D79" s="629"/>
      <c r="E79" s="629"/>
      <c r="F79" s="629"/>
      <c r="G79" s="341" t="s">
        <v>9</v>
      </c>
      <c r="H79" s="342">
        <f ca="1">SUM(H14:H77)</f>
        <v>10730110</v>
      </c>
      <c r="I79" s="342">
        <f ca="1">SUM(I14:I77)</f>
        <v>10242731.725</v>
      </c>
      <c r="J79" s="342">
        <f ca="1">SUM(J14:J77)</f>
        <v>980918.16666666674</v>
      </c>
      <c r="K79" s="342">
        <f ca="1">SUM(K14:K77)</f>
        <v>21953759.891666666</v>
      </c>
    </row>
    <row r="80" spans="1:22">
      <c r="B80" s="343"/>
      <c r="C80" s="612" t="s">
        <v>1455</v>
      </c>
      <c r="D80" s="612"/>
      <c r="E80" s="612"/>
      <c r="F80" s="612"/>
      <c r="G80" s="344" t="s">
        <v>9</v>
      </c>
      <c r="H80" s="345">
        <f ca="1">H79*0.11</f>
        <v>1180312.1000000001</v>
      </c>
      <c r="I80" s="345">
        <f ca="1">I79*0.11</f>
        <v>1126700.4897499999</v>
      </c>
      <c r="J80" s="345">
        <f ca="1">J79*0.11</f>
        <v>107900.99833333334</v>
      </c>
      <c r="K80" s="345">
        <f ca="1">K79*0.11</f>
        <v>2414913.5880833333</v>
      </c>
    </row>
    <row r="81" spans="2:13" ht="15.75" thickBot="1">
      <c r="B81" s="343"/>
      <c r="C81" s="609" t="s">
        <v>463</v>
      </c>
      <c r="D81" s="609"/>
      <c r="E81" s="609"/>
      <c r="F81" s="609"/>
      <c r="G81" s="346" t="s">
        <v>9</v>
      </c>
      <c r="H81" s="347">
        <f ca="1">SUM(H79:H80)</f>
        <v>11910422.1</v>
      </c>
      <c r="I81" s="347">
        <f ca="1">SUM(I79:I80)</f>
        <v>11369432.214749999</v>
      </c>
      <c r="J81" s="346">
        <f ca="1">SUM(J79:J80)</f>
        <v>1088819.165</v>
      </c>
      <c r="K81" s="346">
        <f ca="1">SUM(K79:K80)</f>
        <v>24368673.47975</v>
      </c>
      <c r="M81" s="411">
        <v>201265205.30690998</v>
      </c>
    </row>
    <row r="82" spans="2:13">
      <c r="B82" s="613" t="str">
        <f ca="1">"Terbilang : "&amp;PROPER(IF(K81=0,"nol",IF(K81&lt;0,"minus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IF(--MID(TEXT(ABS(K81),"000000000000000"),1,3)=0,"",MID(TEXT(ABS(K81),"000000000000000"),1,1)&amp;" ratus "&amp;MID(TEXT(ABS(K81),"000000000000000"),2,1)&amp;" puluh "&amp;MID(TEXT(ABS(K81),"000000000000000"),3,1)&amp;" trilyun ")&amp; IF(--MID(TEXT(ABS(K81),"000000000000000"),4,3)=0,"",MID(TEXT(ABS(K81),"000000000000000"),4,1)&amp;" ratus "&amp;MID(TEXT(ABS(K81),"000000000000000"),5,1)&amp;" puluh "&amp;MID(TEXT(ABS(K81),"000000000000000"),6,1)&amp;" milyar ")&amp; IF(--MID(TEXT(ABS(K81),"000000000000000"),7,3)=0,"",MID(TEXT(ABS(K81),"000000000000000"),7,1)&amp;" ratus "&amp;MID(TEXT(ABS(K81),"000000000000000"),8,1)&amp;" puluh "&amp;MID(TEXT(ABS(K81),"000000000000000"),9,1)&amp;" juta ")&amp; IF(--MID(TEXT(ABS(K81),"000000000000000"),10,3)=0,"",IF(--MID(TEXT(ABS(K81),"000000000000000"),10,3)=1,"*",MID(TEXT(ABS(K81),"000000000000000"),10,1)&amp;" ratus "&amp;MID(TEXT(ABS(K81),"000000000000000"),11,1)&amp;" puluh ")&amp;MID(TEXT(ABS(K81),"000000000000000"),12,1)&amp;" ribu ")&amp; IF(--MID(TEXT(ABS(K81),"000000000000000"),13,3)=0,"",MID(TEXT(ABS(K81),"000000000000000"),13,1)&amp;" ratus "&amp;MID(TEXT(ABS(K81),"000000000000000"),14,1)&amp;" puluh "&amp;MID(TEXT(ABS(K81),"000000000000000"),15,1)),1,"satu"),2,"dua"),3,"tiga"),4,"empat"),5,"lima"),6,"enam"),7,"tujuh"),8,"delapan"),9,"sembilan"),"0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Empat Juta Tiga Ratus Enam Puluh Delapan Ribu Enam Ratus Tujuh Puluh Tiga Rupiah</v>
      </c>
      <c r="C82" s="614"/>
      <c r="D82" s="614"/>
      <c r="E82" s="614"/>
      <c r="F82" s="614"/>
      <c r="G82" s="614"/>
      <c r="H82" s="614"/>
      <c r="I82" s="614"/>
      <c r="J82" s="614"/>
      <c r="K82" s="615"/>
    </row>
    <row r="83" spans="2:13">
      <c r="B83" s="616"/>
      <c r="C83" s="617"/>
      <c r="D83" s="617"/>
      <c r="E83" s="617"/>
      <c r="F83" s="617"/>
      <c r="G83" s="617"/>
      <c r="H83" s="617"/>
      <c r="I83" s="617"/>
      <c r="J83" s="617"/>
      <c r="K83" s="618"/>
    </row>
    <row r="84" spans="2:13" ht="15.75" thickBot="1">
      <c r="B84" s="348" t="str">
        <f>"Harga yang dipakai adalah "&amp;'HARGA SATUAN'!I5&amp;""</f>
        <v>Harga yang dipakai adalah RAB HSS 2023</v>
      </c>
      <c r="C84" s="349"/>
      <c r="D84" s="350"/>
      <c r="E84" s="350"/>
      <c r="F84" s="350"/>
      <c r="G84" s="351"/>
      <c r="H84" s="351"/>
      <c r="I84" s="351"/>
      <c r="J84" s="351"/>
      <c r="K84" s="352"/>
    </row>
    <row r="85" spans="2:13">
      <c r="C85" s="353"/>
      <c r="E85" s="355"/>
      <c r="F85" s="355"/>
      <c r="G85" s="355"/>
    </row>
    <row r="86" spans="2:13">
      <c r="C86" s="284"/>
      <c r="E86" s="355"/>
      <c r="F86" s="355"/>
      <c r="G86" s="355"/>
      <c r="H86" s="619"/>
      <c r="I86" s="619"/>
      <c r="J86" s="620"/>
      <c r="K86" s="620"/>
    </row>
    <row r="87" spans="2:13">
      <c r="C87" s="284"/>
      <c r="E87" s="355"/>
      <c r="F87" s="355"/>
      <c r="G87" s="355"/>
      <c r="H87" s="356"/>
      <c r="I87" s="608" t="s">
        <v>1620</v>
      </c>
      <c r="J87" s="608"/>
      <c r="K87" s="608"/>
    </row>
    <row r="88" spans="2:13">
      <c r="C88" s="284"/>
      <c r="E88" s="355"/>
      <c r="F88" s="355"/>
      <c r="G88" s="355"/>
      <c r="H88" s="356"/>
      <c r="I88" s="608" t="s">
        <v>1613</v>
      </c>
      <c r="J88" s="608"/>
      <c r="K88" s="608"/>
    </row>
    <row r="89" spans="2:13">
      <c r="C89" s="284"/>
      <c r="E89" s="355"/>
      <c r="F89" s="355"/>
      <c r="G89" s="355"/>
      <c r="H89" s="357"/>
      <c r="I89" s="358"/>
      <c r="J89" s="358"/>
      <c r="K89" s="358"/>
    </row>
    <row r="90" spans="2:13">
      <c r="C90" s="284"/>
      <c r="E90" s="355"/>
      <c r="F90" s="355"/>
      <c r="G90" s="355"/>
      <c r="H90" s="357"/>
      <c r="I90" s="357"/>
      <c r="J90" s="357"/>
      <c r="K90" s="357"/>
    </row>
    <row r="91" spans="2:13">
      <c r="C91" s="284"/>
      <c r="E91" s="355"/>
      <c r="F91" s="355"/>
      <c r="G91" s="355"/>
      <c r="H91" s="357"/>
      <c r="I91" s="357"/>
      <c r="J91" s="357"/>
      <c r="K91" s="357"/>
    </row>
    <row r="92" spans="2:13">
      <c r="C92" s="284"/>
      <c r="E92" s="355"/>
      <c r="F92" s="355"/>
      <c r="G92" s="355"/>
      <c r="H92" s="357"/>
      <c r="I92" s="357"/>
      <c r="J92" s="357"/>
      <c r="K92" s="357"/>
    </row>
    <row r="93" spans="2:13">
      <c r="C93" s="284"/>
      <c r="E93" s="355"/>
      <c r="F93" s="355"/>
      <c r="G93" s="355"/>
      <c r="H93" s="359"/>
      <c r="I93" s="608" t="s">
        <v>1614</v>
      </c>
      <c r="J93" s="608"/>
      <c r="K93" s="608"/>
    </row>
    <row r="94" spans="2:13">
      <c r="C94" s="353"/>
      <c r="E94" s="355"/>
      <c r="F94" s="355"/>
      <c r="G94" s="355"/>
      <c r="H94" s="357"/>
      <c r="I94" s="357"/>
      <c r="J94" s="357"/>
      <c r="K94" s="357"/>
    </row>
    <row r="95" spans="2:13">
      <c r="C95" s="353"/>
      <c r="E95" s="355"/>
      <c r="F95" s="355"/>
      <c r="G95" s="355"/>
      <c r="H95" s="357"/>
      <c r="I95" s="357"/>
      <c r="J95" s="357"/>
      <c r="K95" s="357"/>
    </row>
    <row r="96" spans="2:13">
      <c r="C96" s="353"/>
      <c r="E96" s="355"/>
      <c r="F96" s="355"/>
      <c r="G96" s="355"/>
      <c r="H96" s="357"/>
      <c r="I96" s="357"/>
      <c r="J96" s="357"/>
      <c r="K96" s="357"/>
    </row>
  </sheetData>
  <sheetProtection sort="0" autoFilter="0"/>
  <protectedRanges>
    <protectedRange sqref="F14:F15 F74:F75" name="Range1_1_2_2"/>
    <protectedRange sqref="C74" name="Range1_1_1"/>
    <protectedRange sqref="B17:C18 B57:B58 B19:B20 B15:B16 B21:C56 B59:C73" name="Range1_6_1"/>
    <protectedRange sqref="C58" name="Range1_1_2_1"/>
    <protectedRange sqref="C19:C20" name="Range1_1_3"/>
    <protectedRange sqref="C57:E57" name="Range1_1_3_1"/>
  </protectedRanges>
  <mergeCells count="22">
    <mergeCell ref="O3:P4"/>
    <mergeCell ref="B4:K4"/>
    <mergeCell ref="C79:F79"/>
    <mergeCell ref="B11:B13"/>
    <mergeCell ref="C11:C13"/>
    <mergeCell ref="D11:D13"/>
    <mergeCell ref="E11:E13"/>
    <mergeCell ref="F11:F13"/>
    <mergeCell ref="G11:G13"/>
    <mergeCell ref="I12:I13"/>
    <mergeCell ref="I88:K88"/>
    <mergeCell ref="I93:K93"/>
    <mergeCell ref="C81:F81"/>
    <mergeCell ref="G6:K6"/>
    <mergeCell ref="I87:K87"/>
    <mergeCell ref="C80:F80"/>
    <mergeCell ref="B82:K83"/>
    <mergeCell ref="H86:K86"/>
    <mergeCell ref="H11:K11"/>
    <mergeCell ref="H12:H13"/>
    <mergeCell ref="J12:J13"/>
    <mergeCell ref="K12:K13"/>
  </mergeCells>
  <phoneticPr fontId="133" type="noConversion"/>
  <conditionalFormatting sqref="C15:C16">
    <cfRule type="cellIs" dxfId="8" priority="40" operator="equal">
      <formula>0</formula>
    </cfRule>
  </conditionalFormatting>
  <conditionalFormatting sqref="C19:C20">
    <cfRule type="cellIs" dxfId="7" priority="2" operator="equal">
      <formula>0</formula>
    </cfRule>
  </conditionalFormatting>
  <conditionalFormatting sqref="C58">
    <cfRule type="cellIs" dxfId="6" priority="42" operator="equal">
      <formula>0</formula>
    </cfRule>
  </conditionalFormatting>
  <conditionalFormatting sqref="C64">
    <cfRule type="cellIs" dxfId="5" priority="39" operator="equal">
      <formula>0</formula>
    </cfRule>
  </conditionalFormatting>
  <conditionalFormatting sqref="C73">
    <cfRule type="cellIs" dxfId="4" priority="38" operator="equal">
      <formula>0</formula>
    </cfRule>
  </conditionalFormatting>
  <conditionalFormatting sqref="C57:E57">
    <cfRule type="cellIs" dxfId="3" priority="1" operator="equal">
      <formula>0</formula>
    </cfRule>
  </conditionalFormatting>
  <conditionalFormatting sqref="E1:E3 E5:E13 H12:I12 O13 F57:K57 E76:G76 H76:K78 E77:H77 E78:F78 E14:K56 E58:K75 S14:V73">
    <cfRule type="cellIs" dxfId="2" priority="1084" stopIfTrue="1" operator="equal">
      <formula>0</formula>
    </cfRule>
  </conditionalFormatting>
  <conditionalFormatting sqref="G1:G13">
    <cfRule type="cellIs" dxfId="1" priority="9" stopIfTrue="1" operator="equal">
      <formula>0</formula>
    </cfRule>
  </conditionalFormatting>
  <conditionalFormatting sqref="G77:G65543 E82:E65543">
    <cfRule type="cellIs" dxfId="0" priority="218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16:F55 H14:K7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7" xr:uid="{F1455B02-199B-4FCF-BEF4-7BC4762163DE}">
      <formula1>$P$1746:$P$1750</formula1>
    </dataValidation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7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62BD0-B227-47A9-9397-5DE4E191CFEA}">
  <sheetPr>
    <tabColor rgb="FF92D050"/>
  </sheetPr>
  <dimension ref="C1:AD55"/>
  <sheetViews>
    <sheetView showGridLines="0" topLeftCell="I31" zoomScale="115" zoomScaleNormal="115" zoomScaleSheetLayoutView="100" workbookViewId="0">
      <selection activeCell="K48" sqref="K48"/>
    </sheetView>
  </sheetViews>
  <sheetFormatPr defaultColWidth="9.140625" defaultRowHeight="12"/>
  <cols>
    <col min="1" max="2" width="1.42578125" style="470" customWidth="1"/>
    <col min="3" max="3" width="7.42578125" style="470" customWidth="1"/>
    <col min="4" max="23" width="5.7109375" style="470" customWidth="1"/>
    <col min="24" max="24" width="6.28515625" style="470" customWidth="1"/>
    <col min="25" max="26" width="5.7109375" style="470" customWidth="1"/>
    <col min="27" max="27" width="6.5703125" style="470" customWidth="1"/>
    <col min="28" max="118" width="5.7109375" style="470" customWidth="1"/>
    <col min="119" max="16384" width="9.140625" style="470"/>
  </cols>
  <sheetData>
    <row r="1" spans="3:30" ht="12.75" thickBot="1"/>
    <row r="2" spans="3:30" ht="12.75" customHeight="1">
      <c r="C2" s="471"/>
      <c r="D2" s="472"/>
      <c r="E2" s="472"/>
      <c r="F2" s="472"/>
      <c r="G2" s="472"/>
      <c r="H2" s="472"/>
      <c r="I2" s="472"/>
      <c r="J2" s="472"/>
      <c r="K2" s="472"/>
      <c r="L2" s="472"/>
      <c r="M2" s="472"/>
      <c r="N2" s="472"/>
      <c r="O2" s="472"/>
      <c r="P2" s="472"/>
      <c r="Q2" s="472"/>
      <c r="R2" s="472"/>
      <c r="S2" s="472"/>
      <c r="T2" s="472"/>
      <c r="U2" s="472"/>
      <c r="V2" s="472"/>
      <c r="W2" s="677" t="s">
        <v>1438</v>
      </c>
      <c r="X2" s="678"/>
      <c r="Y2" s="678"/>
      <c r="Z2" s="678"/>
      <c r="AA2" s="678"/>
      <c r="AB2" s="678"/>
      <c r="AC2" s="678"/>
      <c r="AD2" s="679"/>
    </row>
    <row r="3" spans="3:30">
      <c r="C3" s="473"/>
      <c r="W3" s="680"/>
      <c r="X3" s="681"/>
      <c r="Y3" s="681"/>
      <c r="Z3" s="681"/>
      <c r="AA3" s="681"/>
      <c r="AB3" s="681"/>
      <c r="AC3" s="681"/>
      <c r="AD3" s="682"/>
    </row>
    <row r="4" spans="3:30">
      <c r="C4" s="473"/>
      <c r="G4" s="474" t="s">
        <v>1629</v>
      </c>
      <c r="W4" s="475" t="s">
        <v>987</v>
      </c>
      <c r="AD4" s="476"/>
    </row>
    <row r="5" spans="3:30">
      <c r="C5" s="473"/>
      <c r="W5" s="477" t="s">
        <v>991</v>
      </c>
      <c r="X5" s="640" t="s">
        <v>990</v>
      </c>
      <c r="Y5" s="640"/>
      <c r="Z5" s="640"/>
      <c r="AA5" s="640" t="s">
        <v>988</v>
      </c>
      <c r="AB5" s="640"/>
      <c r="AC5" s="640" t="s">
        <v>989</v>
      </c>
      <c r="AD5" s="641"/>
    </row>
    <row r="6" spans="3:30">
      <c r="C6" s="473"/>
      <c r="W6" s="477">
        <v>1</v>
      </c>
      <c r="X6" s="640" t="s">
        <v>993</v>
      </c>
      <c r="Y6" s="640"/>
      <c r="Z6" s="640"/>
      <c r="AA6" s="640"/>
      <c r="AB6" s="640"/>
      <c r="AC6" s="640"/>
      <c r="AD6" s="641"/>
    </row>
    <row r="7" spans="3:30">
      <c r="C7" s="473"/>
      <c r="W7" s="477">
        <v>2</v>
      </c>
      <c r="X7" s="640" t="s">
        <v>994</v>
      </c>
      <c r="Y7" s="640"/>
      <c r="Z7" s="640"/>
      <c r="AA7" s="640"/>
      <c r="AB7" s="640"/>
      <c r="AC7" s="640"/>
      <c r="AD7" s="641"/>
    </row>
    <row r="8" spans="3:30">
      <c r="C8" s="473"/>
      <c r="W8" s="477">
        <v>3</v>
      </c>
      <c r="X8" s="640" t="s">
        <v>995</v>
      </c>
      <c r="Y8" s="640"/>
      <c r="Z8" s="640"/>
      <c r="AA8" s="640"/>
      <c r="AB8" s="640"/>
      <c r="AC8" s="640"/>
      <c r="AD8" s="641"/>
    </row>
    <row r="9" spans="3:30">
      <c r="C9" s="473"/>
      <c r="W9" s="477">
        <v>4</v>
      </c>
      <c r="X9" s="640" t="s">
        <v>996</v>
      </c>
      <c r="Y9" s="640"/>
      <c r="Z9" s="640"/>
      <c r="AA9" s="640"/>
      <c r="AB9" s="640"/>
      <c r="AC9" s="640"/>
      <c r="AD9" s="641"/>
    </row>
    <row r="10" spans="3:30">
      <c r="C10" s="473"/>
      <c r="W10" s="477">
        <v>5</v>
      </c>
      <c r="X10" s="640" t="s">
        <v>997</v>
      </c>
      <c r="Y10" s="640"/>
      <c r="Z10" s="640"/>
      <c r="AA10" s="640"/>
      <c r="AB10" s="640"/>
      <c r="AC10" s="640"/>
      <c r="AD10" s="641"/>
    </row>
    <row r="11" spans="3:30">
      <c r="C11" s="473"/>
      <c r="W11" s="477">
        <v>6</v>
      </c>
      <c r="X11" s="640" t="s">
        <v>998</v>
      </c>
      <c r="Y11" s="640"/>
      <c r="Z11" s="640"/>
      <c r="AA11" s="640"/>
      <c r="AB11" s="640"/>
      <c r="AC11" s="640"/>
      <c r="AD11" s="641"/>
    </row>
    <row r="12" spans="3:30">
      <c r="C12" s="473"/>
      <c r="W12" s="477">
        <v>7</v>
      </c>
      <c r="X12" s="640" t="s">
        <v>999</v>
      </c>
      <c r="Y12" s="640"/>
      <c r="Z12" s="640"/>
      <c r="AA12" s="640"/>
      <c r="AB12" s="640"/>
      <c r="AC12" s="640"/>
      <c r="AD12" s="641"/>
    </row>
    <row r="13" spans="3:30" ht="12.75" customHeight="1">
      <c r="C13" s="473"/>
      <c r="W13" s="477">
        <v>8</v>
      </c>
      <c r="X13" s="640" t="s">
        <v>1000</v>
      </c>
      <c r="Y13" s="640"/>
      <c r="Z13" s="640"/>
      <c r="AA13" s="640"/>
      <c r="AB13" s="640"/>
      <c r="AC13" s="640"/>
      <c r="AD13" s="641"/>
    </row>
    <row r="14" spans="3:30">
      <c r="C14" s="473"/>
      <c r="W14" s="477">
        <v>9</v>
      </c>
      <c r="X14" s="640" t="s">
        <v>1001</v>
      </c>
      <c r="Y14" s="640"/>
      <c r="Z14" s="640"/>
      <c r="AA14" s="640"/>
      <c r="AB14" s="640"/>
      <c r="AC14" s="640"/>
      <c r="AD14" s="641"/>
    </row>
    <row r="15" spans="3:30">
      <c r="C15" s="473"/>
      <c r="W15" s="477">
        <v>10</v>
      </c>
      <c r="X15" s="640" t="s">
        <v>1010</v>
      </c>
      <c r="Y15" s="640"/>
      <c r="Z15" s="640"/>
      <c r="AA15" s="640"/>
      <c r="AB15" s="640"/>
      <c r="AC15" s="640"/>
      <c r="AD15" s="641"/>
    </row>
    <row r="16" spans="3:30">
      <c r="C16" s="473"/>
      <c r="W16" s="477">
        <v>11</v>
      </c>
      <c r="X16" s="640" t="s">
        <v>1454</v>
      </c>
      <c r="Y16" s="640"/>
      <c r="Z16" s="640"/>
      <c r="AA16" s="640"/>
      <c r="AB16" s="640"/>
      <c r="AC16" s="640"/>
      <c r="AD16" s="641"/>
    </row>
    <row r="17" spans="3:30">
      <c r="C17" s="473"/>
      <c r="S17" s="479"/>
      <c r="W17" s="477">
        <v>12</v>
      </c>
      <c r="X17" s="640" t="s">
        <v>1011</v>
      </c>
      <c r="Y17" s="640"/>
      <c r="Z17" s="640"/>
      <c r="AA17" s="640"/>
      <c r="AB17" s="640"/>
      <c r="AC17" s="640"/>
      <c r="AD17" s="641"/>
    </row>
    <row r="18" spans="3:30">
      <c r="C18" s="480"/>
      <c r="D18" s="481"/>
      <c r="E18" s="481"/>
      <c r="W18" s="477">
        <v>13</v>
      </c>
      <c r="X18" s="640"/>
      <c r="Y18" s="640"/>
      <c r="Z18" s="640"/>
      <c r="AA18" s="640"/>
      <c r="AB18" s="640"/>
      <c r="AC18" s="640"/>
      <c r="AD18" s="641"/>
    </row>
    <row r="19" spans="3:30">
      <c r="C19" s="473"/>
      <c r="W19" s="695"/>
      <c r="X19" s="696"/>
      <c r="Y19" s="696"/>
      <c r="Z19" s="696"/>
      <c r="AA19" s="696"/>
      <c r="AB19" s="696"/>
      <c r="AC19" s="696"/>
      <c r="AD19" s="697"/>
    </row>
    <row r="20" spans="3:30">
      <c r="C20" s="473"/>
      <c r="Q20" s="482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73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73"/>
      <c r="S22" s="483"/>
      <c r="W22" s="698" t="s">
        <v>1630</v>
      </c>
      <c r="X22" s="699"/>
      <c r="Y22" s="700" t="s">
        <v>1621</v>
      </c>
      <c r="Z22" s="701">
        <v>2</v>
      </c>
      <c r="AA22" s="702"/>
      <c r="AB22" s="703"/>
      <c r="AC22" s="484"/>
      <c r="AD22" s="485"/>
    </row>
    <row r="23" spans="3:30">
      <c r="C23" s="473"/>
      <c r="W23" s="698" t="s">
        <v>1631</v>
      </c>
      <c r="X23" s="699"/>
      <c r="Y23" s="700" t="s">
        <v>1622</v>
      </c>
      <c r="Z23" s="701">
        <v>6</v>
      </c>
      <c r="AA23" s="662"/>
      <c r="AB23" s="663"/>
      <c r="AC23" s="484"/>
      <c r="AD23" s="485"/>
    </row>
    <row r="24" spans="3:30">
      <c r="C24" s="473"/>
      <c r="W24" s="698" t="s">
        <v>1615</v>
      </c>
      <c r="X24" s="699"/>
      <c r="Y24" s="700" t="s">
        <v>1622</v>
      </c>
      <c r="Z24" s="701">
        <v>2</v>
      </c>
      <c r="AA24" s="704"/>
      <c r="AB24" s="705"/>
      <c r="AC24" s="484"/>
      <c r="AD24" s="485"/>
    </row>
    <row r="25" spans="3:30">
      <c r="C25" s="473"/>
      <c r="W25" s="698" t="s">
        <v>1632</v>
      </c>
      <c r="X25" s="699"/>
      <c r="Y25" s="700" t="s">
        <v>1623</v>
      </c>
      <c r="Z25" s="701">
        <f>46+20+52</f>
        <v>118</v>
      </c>
      <c r="AA25" s="662"/>
      <c r="AB25" s="663"/>
      <c r="AC25" s="484"/>
      <c r="AD25" s="485"/>
    </row>
    <row r="26" spans="3:30">
      <c r="C26" s="473"/>
      <c r="W26" s="706" t="s">
        <v>1633</v>
      </c>
      <c r="X26" s="707"/>
      <c r="Y26" s="700" t="s">
        <v>1622</v>
      </c>
      <c r="Z26" s="701">
        <v>1</v>
      </c>
      <c r="AA26" s="662"/>
      <c r="AB26" s="663"/>
      <c r="AC26" s="484"/>
      <c r="AD26" s="485"/>
    </row>
    <row r="27" spans="3:30">
      <c r="C27" s="473"/>
      <c r="W27" s="706"/>
      <c r="X27" s="707"/>
      <c r="Y27" s="700"/>
      <c r="Z27" s="701"/>
      <c r="AA27" s="662"/>
      <c r="AB27" s="663"/>
      <c r="AC27" s="484"/>
      <c r="AD27" s="485"/>
    </row>
    <row r="28" spans="3:30">
      <c r="C28" s="473"/>
      <c r="W28" s="708"/>
      <c r="X28" s="709"/>
      <c r="Y28" s="700"/>
      <c r="Z28" s="701"/>
      <c r="AA28" s="662"/>
      <c r="AB28" s="663"/>
      <c r="AC28" s="484"/>
      <c r="AD28" s="485"/>
    </row>
    <row r="29" spans="3:30">
      <c r="C29" s="473"/>
      <c r="W29" s="706"/>
      <c r="X29" s="707"/>
      <c r="Y29" s="700"/>
      <c r="Z29" s="701"/>
      <c r="AA29" s="662"/>
      <c r="AB29" s="663"/>
      <c r="AC29" s="484"/>
      <c r="AD29" s="485"/>
    </row>
    <row r="30" spans="3:30" ht="11.25" customHeight="1">
      <c r="C30" s="473"/>
      <c r="W30" s="708"/>
      <c r="X30" s="709"/>
      <c r="Y30" s="700"/>
      <c r="Z30" s="701"/>
      <c r="AA30" s="662"/>
      <c r="AB30" s="663"/>
      <c r="AC30" s="484"/>
      <c r="AD30" s="485"/>
    </row>
    <row r="31" spans="3:30">
      <c r="C31" s="473"/>
      <c r="U31" s="486"/>
      <c r="W31" s="710"/>
      <c r="X31" s="711"/>
      <c r="Y31" s="700"/>
      <c r="Z31" s="701"/>
      <c r="AA31" s="662"/>
      <c r="AB31" s="663"/>
      <c r="AC31" s="484"/>
      <c r="AD31" s="485"/>
    </row>
    <row r="32" spans="3:30">
      <c r="C32" s="473"/>
      <c r="U32" s="486"/>
      <c r="W32" s="712"/>
      <c r="X32" s="713"/>
      <c r="Y32" s="700"/>
      <c r="Z32" s="701"/>
      <c r="AA32" s="662"/>
      <c r="AB32" s="663"/>
      <c r="AC32" s="484"/>
      <c r="AD32" s="485"/>
    </row>
    <row r="33" spans="3:30">
      <c r="C33" s="473"/>
      <c r="W33" s="708"/>
      <c r="X33" s="709"/>
      <c r="Y33" s="700"/>
      <c r="Z33" s="701"/>
      <c r="AA33" s="662"/>
      <c r="AB33" s="663"/>
      <c r="AC33" s="484"/>
      <c r="AD33" s="485"/>
    </row>
    <row r="34" spans="3:30">
      <c r="C34" s="473"/>
      <c r="Q34" s="470" t="s">
        <v>1609</v>
      </c>
      <c r="W34" s="708"/>
      <c r="X34" s="709"/>
      <c r="Y34" s="700"/>
      <c r="Z34" s="701"/>
      <c r="AA34" s="662"/>
      <c r="AB34" s="663"/>
      <c r="AC34" s="484"/>
      <c r="AD34" s="485"/>
    </row>
    <row r="35" spans="3:30">
      <c r="C35" s="473"/>
      <c r="W35" s="708"/>
      <c r="X35" s="709"/>
      <c r="Y35" s="700"/>
      <c r="Z35" s="701"/>
      <c r="AA35" s="662"/>
      <c r="AB35" s="663"/>
      <c r="AC35" s="484"/>
      <c r="AD35" s="485"/>
    </row>
    <row r="36" spans="3:30">
      <c r="C36" s="473"/>
      <c r="W36" s="708"/>
      <c r="X36" s="709"/>
      <c r="Y36" s="700"/>
      <c r="Z36" s="701"/>
      <c r="AA36" s="662"/>
      <c r="AB36" s="663"/>
      <c r="AC36" s="484"/>
      <c r="AD36" s="485"/>
    </row>
    <row r="37" spans="3:30" ht="12.75" customHeight="1">
      <c r="C37" s="473"/>
      <c r="W37" s="710"/>
      <c r="X37" s="714"/>
      <c r="Y37" s="700"/>
      <c r="Z37" s="701"/>
      <c r="AA37" s="664"/>
      <c r="AB37" s="665"/>
      <c r="AC37" s="484"/>
      <c r="AD37" s="487"/>
    </row>
    <row r="38" spans="3:30" ht="12.75" customHeight="1">
      <c r="C38" s="473"/>
      <c r="W38" s="715"/>
      <c r="X38" s="716"/>
      <c r="Y38" s="700"/>
      <c r="Z38" s="717"/>
      <c r="AA38" s="666"/>
      <c r="AB38" s="667"/>
      <c r="AC38" s="484"/>
      <c r="AD38" s="487"/>
    </row>
    <row r="39" spans="3:30" ht="12" customHeight="1">
      <c r="C39" s="473"/>
      <c r="W39" s="715"/>
      <c r="X39" s="716"/>
      <c r="Y39" s="700"/>
      <c r="Z39" s="717"/>
      <c r="AA39" s="652"/>
      <c r="AB39" s="653"/>
      <c r="AC39" s="484"/>
      <c r="AD39" s="487"/>
    </row>
    <row r="40" spans="3:30" ht="12" customHeight="1">
      <c r="C40" s="473"/>
      <c r="W40" s="488"/>
      <c r="X40" s="489"/>
      <c r="Y40" s="490"/>
      <c r="Z40" s="717"/>
      <c r="AA40" s="491"/>
      <c r="AB40" s="492"/>
      <c r="AC40" s="493"/>
      <c r="AD40" s="494"/>
    </row>
    <row r="41" spans="3:30" ht="12" customHeight="1">
      <c r="C41" s="473"/>
      <c r="W41" s="654"/>
      <c r="X41" s="655"/>
      <c r="Y41" s="495"/>
      <c r="Z41" s="496"/>
      <c r="AA41" s="656"/>
      <c r="AB41" s="657"/>
      <c r="AC41" s="493"/>
      <c r="AD41" s="494"/>
    </row>
    <row r="42" spans="3:30" ht="12" customHeight="1">
      <c r="C42" s="473"/>
      <c r="W42" s="658" t="s">
        <v>1634</v>
      </c>
      <c r="X42" s="718"/>
      <c r="Y42" s="718"/>
      <c r="Z42" s="718"/>
      <c r="AA42" s="718"/>
      <c r="AB42" s="718"/>
      <c r="AC42" s="718"/>
      <c r="AD42" s="719"/>
    </row>
    <row r="43" spans="3:30" ht="12" customHeight="1">
      <c r="C43" s="473"/>
      <c r="V43" s="497"/>
      <c r="W43" s="659"/>
      <c r="X43" s="660"/>
      <c r="Y43" s="660"/>
      <c r="Z43" s="660"/>
      <c r="AA43" s="660"/>
      <c r="AB43" s="660"/>
      <c r="AC43" s="660"/>
      <c r="AD43" s="661"/>
    </row>
    <row r="44" spans="3:30">
      <c r="C44" s="498"/>
      <c r="D44" s="499"/>
      <c r="E44" s="499"/>
      <c r="F44" s="499"/>
      <c r="G44" s="499"/>
      <c r="H44" s="499"/>
      <c r="I44" s="499"/>
      <c r="N44" s="499"/>
      <c r="O44" s="499"/>
      <c r="P44" s="499"/>
      <c r="Q44" s="499"/>
      <c r="R44" s="499"/>
      <c r="S44" s="499"/>
      <c r="T44" s="499"/>
      <c r="U44" s="499"/>
      <c r="V44" s="497"/>
      <c r="W44" s="650" t="s">
        <v>11</v>
      </c>
      <c r="X44" s="639"/>
      <c r="Y44" s="640"/>
      <c r="Z44" s="640"/>
      <c r="AA44" s="640"/>
      <c r="AB44" s="640"/>
      <c r="AC44" s="640"/>
      <c r="AD44" s="641"/>
    </row>
    <row r="45" spans="3:30">
      <c r="C45" s="498"/>
      <c r="D45" s="499"/>
      <c r="E45" s="499"/>
      <c r="F45" s="499"/>
      <c r="G45" s="499"/>
      <c r="H45" s="499"/>
      <c r="I45" s="499"/>
      <c r="N45" s="499"/>
      <c r="O45" s="499"/>
      <c r="P45" s="499"/>
      <c r="Q45" s="499"/>
      <c r="R45" s="499"/>
      <c r="S45" s="499"/>
      <c r="T45" s="499"/>
      <c r="U45" s="499"/>
      <c r="V45" s="497"/>
      <c r="W45" s="650" t="s">
        <v>984</v>
      </c>
      <c r="X45" s="639"/>
      <c r="Y45" s="640">
        <v>1</v>
      </c>
      <c r="Z45" s="640"/>
      <c r="AA45" s="640"/>
      <c r="AB45" s="640" t="s">
        <v>12</v>
      </c>
      <c r="AC45" s="640"/>
      <c r="AD45" s="478" t="s">
        <v>13</v>
      </c>
    </row>
    <row r="46" spans="3:30">
      <c r="C46" s="498"/>
      <c r="D46" s="499"/>
      <c r="E46" s="499"/>
      <c r="F46" s="499"/>
      <c r="G46" s="499"/>
      <c r="H46" s="499"/>
      <c r="I46" s="499"/>
      <c r="J46" s="499"/>
      <c r="K46" s="499"/>
      <c r="L46" s="499"/>
      <c r="M46" s="499"/>
      <c r="N46" s="499"/>
      <c r="O46" s="499"/>
      <c r="P46" s="499"/>
      <c r="Q46" s="499"/>
      <c r="R46" s="499"/>
      <c r="S46" s="499"/>
      <c r="T46" s="499"/>
      <c r="U46" s="499"/>
      <c r="V46" s="497"/>
      <c r="W46" s="650" t="s">
        <v>15</v>
      </c>
      <c r="X46" s="639"/>
      <c r="Y46" s="651"/>
      <c r="Z46" s="651"/>
      <c r="AA46" s="651"/>
      <c r="AB46" s="640" t="s">
        <v>16</v>
      </c>
      <c r="AC46" s="640"/>
      <c r="AD46" s="500"/>
    </row>
    <row r="47" spans="3:30">
      <c r="C47" s="498"/>
      <c r="D47" s="499"/>
      <c r="E47" s="499"/>
      <c r="F47" s="499"/>
      <c r="G47" s="499"/>
      <c r="H47" s="499"/>
      <c r="I47" s="499"/>
      <c r="J47" s="499"/>
      <c r="K47" s="499"/>
      <c r="L47" s="499"/>
      <c r="M47" s="499"/>
      <c r="N47" s="499"/>
      <c r="O47" s="499"/>
      <c r="P47" s="499"/>
      <c r="Q47" s="499"/>
      <c r="R47" s="499"/>
      <c r="S47" s="499"/>
      <c r="T47" s="499"/>
      <c r="U47" s="499"/>
      <c r="V47" s="497"/>
      <c r="W47" s="720" t="s">
        <v>17</v>
      </c>
      <c r="X47" s="720"/>
      <c r="Y47" s="720"/>
      <c r="Z47" s="720"/>
      <c r="AA47" s="720"/>
      <c r="AB47" s="720"/>
      <c r="AC47" s="720"/>
      <c r="AD47" s="721"/>
    </row>
    <row r="48" spans="3:30" ht="12.75" customHeight="1">
      <c r="C48" s="498"/>
      <c r="D48" s="499"/>
      <c r="E48" s="499"/>
      <c r="F48" s="499"/>
      <c r="G48" s="499"/>
      <c r="H48" s="499"/>
      <c r="I48" s="499"/>
      <c r="J48" s="499"/>
      <c r="K48" s="499"/>
      <c r="L48" s="499"/>
      <c r="M48" s="499"/>
      <c r="R48" s="499"/>
      <c r="S48" s="499"/>
      <c r="T48" s="499"/>
      <c r="U48" s="499"/>
      <c r="V48" s="497"/>
      <c r="W48" s="646" t="str">
        <f>RAB!G6</f>
        <v>PD NAFIADHI 13,2 KVA</v>
      </c>
      <c r="X48" s="646"/>
      <c r="Y48" s="646"/>
      <c r="Z48" s="646"/>
      <c r="AA48" s="646"/>
      <c r="AB48" s="646"/>
      <c r="AC48" s="646"/>
      <c r="AD48" s="647"/>
    </row>
    <row r="49" spans="3:30">
      <c r="C49" s="498"/>
      <c r="D49" s="501"/>
      <c r="E49" s="499"/>
      <c r="F49" s="499"/>
      <c r="G49" s="499"/>
      <c r="I49" s="499"/>
      <c r="J49" s="499"/>
      <c r="K49" s="499"/>
      <c r="L49" s="499"/>
      <c r="M49" s="499"/>
      <c r="R49" s="499"/>
      <c r="S49" s="499"/>
      <c r="T49" s="499"/>
      <c r="U49" s="499"/>
      <c r="V49" s="502"/>
      <c r="W49" s="646"/>
      <c r="X49" s="646"/>
      <c r="Y49" s="646"/>
      <c r="Z49" s="646"/>
      <c r="AA49" s="646"/>
      <c r="AB49" s="646"/>
      <c r="AC49" s="646"/>
      <c r="AD49" s="647"/>
    </row>
    <row r="50" spans="3:30">
      <c r="C50" s="498"/>
      <c r="D50" s="503"/>
      <c r="E50" s="503"/>
      <c r="F50" s="503"/>
      <c r="G50" s="503"/>
      <c r="I50" s="499"/>
      <c r="J50" s="499"/>
      <c r="K50" s="499"/>
      <c r="L50" s="499"/>
      <c r="M50" s="499"/>
      <c r="N50" s="499"/>
      <c r="O50" s="499"/>
      <c r="P50" s="499"/>
      <c r="Q50" s="499"/>
      <c r="R50" s="499"/>
      <c r="S50" s="499"/>
      <c r="T50" s="499"/>
      <c r="U50" s="499"/>
      <c r="V50" s="502"/>
      <c r="W50" s="646"/>
      <c r="X50" s="646"/>
      <c r="Y50" s="646"/>
      <c r="Z50" s="646"/>
      <c r="AA50" s="646"/>
      <c r="AB50" s="646"/>
      <c r="AC50" s="646"/>
      <c r="AD50" s="647"/>
    </row>
    <row r="51" spans="3:30" ht="19.5" customHeight="1">
      <c r="C51" s="498"/>
      <c r="D51" s="503"/>
      <c r="E51" s="503"/>
      <c r="F51" s="503"/>
      <c r="G51" s="503"/>
      <c r="I51" s="499"/>
      <c r="J51" s="499"/>
      <c r="K51" s="499"/>
      <c r="L51" s="499"/>
      <c r="M51" s="499"/>
      <c r="N51" s="499"/>
      <c r="O51" s="499"/>
      <c r="P51" s="499"/>
      <c r="Q51" s="499"/>
      <c r="R51" s="499"/>
      <c r="S51" s="499"/>
      <c r="T51" s="499"/>
      <c r="U51" s="499"/>
      <c r="V51" s="502"/>
      <c r="W51" s="648"/>
      <c r="X51" s="648"/>
      <c r="Y51" s="648"/>
      <c r="Z51" s="648"/>
      <c r="AA51" s="648"/>
      <c r="AB51" s="648"/>
      <c r="AC51" s="648"/>
      <c r="AD51" s="649"/>
    </row>
    <row r="52" spans="3:30">
      <c r="C52" s="498"/>
      <c r="D52" s="504"/>
      <c r="E52" s="504"/>
      <c r="F52" s="504"/>
      <c r="G52" s="504"/>
      <c r="I52" s="499"/>
      <c r="J52" s="499"/>
      <c r="K52" s="499"/>
      <c r="L52" s="423"/>
      <c r="M52" s="499"/>
      <c r="N52" s="499"/>
      <c r="O52" s="499"/>
      <c r="P52" s="499"/>
      <c r="Q52" s="499"/>
      <c r="R52" s="499"/>
      <c r="S52" s="499"/>
      <c r="T52" s="499"/>
      <c r="U52" s="499"/>
      <c r="V52" s="497"/>
      <c r="W52" s="638" t="s">
        <v>18</v>
      </c>
      <c r="X52" s="639"/>
      <c r="Y52" s="640" t="s">
        <v>1635</v>
      </c>
      <c r="Z52" s="640"/>
      <c r="AA52" s="640"/>
      <c r="AB52" s="640"/>
      <c r="AC52" s="640"/>
      <c r="AD52" s="641"/>
    </row>
    <row r="53" spans="3:30">
      <c r="C53" s="498"/>
      <c r="D53" s="503"/>
      <c r="E53" s="503"/>
      <c r="F53" s="503"/>
      <c r="G53" s="503"/>
      <c r="I53" s="499"/>
      <c r="J53" s="499"/>
      <c r="K53" s="499"/>
      <c r="L53" s="499"/>
      <c r="M53" s="499"/>
      <c r="N53" s="499"/>
      <c r="O53" s="499"/>
      <c r="P53" s="499"/>
      <c r="Q53" s="499"/>
      <c r="R53" s="499"/>
      <c r="S53" s="499"/>
      <c r="T53" s="499"/>
      <c r="V53" s="497"/>
      <c r="W53" s="638" t="s">
        <v>19</v>
      </c>
      <c r="X53" s="639"/>
      <c r="Y53" s="640" t="s">
        <v>1636</v>
      </c>
      <c r="Z53" s="640"/>
      <c r="AA53" s="640"/>
      <c r="AB53" s="640"/>
      <c r="AC53" s="640"/>
      <c r="AD53" s="641"/>
    </row>
    <row r="54" spans="3:30">
      <c r="C54" s="498"/>
      <c r="D54" s="424"/>
      <c r="E54" s="424"/>
      <c r="F54" s="424"/>
      <c r="G54" s="424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499"/>
      <c r="T54" s="499"/>
      <c r="V54" s="497"/>
      <c r="W54" s="638" t="s">
        <v>20</v>
      </c>
      <c r="X54" s="639"/>
      <c r="Y54" s="640" t="s">
        <v>1636</v>
      </c>
      <c r="Z54" s="640"/>
      <c r="AA54" s="640"/>
      <c r="AB54" s="640"/>
      <c r="AC54" s="640"/>
      <c r="AD54" s="641"/>
    </row>
    <row r="55" spans="3:30" ht="12.75" thickBot="1">
      <c r="C55" s="505"/>
      <c r="D55" s="506"/>
      <c r="E55" s="506"/>
      <c r="F55" s="506"/>
      <c r="G55" s="506"/>
      <c r="H55" s="506"/>
      <c r="I55" s="506"/>
      <c r="J55" s="506"/>
      <c r="K55" s="506"/>
      <c r="L55" s="506"/>
      <c r="M55" s="506"/>
      <c r="N55" s="506"/>
      <c r="O55" s="506"/>
      <c r="P55" s="506"/>
      <c r="Q55" s="506"/>
      <c r="R55" s="506"/>
      <c r="S55" s="506"/>
      <c r="T55" s="506"/>
      <c r="U55" s="507"/>
      <c r="V55" s="508"/>
      <c r="W55" s="642" t="s">
        <v>21</v>
      </c>
      <c r="X55" s="643"/>
      <c r="Y55" s="644" t="s">
        <v>1637</v>
      </c>
      <c r="Z55" s="644"/>
      <c r="AA55" s="644"/>
      <c r="AB55" s="644"/>
      <c r="AC55" s="644"/>
      <c r="AD55" s="645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>
    <tabColor rgb="FF00B0F0"/>
  </sheetPr>
  <dimension ref="B1:AE122"/>
  <sheetViews>
    <sheetView view="pageBreakPreview" zoomScale="55" zoomScaleNormal="40" zoomScaleSheetLayoutView="55" workbookViewId="0">
      <selection activeCell="AC17" sqref="AC17"/>
    </sheetView>
  </sheetViews>
  <sheetFormatPr defaultColWidth="9.28515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28515625" style="425"/>
    <col min="21" max="21" width="14.5703125" style="425" customWidth="1"/>
    <col min="22" max="22" width="3.140625" style="425" customWidth="1"/>
    <col min="23" max="26" width="9.28515625" style="425"/>
    <col min="27" max="27" width="2.7109375" style="425" customWidth="1"/>
    <col min="28" max="30" width="4.7109375" style="425" customWidth="1"/>
    <col min="31" max="31" width="1.7109375" style="425" customWidth="1"/>
    <col min="32" max="16384" width="9.28515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683" t="str">
        <f>"PETA LOKASI "&amp;RAB!G6</f>
        <v>PETA LOKASI PD NAFIADHI 13,2 KVA</v>
      </c>
      <c r="D3" s="684"/>
      <c r="E3" s="684"/>
      <c r="F3" s="684"/>
      <c r="G3" s="684"/>
      <c r="H3" s="684"/>
      <c r="I3" s="684"/>
      <c r="J3" s="684"/>
      <c r="K3" s="684"/>
      <c r="L3" s="684"/>
      <c r="M3" s="684"/>
      <c r="N3" s="684"/>
      <c r="O3" s="684"/>
      <c r="P3" s="684"/>
      <c r="Q3" s="684"/>
      <c r="R3" s="684"/>
      <c r="S3" s="684"/>
      <c r="T3" s="684"/>
      <c r="U3" s="684"/>
      <c r="V3" s="684"/>
      <c r="W3" s="684"/>
      <c r="X3" s="684"/>
      <c r="Y3" s="684"/>
      <c r="Z3" s="684"/>
      <c r="AA3" s="684"/>
      <c r="AB3" s="685"/>
      <c r="AC3" s="431"/>
      <c r="AD3" s="429"/>
      <c r="AE3" s="429"/>
    </row>
    <row r="4" spans="2:31" ht="13.5" customHeight="1" thickBot="1">
      <c r="B4" s="430"/>
      <c r="C4" s="686"/>
      <c r="D4" s="687"/>
      <c r="E4" s="687"/>
      <c r="F4" s="687"/>
      <c r="G4" s="687"/>
      <c r="H4" s="687"/>
      <c r="I4" s="687"/>
      <c r="J4" s="687"/>
      <c r="K4" s="687"/>
      <c r="L4" s="687"/>
      <c r="M4" s="687"/>
      <c r="N4" s="687"/>
      <c r="O4" s="687"/>
      <c r="P4" s="687"/>
      <c r="Q4" s="687"/>
      <c r="R4" s="687"/>
      <c r="S4" s="687"/>
      <c r="T4" s="687"/>
      <c r="U4" s="687"/>
      <c r="V4" s="687"/>
      <c r="W4" s="687"/>
      <c r="X4" s="687"/>
      <c r="Y4" s="687"/>
      <c r="Z4" s="687"/>
      <c r="AA4" s="687"/>
      <c r="AB4" s="688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C121-D457-4816-91F5-7CB507CD363D}">
  <dimension ref="B1:AF68"/>
  <sheetViews>
    <sheetView view="pageBreakPreview" topLeftCell="A11" zoomScale="55" zoomScaleNormal="55" zoomScaleSheetLayoutView="55" workbookViewId="0">
      <selection activeCell="I12" sqref="I12"/>
    </sheetView>
  </sheetViews>
  <sheetFormatPr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89" t="str">
        <f>"SINGLE LINE DIAGRAM " &amp;DATA!D14</f>
        <v>SINGLE LINE DIAGRAM PD NAFIADHI 13,2 KVA</v>
      </c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  <c r="AA4" s="690"/>
      <c r="AB4" s="690"/>
      <c r="AC4" s="691"/>
      <c r="AD4" s="206"/>
      <c r="AE4" s="205"/>
      <c r="AF4" s="205"/>
    </row>
    <row r="5" spans="2:32" ht="13.5" customHeight="1" thickBot="1">
      <c r="B5" s="204"/>
      <c r="C5" s="204"/>
      <c r="D5" s="692"/>
      <c r="E5" s="693"/>
      <c r="F5" s="693"/>
      <c r="G5" s="693"/>
      <c r="H5" s="693"/>
      <c r="I5" s="693"/>
      <c r="J5" s="693"/>
      <c r="K5" s="693"/>
      <c r="L5" s="693"/>
      <c r="M5" s="693"/>
      <c r="N5" s="693"/>
      <c r="O5" s="693"/>
      <c r="P5" s="693"/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3"/>
      <c r="AC5" s="694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5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Eka Yoga Abimanyu</cp:lastModifiedBy>
  <cp:lastPrinted>2023-08-30T02:55:24Z</cp:lastPrinted>
  <dcterms:created xsi:type="dcterms:W3CDTF">2011-02-06T11:57:38Z</dcterms:created>
  <dcterms:modified xsi:type="dcterms:W3CDTF">2023-09-15T06:44:25Z</dcterms:modified>
</cp:coreProperties>
</file>