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A. BP LEBIH BESAR INVESTASI\DES\BNI\"/>
    </mc:Choice>
  </mc:AlternateContent>
  <xr:revisionPtr revIDLastSave="0" documentId="8_{C638C269-63AF-400D-B3D6-E04AE34A1A00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E7" i="64" l="1"/>
  <c r="G6" i="11" l="1"/>
  <c r="D46" i="11"/>
  <c r="J46" i="11" s="1"/>
  <c r="E46" i="11"/>
  <c r="G46" i="11"/>
  <c r="D47" i="11"/>
  <c r="J47" i="11" s="1"/>
  <c r="E47" i="11"/>
  <c r="G47" i="11"/>
  <c r="I46" i="11" l="1"/>
  <c r="H46" i="11"/>
  <c r="I47" i="11"/>
  <c r="H47" i="11"/>
  <c r="K46" i="11" l="1"/>
  <c r="K47" i="11"/>
  <c r="D20" i="11" l="1"/>
  <c r="E20" i="11"/>
  <c r="G20" i="11"/>
  <c r="D21" i="11"/>
  <c r="H21" i="11" s="1"/>
  <c r="E21" i="11"/>
  <c r="G21" i="11"/>
  <c r="J21" i="11" l="1"/>
  <c r="I21" i="11"/>
  <c r="J20" i="11"/>
  <c r="H20" i="11"/>
  <c r="I20" i="11"/>
  <c r="K21" i="11" l="1"/>
  <c r="K20" i="11"/>
  <c r="D25" i="11" l="1"/>
  <c r="D26" i="11"/>
  <c r="G37" i="11" l="1"/>
  <c r="G38" i="11"/>
  <c r="G39" i="11"/>
  <c r="G40" i="11"/>
  <c r="G41" i="11"/>
  <c r="G42" i="11"/>
  <c r="G43" i="11"/>
  <c r="G44" i="11"/>
  <c r="G45" i="11"/>
  <c r="D37" i="11"/>
  <c r="J37" i="11" s="1"/>
  <c r="E37" i="11"/>
  <c r="D38" i="11"/>
  <c r="E38" i="11"/>
  <c r="D39" i="11"/>
  <c r="H39" i="11" s="1"/>
  <c r="E39" i="11"/>
  <c r="D40" i="11"/>
  <c r="H40" i="11" s="1"/>
  <c r="E40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H45" i="11" s="1"/>
  <c r="E45" i="11"/>
  <c r="G17" i="11"/>
  <c r="G18" i="11"/>
  <c r="D17" i="11"/>
  <c r="J17" i="11" s="1"/>
  <c r="E17" i="11"/>
  <c r="D18" i="11"/>
  <c r="I18" i="11" s="1"/>
  <c r="E18" i="11"/>
  <c r="G36" i="11"/>
  <c r="D36" i="11"/>
  <c r="J36" i="11" s="1"/>
  <c r="E36" i="11"/>
  <c r="F35" i="11"/>
  <c r="F34" i="11"/>
  <c r="F33" i="11"/>
  <c r="F32" i="11"/>
  <c r="F31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E35" i="11"/>
  <c r="G35" i="11"/>
  <c r="D16" i="11"/>
  <c r="H16" i="11" s="1"/>
  <c r="E16" i="11"/>
  <c r="G16" i="11"/>
  <c r="D15" i="11"/>
  <c r="H15" i="11" s="1"/>
  <c r="E15" i="11"/>
  <c r="G15" i="11"/>
  <c r="I42" i="11" l="1"/>
  <c r="I38" i="11"/>
  <c r="J44" i="11"/>
  <c r="I37" i="11"/>
  <c r="I41" i="11"/>
  <c r="H38" i="11"/>
  <c r="H42" i="11"/>
  <c r="J40" i="11"/>
  <c r="J45" i="11"/>
  <c r="I44" i="11"/>
  <c r="J43" i="11"/>
  <c r="H41" i="11"/>
  <c r="I40" i="11"/>
  <c r="J39" i="11"/>
  <c r="H37" i="11"/>
  <c r="I45" i="11"/>
  <c r="I43" i="11"/>
  <c r="J42" i="11"/>
  <c r="I39" i="11"/>
  <c r="J38" i="11"/>
  <c r="H18" i="11"/>
  <c r="I17" i="11"/>
  <c r="H17" i="11"/>
  <c r="J18" i="11"/>
  <c r="I36" i="11"/>
  <c r="H36" i="11"/>
  <c r="I34" i="11"/>
  <c r="I30" i="11"/>
  <c r="J35" i="11"/>
  <c r="I35" i="11"/>
  <c r="J34" i="11"/>
  <c r="I33" i="11"/>
  <c r="J32" i="11"/>
  <c r="H30" i="11"/>
  <c r="H33" i="11"/>
  <c r="I32" i="11"/>
  <c r="I31" i="11"/>
  <c r="H35" i="11"/>
  <c r="H31" i="11"/>
  <c r="J16" i="11"/>
  <c r="I16" i="11"/>
  <c r="J15" i="11"/>
  <c r="I15" i="11"/>
  <c r="F27" i="11"/>
  <c r="F25" i="11"/>
  <c r="F24" i="11"/>
  <c r="F23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H25" i="11"/>
  <c r="E25" i="11"/>
  <c r="G25" i="11"/>
  <c r="E26" i="11"/>
  <c r="G26" i="11"/>
  <c r="D27" i="11"/>
  <c r="E27" i="11"/>
  <c r="G27" i="11"/>
  <c r="D28" i="11"/>
  <c r="E28" i="11"/>
  <c r="G28" i="11"/>
  <c r="J28" i="11" l="1"/>
  <c r="K44" i="11"/>
  <c r="K45" i="11"/>
  <c r="K38" i="11"/>
  <c r="K41" i="11"/>
  <c r="K39" i="11"/>
  <c r="K37" i="11"/>
  <c r="K42" i="11"/>
  <c r="K43" i="11"/>
  <c r="K40" i="11"/>
  <c r="K17" i="11"/>
  <c r="K18" i="11"/>
  <c r="K36" i="11"/>
  <c r="K30" i="11"/>
  <c r="K31" i="11"/>
  <c r="K33" i="11"/>
  <c r="K34" i="11"/>
  <c r="K35" i="11"/>
  <c r="K32" i="11"/>
  <c r="K16" i="11"/>
  <c r="K15" i="11"/>
  <c r="H26" i="11"/>
  <c r="I22" i="11"/>
  <c r="J27" i="11"/>
  <c r="J25" i="11"/>
  <c r="H22" i="11"/>
  <c r="I27" i="11"/>
  <c r="H27" i="11"/>
  <c r="J26" i="11"/>
  <c r="I25" i="11"/>
  <c r="I24" i="11"/>
  <c r="I23" i="11"/>
  <c r="I26" i="11"/>
  <c r="I28" i="11"/>
  <c r="H23" i="11"/>
  <c r="H28" i="11"/>
  <c r="H24" i="11"/>
  <c r="K22" i="11" l="1"/>
  <c r="K26" i="11"/>
  <c r="K24" i="11"/>
  <c r="K25" i="11"/>
  <c r="K27" i="11"/>
  <c r="K28" i="11"/>
  <c r="K23" i="11"/>
  <c r="D20" i="60" l="1"/>
  <c r="D14" i="11" l="1"/>
  <c r="J14" i="11" s="1"/>
  <c r="J48" i="11" s="1"/>
  <c r="E14" i="11"/>
  <c r="G14" i="11"/>
  <c r="K19" i="60"/>
  <c r="D19" i="60"/>
  <c r="H14" i="11" l="1"/>
  <c r="H48" i="11" s="1"/>
  <c r="I14" i="11"/>
  <c r="I48" i="11" s="1"/>
  <c r="K14" i="11" l="1"/>
  <c r="K48" i="11" l="1"/>
  <c r="W48" i="64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48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8" i="11"/>
  <c r="D49" i="11"/>
  <c r="H49" i="11" s="1"/>
  <c r="E49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9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6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8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9" i="11"/>
  <c r="I49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K36" i="39"/>
  <c r="K49" i="11"/>
  <c r="K51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1" i="11"/>
  <c r="H52" i="11" s="1"/>
  <c r="I51" i="11"/>
  <c r="I52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53" i="11"/>
  <c r="I53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2" i="11" l="1"/>
  <c r="K53" i="11" s="1"/>
  <c r="B54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51" i="11"/>
  <c r="J52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3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<sst xmlns="http://schemas.openxmlformats.org/spreadsheetml/2006/main" count="4714" uniqueCount="1624">
  <si>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</si>
  <si>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</si>
  <si>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</si>
  <si>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</si>
  <si>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</si>
  <si>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</si>
  <si>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</si>
  <si>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</si>
  <si>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</si>
  <si>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</si>
  <si>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</si>
  <si>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</si>
  <si>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</si>
  <si>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</si>
  <si>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</si>
  <si>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</si>
  <si>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</si>
  <si>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</si>
  <si>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</si>
  <si>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</si>
  <si>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</si>
  <si>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</si>
  <si>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</si>
  <si>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</si>
  <si>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</si>
  <si>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</si>
  <si>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</si>
  <si>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</si>
  <si>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</si>
  <si>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</si>
  <si>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</si>
  <si>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</si>
  <si>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</si>
  <si>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</si>
  <si>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</si>
  <si>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</si>
  <si>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</si>
  <si>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</si>
  <si>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</si>
  <si>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</si>
  <si>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</si>
  <si>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</si>
  <si>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</si>
  <si>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</si>
  <si>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</si>
  <si>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</si>
  <si>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</si>
  <si>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</si>
  <si>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</si>
  <si>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</si>
  <si>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</si>
  <si>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</si>
  <si>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</si>
  <si>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</si>
  <si>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</si>
  <si>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</si>
  <si>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</si>
  <si>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</si>
  <si>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</si>
  <si>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</si>
  <si>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</si>
  <si>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</si>
  <si>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</si>
  <si>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</si>
  <si>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</si>
  <si>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</si>
  <si>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</si>
  <si>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</si>
  <si>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</si>
  <si>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</si>
  <si>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</si>
  <si>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</si>
  <si>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</si>
  <si>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</si>
  <si>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</si>
  <si>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</si>
  <si>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</si>
  <si>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</si>
  <si>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</si>
  <si>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</si>
  <si>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</si>
  <si>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</si>
  <si>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</si>
  <si>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</si>
  <si>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</si>
  <si>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</si>
  <si>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</si>
  <si>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</si>
  <si>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</si>
  <si>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</si>
  <si>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</si>
  <si>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</si>
  <si>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</si>
  <si>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</si>
  <si>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</si>
  <si>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</si>
  <si>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</si>
  <si>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</si>
  <si>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</si>
  <si>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</si>
  <si>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</si>
  <si>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</si>
  <si>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</si>
  <si>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</si>
  <si>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</si>
  <si>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</si>
  <si>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</si>
  <si>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</si>
  <si>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</si>
  <si>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</si>
  <si>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</si>
  <si>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</si>
  <si>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</si>
  <si>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</si>
  <si>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</si>
  <si>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</si>
  <si>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</si>
  <si>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</si>
  <si>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</si>
  <si>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</si>
  <si>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</si>
  <si>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</si>
  <si>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</si>
  <si>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</si>
  <si>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</si>
  <si>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</si>
  <si>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</si>
  <si>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</si>
  <si>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</si>
  <si>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</si>
  <si>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</si>
  <si>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</si>
  <si>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</si>
  <si>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</si>
  <si>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</si>
  <si>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</si>
  <si>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</si>
  <si>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</si>
  <si>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</si>
  <si>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</si>
  <si>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</si>
  <si>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</si>
  <si>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</si>
  <si>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</si>
  <si>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</si>
  <si>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</si>
  <si>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</si>
  <si>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</si>
  <si>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</si>
  <si>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</si>
  <si>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</si>
  <si>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</si>
  <si>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</si>
  <si>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</si>
  <si>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</si>
  <si>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</si>
  <si>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</si>
  <si>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</si>
  <si>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</si>
  <si>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</si>
  <si>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</si>
  <si>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</si>
  <si>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</si>
  <si>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</si>
  <si>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</si>
  <si>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</si>
  <si>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</si>
  <si>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</si>
  <si>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</si>
  <si>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</si>
  <si>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</si>
  <si>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</si>
  <si>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</si>
  <si>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</si>
  <si>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</si>
  <si>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</si>
  <si>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</si>
  <si>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</si>
  <si>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</si>
  <si>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</si>
  <si>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</si>
  <si>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</si>
  <si>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</si>
  <si>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</si>
  <si>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</si>
  <si>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</si>
  <si>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</si>
  <si>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</si>
  <si>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</si>
  <si>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</si>
  <si>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</si>
  <si>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</si>
  <si>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</si>
  <si>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</si>
  <si>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</si>
  <si>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</si>
  <si>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</si>
  <si>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</si>
  <si>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</si>
  <si>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</si>
  <si>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</si>
  <si>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</si>
  <si>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</si>
  <si>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</si>
  <si>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</si>
  <si>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</si>
  <si>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</si>
  <si>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</si>
  <si>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</si>
  <si>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</si>
  <si>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</si>
  <si>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</si>
  <si>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</si>
  <si>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</si>
  <si>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</si>
  <si>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</si>
  <si>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</si>
  <si>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</si>
  <si>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</si>
  <si>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</si>
  <si>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</si>
  <si>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</si>
  <si>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</si>
  <si>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</si>
  <si>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</si>
  <si>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</si>
  <si>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</si>
  <si>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</si>
  <si>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</si>
  <si>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</si>
  <si>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</si>
  <si>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</si>
  <si>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</si>
  <si>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</si>
  <si>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</si>
  <si>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</si>
  <si>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</si>
  <si>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</si>
  <si>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</si>
  <si>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</si>
  <si>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</si>
  <si>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</si>
  <si>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</si>
  <si>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</si>
  <si>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</si>
  <si>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</si>
  <si>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</si>
  <si>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</si>
  <si>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</si>
  <si>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</si>
  <si>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</si>
  <si>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</si>
  <si>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</si>
  <si>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</si>
  <si>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</si>
  <si>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</si>
  <si>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</si>
  <si>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</si>
  <si>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</si>
  <si>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</si>
  <si>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</si>
  <si>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</si>
  <si>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</si>
  <si>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</si>
  <si>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</si>
  <si>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</si>
  <si>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</si>
  <si>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</si>
  <si>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</si>
  <si>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</si>
  <si>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</si>
  <si>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</si>
  <si>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</si>
  <si>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</si>
  <si>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</si>
  <si>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</si>
  <si>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</si>
  <si>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</si>
  <si>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</si>
  <si>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</si>
  <si>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</si>
  <si>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</si>
  <si>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</si>
  <si>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</si>
  <si>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</si>
  <si>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</si>
  <si>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</si>
  <si>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</si>
  <si>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</si>
  <si>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</si>
  <si>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</si>
  <si>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</si>
  <si>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</si>
  <si>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</si>
  <si>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</si>
  <si>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</si>
  <si>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</si>
  <si>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</si>
  <si>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</si>
  <si>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</si>
  <si>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</si>
  <si>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</si>
  <si>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</si>
  <si>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</si>
  <si>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</si>
  <si>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</si>
  <si>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</si>
  <si>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</si>
  <si>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</si>
  <si>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</si>
  <si>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</si>
  <si>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</si>
  <si>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</si>
  <si>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</si>
  <si>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</si>
  <si>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</si>
  <si>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</si>
  <si>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</si>
  <si>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</si>
  <si>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</si>
  <si>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</si>
  <si>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</si>
  <si>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</si>
  <si>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</si>
  <si>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</si>
  <si>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</si>
  <si>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</si>
  <si>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</si>
  <si>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</si>
  <si>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</si>
  <si>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</si>
  <si>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</si>
  <si>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</si>
  <si>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</si>
  <si>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</si>
  <si>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</si>
  <si>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</si>
  <si>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</si>
  <si>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</si>
  <si>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</si>
  <si>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</si>
  <si>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</si>
  <si>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</si>
  <si>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</si>
  <si>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</si>
  <si>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</si>
  <si>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</si>
  <si>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</si>
  <si>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</si>
  <si>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</si>
  <si>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</si>
  <si>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</si>
  <si>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</si>
  <si>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</si>
  <si>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</si>
  <si>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</si>
  <si>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</si>
  <si>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</si>
  <si>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</si>
  <si>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</si>
  <si>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</si>
  <si>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</si>
  <si>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</si>
  <si>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</si>
  <si>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</si>
  <si>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</si>
  <si>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</si>
  <si>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</si>
  <si>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</si>
  <si>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</si>
  <si>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</si>
  <si>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</si>
  <si>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</si>
  <si>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</si>
  <si>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</si>
  <si>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</si>
  <si>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</si>
  <si>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</si>
  <si>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</si>
  <si>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</si>
  <si>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</si>
  <si>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</si>
  <si>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</si>
  <si>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</si>
  <si>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</si>
  <si>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</si>
  <si>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</si>
  <si>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</si>
  <si>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</si>
  <si>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</si>
  <si>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</si>
  <si>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</si>
  <si>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</si>
  <si>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</si>
  <si>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</si>
  <si>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</si>
  <si>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</si>
  <si>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</si>
  <si>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</si>
  <si>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</si>
  <si>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</si>
  <si>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</si>
  <si>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</si>
  <si>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</si>
  <si>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</si>
  <si>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</si>
  <si>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</si>
  <si>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</si>
  <si>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</si>
  <si>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</si>
  <si>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</si>
  <si>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</si>
  <si>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</si>
  <si>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</si>
  <si>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</si>
  <si>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</si>
  <si>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</si>
  <si>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</si>
  <si>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</si>
  <si>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</si>
  <si>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</si>
  <si>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</si>
  <si>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</si>
  <si>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</si>
  <si>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</si>
  <si>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</si>
  <si>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</si>
  <si>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</si>
  <si>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</si>
  <si>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</si>
  <si>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</si>
  <si>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</si>
  <si>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</si>
  <si>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</si>
  <si>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</si>
  <si>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</si>
  <si>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</si>
  <si>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</si>
  <si>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</si>
  <si>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</si>
  <si>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</si>
  <si>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</si>
  <si>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</si>
  <si>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</si>
  <si>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</si>
  <si>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</si>
  <si>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</si>
  <si>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</si>
  <si>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</si>
  <si>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</si>
  <si>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</si>
  <si>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</si>
  <si>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</si>
  <si>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</si>
  <si>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</si>
  <si>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</si>
  <si>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</si>
  <si>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</si>
  <si>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</si>
  <si>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</si>
  <si>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</si>
  <si>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</si>
  <si>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</si>
  <si>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</si>
  <si>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</si>
  <si>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</si>
  <si>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</si>
  <si>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</si>
  <si>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</si>
  <si>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</si>
  <si>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</si>
  <si>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</si>
  <si>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</si>
  <si>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</si>
  <si>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</si>
  <si>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</si>
  <si>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</si>
  <si>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</si>
  <si>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</si>
  <si>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</si>
  <si>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</si>
  <si>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</si>
  <si>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</si>
  <si>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</si>
  <si>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</si>
  <si>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</si>
  <si>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</si>
  <si>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</si>
  <si>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</si>
  <si>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</si>
  <si>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</si>
  <si>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</si>
  <si>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</si>
  <si>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</si>
  <si>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</si>
  <si>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</si>
  <si>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</si>
  <si>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</si>
  <si>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</si>
  <si>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</si>
  <si>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</si>
  <si>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</si>
  <si>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</si>
  <si>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</si>
  <si>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</si>
  <si>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</si>
  <si>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</si>
  <si>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</si>
  <si>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</si>
  <si>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</si>
  <si>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</si>
  <si>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</si>
  <si>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</si>
  <si>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</si>
  <si>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</si>
  <si>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</si>
  <si>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</si>
  <si>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</si>
  <si>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</si>
  <si>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</si>
  <si>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</si>
  <si>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</si>
  <si>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</si>
  <si>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</si>
  <si>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</si>
  <si>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</si>
  <si>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</si>
  <si>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</si>
  <si>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</si>
  <si>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</si>
  <si>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</si>
  <si>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</si>
  <si>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</si>
  <si>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</si>
  <si>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</si>
  <si>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</si>
  <si>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</si>
  <si>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</si>
  <si>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</si>
  <si>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</si>
  <si>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</si>
  <si>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</si>
  <si>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</si>
  <si>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</si>
  <si>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</si>
  <si>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</si>
  <si>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</si>
  <si>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</si>
  <si>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</si>
  <si>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</si>
  <si>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</si>
  <si>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</si>
  <si>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</si>
  <si>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</si>
  <si>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</si>
  <si>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</si>
  <si>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</si>
  <si>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</si>
  <si>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</si>
  <si>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</si>
  <si>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</si>
  <si>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</si>
  <si>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</si>
  <si>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</si>
  <si>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</si>
  <si>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</si>
  <si>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</si>
  <si>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</si>
  <si>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</si>
  <si>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</si>
  <si>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</si>
  <si>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</si>
  <si>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</si>
  <si>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</si>
  <si>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</si>
  <si>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</si>
  <si>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</si>
  <si>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</si>
  <si>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</si>
  <si>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</si>
  <si>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</si>
  <si>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</si>
  <si>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</si>
  <si>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</si>
  <si>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</si>
  <si>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</si>
  <si>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</si>
  <si>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</si>
  <si>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</si>
  <si>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</si>
  <si>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</si>
  <si>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</si>
  <si>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</si>
  <si>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</si>
  <si>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</si>
  <si>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</si>
  <si>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</si>
  <si>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</si>
  <si>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</si>
  <si>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</si>
  <si>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</si>
  <si>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</si>
  <si>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</si>
  <si>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</si>
  <si>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</si>
  <si>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</si>
  <si>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</si>
  <si>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</si>
  <si>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</si>
  <si>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</si>
  <si>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</si>
  <si>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</si>
  <si>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</si>
  <si>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</si>
  <si>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</si>
  <si>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</si>
  <si>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</si>
  <si>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</si>
  <si>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</si>
  <si>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</si>
  <si>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</si>
  <si>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</si>
  <si>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</si>
  <si>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</si>
  <si>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</si>
  <si>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</si>
  <si>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</si>
  <si>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</si>
  <si>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</si>
  <si>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</si>
  <si>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</si>
  <si>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</si>
  <si>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</si>
  <si>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</si>
  <si>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</si>
  <si>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</si>
  <si>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</si>
  <si>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</si>
  <si>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</si>
  <si>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</si>
  <si>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</si>
  <si>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</si>
  <si>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</si>
  <si>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</si>
  <si>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</si>
  <si>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</si>
  <si>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</si>
  <si>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</si>
  <si>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</si>
  <si>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</si>
  <si>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</si>
  <si>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</si>
  <si>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</si>
  <si>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</si>
  <si>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</si>
  <si>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</si>
  <si>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</si>
  <si>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</si>
  <si>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</si>
  <si>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</si>
  <si>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</si>
  <si>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</si>
  <si>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</si>
  <si>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</si>
  <si>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</si>
  <si>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</si>
  <si>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</si>
  <si>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</si>
  <si>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</si>
  <si>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</si>
  <si>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</si>
  <si>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</si>
  <si>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</si>
  <si>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</si>
  <si>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</si>
  <si>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</si>
  <si>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</si>
  <si>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</si>
  <si>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</si>
  <si>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</si>
  <si>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</si>
  <si>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</si>
  <si>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</si>
  <si>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</si>
  <si>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</si>
  <si>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</si>
  <si>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</si>
  <si>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</si>
  <si>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</si>
  <si>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</si>
  <si>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</si>
  <si>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</si>
  <si>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</si>
  <si>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</si>
  <si>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</si>
  <si>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</si>
  <si>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</si>
  <si>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</si>
  <si>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</si>
  <si>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</si>
  <si>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</si>
  <si>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</si>
  <si>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</si>
  <si>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</si>
  <si>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</si>
  <si>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</si>
  <si>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</si>
  <si>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</si>
  <si>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</si>
  <si>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</si>
  <si>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</si>
  <si>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</si>
  <si>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</si>
  <si>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</si>
  <si>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</si>
  <si>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</si>
  <si>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</si>
  <si>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</si>
  <si>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</si>
  <si>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</si>
  <si>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</si>
  <si>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</si>
  <si>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</si>
  <si>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</si>
  <si>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</si>
  <si>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</si>
  <si>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</si>
  <si>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</si>
  <si>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</si>
  <si>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</si>
  <si>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</si>
  <si>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</si>
  <si>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</si>
  <si>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</si>
  <si>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</si>
  <si>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</si>
  <si>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</si>
  <si>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</si>
  <si>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</si>
  <si>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</si>
  <si>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</si>
  <si>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</si>
  <si>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</si>
  <si>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</si>
  <si>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</si>
  <si>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</si>
  <si>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</si>
  <si>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</si>
  <si>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</si>
  <si>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</si>
  <si>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</si>
  <si>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</si>
  <si>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</si>
  <si>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</si>
  <si>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</si>
  <si>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</si>
  <si>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</si>
  <si>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</si>
  <si>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</si>
  <si>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</si>
  <si>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</si>
  <si>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</si>
  <si>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</si>
  <si>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</si>
  <si>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</si>
  <si>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</si>
  <si>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</si>
  <si>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</si>
  <si>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</si>
  <si>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</si>
  <si>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</si>
  <si>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</si>
  <si>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</si>
  <si>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</si>
  <si>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</si>
  <si>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</si>
  <si>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</si>
  <si>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</si>
  <si>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</si>
  <si>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</si>
  <si>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</si>
  <si>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</si>
  <si>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</si>
  <si>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</si>
  <si>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</si>
  <si>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</si>
  <si>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</si>
  <si>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</si>
  <si>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</si>
  <si>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</si>
  <si>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</si>
  <si>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</si>
  <si>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</si>
  <si>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</si>
  <si>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</si>
  <si>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</si>
  <si>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</si>
  <si>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</si>
  <si>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</si>
  <si>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</si>
  <si>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</si>
  <si>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</si>
  <si>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</si>
  <si>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</si>
  <si>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</si>
  <si>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</si>
  <si>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</si>
  <si>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</si>
  <si>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</si>
  <si>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</si>
  <si>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</si>
  <si>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</si>
  <si>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</si>
  <si>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</si>
  <si>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</si>
  <si>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</si>
  <si>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</si>
  <si>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</si>
  <si>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</si>
  <si>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</si>
  <si>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</si>
  <si>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</si>
  <si>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</si>
  <si>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</si>
  <si>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</si>
  <si>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</si>
  <si>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</si>
  <si>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</si>
  <si>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</si>
  <si>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</si>
  <si>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</si>
  <si>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</si>
  <si>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</si>
  <si>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</si>
  <si>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</si>
  <si>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</si>
  <si>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</si>
  <si>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</si>
  <si>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</si>
  <si>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</si>
  <si>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</si>
  <si>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</si>
  <si>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</si>
  <si>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</si>
  <si>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</si>
  <si>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</si>
  <si>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</si>
  <si>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</si>
  <si>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</si>
  <si>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</si>
  <si>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</si>
  <si>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</si>
  <si>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</si>
  <si>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</si>
  <si>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</si>
  <si>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</si>
  <si>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</si>
  <si>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</si>
  <si>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</si>
  <si>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</si>
  <si>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</si>
  <si>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</si>
  <si>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</si>
  <si>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</si>
  <si>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</si>
  <si>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</si>
  <si>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</si>
  <si>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</si>
  <si>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</si>
  <si>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</si>
  <si>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</si>
  <si>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</si>
  <si>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</si>
  <si>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</si>
  <si>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</si>
  <si>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</si>
  <si>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</si>
  <si>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</si>
  <si>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</si>
  <si>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</si>
  <si>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</si>
  <si>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</si>
  <si>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</si>
  <si>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</si>
  <si>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</si>
  <si>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</si>
  <si>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</si>
  <si>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</si>
  <si>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</si>
  <si>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</si>
  <si>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</si>
  <si>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</si>
  <si>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</si>
  <si>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</si>
  <si>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</si>
  <si>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</si>
  <si>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</si>
  <si>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</si>
  <si>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</si>
  <si>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</si>
  <si>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</si>
  <si>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</si>
  <si>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</si>
  <si>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</si>
  <si>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</si>
  <si>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</si>
  <si>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</si>
  <si>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</si>
  <si>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</si>
  <si>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</si>
  <si>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</si>
  <si>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</si>
  <si>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</si>
  <si>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</si>
  <si>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</si>
  <si>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</si>
  <si>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</si>
  <si>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</si>
  <si>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</si>
  <si>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</si>
  <si>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</si>
  <si>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</si>
  <si>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</si>
  <si>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</si>
  <si>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</si>
  <si>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</si>
  <si>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</si>
  <si>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</si>
  <si>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</si>
  <si>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</si>
  <si>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</si>
  <si>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</si>
  <si>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</si>
  <si>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</si>
  <si>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</si>
  <si>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</si>
  <si>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</si>
  <si>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</si>
  <si>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</si>
  <si>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</si>
  <si>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</si>
  <si>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</si>
  <si>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</si>
  <si>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</si>
  <si>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</si>
  <si>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</si>
  <si>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</si>
  <si>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</si>
  <si>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</si>
  <si>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</si>
  <si>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</si>
  <si>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</si>
  <si>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</si>
  <si>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</si>
  <si>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</si>
  <si>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</si>
  <si>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</si>
  <si>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</si>
  <si>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</si>
  <si>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</si>
  <si>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</si>
  <si>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</si>
  <si>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</si>
  <si>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</si>
  <si>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</si>
  <si>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</si>
  <si>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</si>
  <si>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</si>
  <si>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</si>
  <si>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</si>
  <si>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</si>
  <si>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</si>
  <si>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</si>
  <si>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</si>
  <si>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</si>
  <si>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</si>
  <si>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</si>
  <si>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</si>
  <si>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</si>
  <si>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</si>
  <si>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</si>
  <si>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</si>
  <si>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</si>
  <si>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</si>
  <si>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</si>
  <si>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</si>
  <si>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</si>
  <si>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</si>
  <si>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</si>
  <si>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</si>
  <si>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</si>
  <si>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</si>
  <si>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</si>
  <si>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</si>
  <si>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</si>
  <si>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</si>
  <si>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</si>
  <si>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</si>
  <si>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</si>
  <si>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</si>
  <si>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</si>
  <si>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</si>
  <si>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</si>
  <si>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</si>
  <si>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</si>
  <si>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</si>
  <si>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</si>
  <si>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</si>
  <si>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</si>
  <si>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</si>
  <si>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</si>
  <si>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</si>
  <si>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</si>
  <si>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</si>
  <si>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</si>
  <si>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</si>
  <si>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</si>
  <si>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</si>
  <si>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</si>
  <si>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</si>
  <si>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</si>
  <si>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</si>
  <si>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</si>
  <si>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</si>
  <si>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</si>
  <si>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</si>
  <si>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</si>
  <si>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</si>
  <si>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</si>
  <si>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</si>
  <si>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</si>
  <si>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</si>
  <si>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</si>
  <si>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</si>
  <si>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</si>
  <si>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</si>
  <si>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</si>
  <si>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</si>
  <si>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</si>
  <si>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</si>
  <si>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</si>
  <si>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</si>
  <si>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</si>
  <si>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</si>
  <si>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</si>
  <si>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</si>
  <si>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</si>
  <si>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</si>
  <si>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</si>
  <si>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</si>
  <si>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</si>
  <si>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</si>
  <si>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</si>
  <si>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</si>
  <si>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</si>
  <si>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</si>
  <si>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</si>
  <si>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</si>
  <si>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</si>
  <si>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</si>
  <si>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</si>
  <si>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</si>
  <si>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</si>
  <si>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</si>
  <si>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</si>
  <si>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</si>
  <si>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</si>
  <si>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</si>
  <si>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</si>
  <si>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</si>
  <si>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</si>
  <si>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</si>
  <si>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</si>
  <si>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</si>
  <si>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</si>
  <si>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</si>
  <si>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</si>
  <si>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</si>
  <si>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</si>
  <si>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</si>
  <si>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</si>
  <si>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</si>
  <si>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</si>
  <si>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</si>
  <si>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</si>
  <si>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</si>
  <si>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</si>
  <si>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</si>
  <si>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</si>
  <si>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</si>
  <si>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</si>
  <si>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</si>
  <si>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</si>
  <si>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</si>
  <si>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</si>
  <si>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</si>
  <si>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</si>
  <si>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</si>
  <si>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</si>
  <si>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</si>
  <si>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</si>
  <si>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</si>
  <si>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</si>
  <si>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</si>
  <si>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</si>
  <si>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</si>
  <si>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</si>
  <si>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</si>
  <si>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</si>
  <si>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</si>
  <si>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</si>
  <si>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</si>
  <si>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</si>
  <si>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</si>
  <si>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</si>
  <si>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</si>
  <si>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</si>
  <si>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</si>
  <si>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</si>
  <si>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</si>
  <si>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</si>
  <si>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</si>
  <si>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</si>
  <si>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</si>
  <si>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</si>
  <si>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</si>
  <si>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</si>
  <si>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</si>
  <si>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</si>
  <si>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</si>
  <si>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</si>
  <si>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</si>
  <si>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</si>
  <si>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</si>
  <si>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</si>
  <si>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</si>
  <si>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</si>
  <si>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</si>
  <si>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</si>
  <si>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</si>
  <si>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</si>
  <si>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</si>
  <si>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</si>
  <si>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</si>
  <si>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</si>
  <si>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</si>
  <si>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</si>
  <si>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</si>
  <si>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</si>
  <si>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</si>
  <si>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</si>
  <si>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</si>
  <si>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</si>
  <si>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</si>
  <si>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</si>
  <si>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</si>
  <si>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</si>
  <si>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</si>
  <si>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</si>
  <si>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</si>
  <si>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</si>
  <si>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</si>
  <si>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</si>
  <si>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</si>
  <si>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</si>
  <si>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</si>
  <si>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</si>
  <si>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</si>
  <si>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</si>
  <si>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</si>
  <si>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</si>
  <si>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</si>
  <si>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</si>
  <si>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</si>
  <si>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</si>
  <si>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</si>
  <si>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</si>
  <si>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</si>
  <si>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</si>
  <si>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</si>
  <si>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</si>
  <si>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</si>
  <si>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</si>
  <si>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</si>
  <si>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</si>
  <si>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</si>
  <si>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</si>
  <si>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</si>
  <si>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</si>
  <si>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</si>
  <si>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</si>
  <si>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</si>
  <si>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</si>
  <si>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</si>
  <si>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</si>
  <si>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</si>
  <si>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</si>
  <si>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</si>
  <si>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</si>
  <si>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</si>
  <si>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</si>
  <si>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</si>
  <si>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</si>
  <si>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</si>
  <si>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</si>
  <si>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</si>
  <si>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</si>
  <si>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</si>
  <si>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</si>
  <si>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</si>
  <si>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</si>
  <si>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</si>
  <si>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</si>
  <si>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</si>
  <si>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</si>
  <si>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</si>
  <si>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</si>
  <si>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</si>
  <si>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</si>
  <si>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</si>
  <si>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</si>
  <si>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</si>
  <si>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</si>
  <si>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</si>
  <si>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</si>
  <si>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</si>
  <si>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</si>
  <si>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</si>
  <si>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</si>
  <si>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</si>
  <si>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</si>
  <si>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</si>
  <si>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</si>
  <si>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</si>
  <si>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</si>
  <si>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</si>
  <si>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</si>
  <si>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</si>
  <si>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</si>
  <si>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</si>
  <si>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</si>
  <si>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</si>
  <si>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</si>
  <si>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</si>
  <si>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</si>
  <si>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</si>
  <si>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</si>
  <si>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</si>
  <si>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</si>
  <si>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</si>
  <si>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</si>
  <si>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</si>
  <si>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</si>
  <si>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</si>
  <si>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</si>
  <si>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</si>
  <si>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</si>
  <si>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</si>
  <si>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</si>
  <si>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</si>
  <si>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</si>
  <si>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</si>
  <si>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</si>
  <si>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</si>
  <si>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</si>
  <si>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</si>
  <si>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</si>
  <si>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</si>
  <si>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</si>
  <si>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</si>
  <si>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</si>
  <si>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</si>
  <si>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</si>
  <si>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</si>
  <si>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</si>
  <si>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</si>
  <si>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</si>
  <si>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</si>
  <si>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</si>
  <si>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</si>
  <si>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</si>
  <si>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</si>
  <si>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</si>
  <si>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</si>
  <si>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</si>
  <si>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</si>
  <si>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</si>
  <si>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</si>
  <si>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</si>
  <si>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</si>
  <si>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</si>
  <si>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</si>
  <si>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</si>
  <si>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</si>
  <si>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</si>
  <si>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</si>
  <si>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</si>
  <si>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</si>
  <si>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</si>
  <si>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</si>
  <si>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</si>
  <si>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</si>
  <si>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</si>
  <si>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</si>
  <si>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</si>
  <si>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</si>
  <si>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</si>
  <si>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</si>
  <si>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</si>
  <si>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</si>
  <si>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</si>
  <si>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</si>
  <si>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</si>
  <si>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</si>
  <si>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</si>
  <si>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</si>
  <si>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</si>
  <si>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</si>
  <si>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</si>
  <si>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</si>
  <si>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</si>
  <si>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</si>
  <si>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</si>
  <si>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</si>
  <si>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</si>
  <si>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</si>
  <si>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</si>
  <si>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</si>
  <si>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</si>
  <si>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</si>
  <si>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</si>
  <si>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</si>
  <si>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</si>
  <si>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</si>
  <si>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</si>
  <si>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</si>
  <si>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</si>
  <si>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</si>
  <si>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</si>
  <si>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</si>
  <si>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</si>
  <si>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</si>
  <si>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</si>
  <si>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</si>
  <si>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</si>
  <si>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</si>
  <si>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</si>
  <si>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</si>
  <si>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</si>
  <si>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</si>
  <si>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</si>
  <si>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</si>
  <si>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</si>
  <si>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</si>
  <si>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</si>
  <si>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</si>
  <si>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</si>
  <si>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</si>
  <si>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</si>
  <si>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</si>
  <si>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</si>
  <si>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</si>
  <si>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</si>
  <si>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</si>
  <si>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</si>
  <si>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</si>
  <si>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</si>
  <si>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</si>
  <si>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</si>
  <si>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</si>
  <si>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</si>
  <si>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</si>
  <si>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</si>
  <si>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</si>
  <si>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</si>
  <si>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</si>
  <si>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</si>
  <si>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</si>
  <si>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</si>
  <si>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</si>
  <si>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</si>
  <si>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</si>
  <si>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</si>
  <si>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</si>
  <si>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</si>
  <si>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</si>
  <si>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</si>
  <si>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</si>
  <si>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</si>
  <si>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</si>
  <si>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</si>
  <si>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</si>
  <si>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</si>
  <si>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</si>
  <si>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</si>
  <si>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</si>
  <si>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</si>
  <si>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</si>
  <si>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</si>
  <si>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</si>
  <si>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</si>
  <si>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</si>
  <si>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</si>
  <si>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</si>
  <si>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</si>
  <si>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</si>
  <si>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</si>
  <si>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</si>
  <si>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</si>
  <si>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</si>
  <si>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</si>
  <si>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</si>
  <si>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</si>
  <si>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</si>
  <si>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</si>
  <si>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</si>
  <si>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</si>
  <si>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</si>
  <si>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</si>
  <si>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</si>
  <si>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</si>
  <si>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</si>
  <si>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</si>
  <si>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</si>
  <si>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</si>
  <si>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</si>
  <si>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</si>
  <si>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</si>
  <si>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</si>
  <si>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</si>
  <si>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</si>
  <si>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</si>
  <si>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</si>
  <si>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</si>
  <si>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</si>
  <si>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</si>
  <si>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</si>
  <si>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</si>
  <si>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</si>
  <si>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</si>
  <si>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</si>
  <si>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</si>
  <si>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</si>
  <si>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</si>
  <si>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</si>
  <si>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</si>
  <si>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</si>
  <si>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</si>
  <si>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</si>
  <si>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</si>
  <si>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</si>
  <si>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</si>
  <si>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</si>
  <si>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</si>
  <si>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</si>
  <si>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</si>
  <si>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</si>
  <si>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</si>
  <si>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</si>
  <si>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</si>
  <si>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</si>
  <si>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</si>
  <si>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</si>
  <si>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</si>
  <si>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</si>
  <si>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</si>
  <si>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</si>
  <si>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</si>
  <si>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</si>
  <si>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</si>
  <si>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</si>
  <si>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</si>
  <si>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</si>
  <si>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</si>
  <si>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</si>
  <si>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</si>
  <si>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</si>
  <si>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</si>
  <si>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</si>
  <si>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</si>
  <si>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</si>
  <si>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</si>
  <si>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</si>
  <si>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</si>
  <si>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</si>
  <si>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</si>
  <si>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</si>
  <si>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</si>
  <si>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</si>
  <si>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</si>
  <si>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</si>
  <si>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</si>
  <si>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</si>
  <si>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</si>
  <si>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</si>
  <si>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</si>
  <si>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</si>
  <si>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</si>
  <si>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</si>
  <si>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</si>
  <si>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</si>
  <si>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</si>
  <si>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</si>
  <si>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</si>
  <si>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</si>
  <si>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</si>
  <si>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</si>
  <si>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</si>
  <si>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</si>
  <si>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</si>
  <si>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</si>
  <si>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</si>
  <si>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</si>
  <si>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</si>
  <si>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</si>
  <si>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</si>
  <si>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</si>
  <si>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</si>
  <si>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</si>
  <si>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</si>
  <si>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</si>
  <si>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</si>
  <si>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</si>
  <si>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</si>
  <si>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</si>
  <si>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</si>
  <si>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</si>
  <si>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</si>
  <si>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</si>
  <si>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</si>
  <si>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</si>
  <si>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</si>
  <si>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</si>
  <si>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</si>
  <si>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</si>
  <si>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</si>
  <si>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</si>
  <si>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</si>
  <si>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</si>
  <si>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</si>
  <si>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</si>
  <si>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</si>
  <si>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</si>
  <si>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</si>
  <si>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</si>
  <si>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</si>
  <si>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</si>
  <si>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</si>
  <si>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</si>
  <si>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</si>
  <si>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</si>
  <si>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</si>
  <si>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</si>
  <si>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</si>
  <si>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</si>
  <si>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</si>
  <si>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</si>
  <si>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</si>
  <si>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</si>
  <si>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</si>
  <si>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</si>
  <si>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</si>
  <si>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</si>
  <si>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</si>
  <si>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</si>
  <si>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</si>
  <si>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</si>
  <si>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</si>
  <si>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</si>
  <si>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</si>
  <si>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</si>
  <si>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</si>
  <si>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</si>
  <si>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</si>
  <si>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</si>
  <si>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</si>
  <si>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</si>
  <si>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</si>
  <si>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</si>
  <si>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</si>
  <si>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</si>
  <si>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</si>
  <si>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</si>
  <si>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</si>
  <si>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</si>
  <si>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</si>
  <si>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</si>
  <si>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</si>
  <si>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</si>
  <si>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</si>
  <si>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</si>
  <si>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</si>
  <si>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</si>
  <si>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</si>
  <si>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</si>
  <si>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</si>
  <si>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</si>
  <si>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</si>
  <si>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</si>
  <si>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</si>
  <si>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</si>
  <si>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</si>
  <si>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</si>
  <si>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</si>
  <si>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</si>
  <si>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</si>
  <si>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</si>
  <si>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</si>
  <si>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KONSTRUKSI TRAFO</t>
  </si>
  <si>
    <t>PEKERJAAN PEMASANGAN APP</t>
  </si>
  <si>
    <t>CM2-11</t>
  </si>
  <si>
    <t>Pemasangan APP 3 Fasa Di Bangunan</t>
  </si>
  <si>
    <t>JL SULTAN FATAH KEC. DEMAK</t>
  </si>
  <si>
    <t>Daya 33.000 VA</t>
  </si>
  <si>
    <t>KOORDINAT : -6.893222, 110.639846</t>
  </si>
  <si>
    <t>Demak, 15 Desember 2023</t>
  </si>
  <si>
    <t>MANAGER ULP</t>
  </si>
  <si>
    <t>ACHMAD SUHENDRO</t>
  </si>
  <si>
    <t>Staf teknik</t>
  </si>
  <si>
    <t>TL Teknik</t>
  </si>
  <si>
    <t>Manager ULP</t>
  </si>
  <si>
    <t>Manager Bag Perencanaan</t>
  </si>
  <si>
    <t>B2</t>
  </si>
  <si>
    <t>‎BNI ‎1946‎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</si>
</sst>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5"/>
    <xf numFmtId="0" fontId="90" fillId="0" borderId="96"/>
    <xf numFmtId="43" fontId="23" fillId="0" borderId="0" applyFont="0" applyFill="0" applyBorder="0" applyAlignment="0" applyProtection="0"/>
    <xf numFmtId="0" fontId="38" fillId="20" borderId="103" applyNumberFormat="0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8" fillId="21" borderId="99" applyNumberFormat="0" applyAlignment="0" applyProtection="0"/>
    <xf numFmtId="0" fontId="34" fillId="7" borderId="107" applyNumberFormat="0" applyAlignment="0" applyProtection="0"/>
    <xf numFmtId="0" fontId="40" fillId="0" borderId="104" applyNumberFormat="0" applyFill="0" applyAlignment="0" applyProtection="0"/>
    <xf numFmtId="0" fontId="7" fillId="0" borderId="0"/>
    <xf numFmtId="0" fontId="7" fillId="0" borderId="0"/>
    <xf numFmtId="0" fontId="89" fillId="0" borderId="106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40" fillId="0" borderId="110" applyNumberFormat="0" applyFill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7" fillId="0" borderId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43" fontId="7" fillId="0" borderId="0" applyFont="0" applyFill="0" applyBorder="0" applyAlignment="0" applyProtection="0"/>
    <xf numFmtId="0" fontId="80" fillId="23" borderId="105"/>
    <xf numFmtId="0" fontId="80" fillId="0" borderId="105"/>
    <xf numFmtId="0" fontId="80" fillId="0" borderId="100"/>
    <xf numFmtId="0" fontId="80" fillId="0" borderId="100"/>
    <xf numFmtId="0" fontId="75" fillId="0" borderId="105"/>
    <xf numFmtId="0" fontId="75" fillId="0" borderId="105"/>
    <xf numFmtId="0" fontId="75" fillId="0" borderId="111"/>
    <xf numFmtId="0" fontId="75" fillId="0" borderId="111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7" fillId="0" borderId="0"/>
    <xf numFmtId="0" fontId="7" fillId="0" borderId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17" fillId="27" borderId="108" applyNumberFormat="0" applyFont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38" fillId="20" borderId="103" applyNumberFormat="0" applyAlignment="0" applyProtection="0"/>
    <xf numFmtId="0" fontId="23" fillId="27" borderId="102" applyNumberFormat="0" applyFont="0" applyAlignment="0" applyProtection="0"/>
    <xf numFmtId="0" fontId="34" fillId="7" borderId="101" applyNumberFormat="0" applyAlignment="0" applyProtection="0"/>
    <xf numFmtId="0" fontId="27" fillId="20" borderId="101" applyNumberForma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34" fillId="7" borderId="107" applyNumberFormat="0" applyAlignment="0" applyProtection="0"/>
    <xf numFmtId="0" fontId="27" fillId="20" borderId="107" applyNumberFormat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89" fillId="0" borderId="112"/>
    <xf numFmtId="0" fontId="34" fillId="7" borderId="107" applyNumberFormat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5" fillId="0" borderId="111"/>
    <xf numFmtId="0" fontId="75" fillId="0" borderId="111"/>
    <xf numFmtId="0" fontId="80" fillId="0" borderId="100"/>
    <xf numFmtId="0" fontId="80" fillId="0" borderId="100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9" fontId="23" fillId="0" borderId="0" applyFont="0" applyFill="0" applyBorder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13"/>
    <xf numFmtId="0" fontId="89" fillId="0" borderId="113"/>
    <xf numFmtId="0" fontId="90" fillId="0" borderId="114"/>
    <xf numFmtId="0" fontId="90" fillId="0" borderId="114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11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75" fillId="0" borderId="140"/>
    <xf numFmtId="0" fontId="34" fillId="7" borderId="10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17" fillId="27" borderId="125" applyNumberFormat="0" applyFont="0" applyAlignment="0" applyProtection="0"/>
    <xf numFmtId="0" fontId="3" fillId="0" borderId="0"/>
    <xf numFmtId="0" fontId="34" fillId="7" borderId="117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27" fillId="20" borderId="136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" fillId="0" borderId="0"/>
    <xf numFmtId="194" fontId="44" fillId="28" borderId="125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3" fillId="0" borderId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7" fillId="20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23" fillId="27" borderId="125" applyNumberFormat="0" applyFont="0" applyAlignment="0" applyProtection="0"/>
    <xf numFmtId="0" fontId="38" fillId="20" borderId="126" applyNumberFormat="0" applyAlignment="0" applyProtection="0"/>
    <xf numFmtId="0" fontId="89" fillId="0" borderId="123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43" fontId="23" fillId="0" borderId="0" applyFont="0" applyFill="0" applyBorder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80" fillId="23" borderId="134"/>
    <xf numFmtId="0" fontId="80" fillId="0" borderId="134"/>
    <xf numFmtId="0" fontId="75" fillId="0" borderId="134"/>
    <xf numFmtId="0" fontId="75" fillId="0" borderId="134"/>
    <xf numFmtId="43" fontId="3" fillId="0" borderId="0" applyFont="0" applyFill="0" applyBorder="0" applyAlignment="0" applyProtection="0"/>
    <xf numFmtId="0" fontId="75" fillId="0" borderId="140"/>
    <xf numFmtId="0" fontId="75" fillId="0" borderId="128"/>
    <xf numFmtId="0" fontId="75" fillId="0" borderId="128"/>
    <xf numFmtId="0" fontId="80" fillId="0" borderId="140"/>
    <xf numFmtId="0" fontId="80" fillId="23" borderId="140"/>
    <xf numFmtId="0" fontId="80" fillId="0" borderId="128"/>
    <xf numFmtId="0" fontId="75" fillId="0" borderId="118"/>
    <xf numFmtId="0" fontId="75" fillId="0" borderId="118"/>
    <xf numFmtId="0" fontId="75" fillId="0" borderId="118"/>
    <xf numFmtId="0" fontId="75" fillId="0" borderId="118"/>
    <xf numFmtId="0" fontId="80" fillId="23" borderId="128"/>
    <xf numFmtId="0" fontId="80" fillId="0" borderId="118"/>
    <xf numFmtId="0" fontId="80" fillId="0" borderId="118"/>
    <xf numFmtId="0" fontId="80" fillId="23" borderId="118"/>
    <xf numFmtId="0" fontId="80" fillId="23" borderId="118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3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34" fillId="7" borderId="117" applyNumberFormat="0" applyAlignment="0" applyProtection="0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6" applyNumberFormat="0" applyAlignment="0" applyProtection="0"/>
    <xf numFmtId="0" fontId="89" fillId="0" borderId="115"/>
    <xf numFmtId="0" fontId="90" fillId="0" borderId="116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17" applyNumberFormat="0" applyAlignment="0" applyProtection="0"/>
    <xf numFmtId="0" fontId="23" fillId="27" borderId="137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0" borderId="0"/>
    <xf numFmtId="194" fontId="44" fillId="28" borderId="125" applyAlignment="0" applyProtection="0"/>
    <xf numFmtId="0" fontId="23" fillId="0" borderId="0"/>
    <xf numFmtId="0" fontId="34" fillId="7" borderId="136" applyNumberFormat="0" applyAlignment="0" applyProtection="0"/>
    <xf numFmtId="0" fontId="34" fillId="7" borderId="136" applyNumberForma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3" fillId="0" borderId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3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38" fillId="20" borderId="132" applyNumberFormat="0" applyAlignment="0" applyProtection="0"/>
    <xf numFmtId="0" fontId="23" fillId="27" borderId="131" applyNumberFormat="0" applyFont="0" applyAlignment="0" applyProtection="0"/>
    <xf numFmtId="0" fontId="89" fillId="0" borderId="129"/>
    <xf numFmtId="0" fontId="3" fillId="0" borderId="0"/>
    <xf numFmtId="0" fontId="27" fillId="20" borderId="13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89" fillId="0" borderId="122"/>
    <xf numFmtId="0" fontId="89" fillId="0" borderId="122"/>
    <xf numFmtId="0" fontId="17" fillId="27" borderId="137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0" fontId="34" fillId="7" borderId="124" applyNumberFormat="0" applyAlignment="0" applyProtection="0"/>
    <xf numFmtId="0" fontId="40" fillId="0" borderId="127" applyNumberFormat="0" applyFill="0" applyAlignment="0" applyProtection="0"/>
    <xf numFmtId="0" fontId="27" fillId="20" borderId="136" applyNumberFormat="0" applyAlignment="0" applyProtection="0"/>
    <xf numFmtId="0" fontId="34" fillId="7" borderId="107" applyNumberFormat="0" applyAlignment="0" applyProtection="0"/>
    <xf numFmtId="0" fontId="89" fillId="0" borderId="115"/>
    <xf numFmtId="0" fontId="23" fillId="27" borderId="137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38" fillId="20" borderId="126" applyNumberFormat="0" applyAlignment="0" applyProtection="0"/>
    <xf numFmtId="0" fontId="23" fillId="27" borderId="137" applyNumberFormat="0" applyFont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33" applyNumberFormat="0" applyFill="0" applyAlignment="0" applyProtection="0"/>
    <xf numFmtId="0" fontId="34" fillId="7" borderId="130" applyNumberFormat="0" applyAlignment="0" applyProtection="0"/>
    <xf numFmtId="0" fontId="40" fillId="0" borderId="127" applyNumberFormat="0" applyFill="0" applyAlignment="0" applyProtection="0"/>
    <xf numFmtId="0" fontId="17" fillId="27" borderId="137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3" fillId="0" borderId="0"/>
    <xf numFmtId="0" fontId="40" fillId="0" borderId="127" applyNumberFormat="0" applyFill="0" applyAlignment="0" applyProtection="0"/>
    <xf numFmtId="43" fontId="12" fillId="0" borderId="0" applyFont="0" applyFill="0" applyBorder="0" applyAlignment="0" applyProtection="0"/>
    <xf numFmtId="0" fontId="3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40" fillId="0" borderId="139" applyNumberFormat="0" applyFill="0" applyAlignment="0" applyProtection="0"/>
    <xf numFmtId="0" fontId="38" fillId="20" borderId="138" applyNumberFormat="0" applyAlignment="0" applyProtection="0"/>
    <xf numFmtId="0" fontId="23" fillId="27" borderId="137" applyNumberFormat="0" applyFont="0" applyAlignment="0" applyProtection="0"/>
    <xf numFmtId="0" fontId="89" fillId="0" borderId="135"/>
    <xf numFmtId="0" fontId="34" fillId="7" borderId="136" applyNumberFormat="0" applyAlignment="0" applyProtection="0"/>
    <xf numFmtId="0" fontId="27" fillId="20" borderId="136" applyNumberFormat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1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89" fillId="0" borderId="141"/>
    <xf numFmtId="0" fontId="34" fillId="7" borderId="136" applyNumberFormat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23" fillId="0" borderId="0"/>
  </cellStyleXfs>
  <cellXfs count="694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8" xfId="0" applyFont="1" applyFill="1" applyBorder="1" applyAlignment="1">
      <alignment horizontal="center" vertical="center"/>
    </xf>
    <xf numFmtId="0" fontId="121" fillId="33" borderId="69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9" xfId="2670" applyFont="1" applyFill="1" applyBorder="1" applyAlignment="1">
      <alignment horizontal="left" vertical="center"/>
    </xf>
    <xf numFmtId="0" fontId="162" fillId="39" borderId="80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4" xfId="2670" applyFont="1" applyFill="1" applyBorder="1" applyAlignment="1">
      <alignment horizontal="left" vertical="center"/>
    </xf>
    <xf numFmtId="0" fontId="162" fillId="39" borderId="85" xfId="2670" applyFont="1" applyFill="1" applyBorder="1" applyAlignment="1">
      <alignment horizontal="center" vertical="center"/>
    </xf>
    <xf numFmtId="167" fontId="143" fillId="40" borderId="81" xfId="2672" applyFont="1" applyFill="1" applyBorder="1" applyAlignment="1" applyProtection="1">
      <alignment horizontal="right" vertical="center" wrapText="1"/>
      <protection locked="0"/>
    </xf>
    <xf numFmtId="167" fontId="143" fillId="40" borderId="83" xfId="2672" applyFont="1" applyFill="1" applyBorder="1" applyAlignment="1" applyProtection="1">
      <alignment horizontal="right" vertical="center"/>
      <protection locked="0"/>
    </xf>
    <xf numFmtId="169" fontId="143" fillId="40" borderId="83" xfId="2672" applyNumberFormat="1" applyFont="1" applyFill="1" applyBorder="1" applyAlignment="1" applyProtection="1">
      <alignment horizontal="right" vertical="center"/>
      <protection locked="0"/>
    </xf>
    <xf numFmtId="169" fontId="143" fillId="40" borderId="86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0" xfId="2673" applyFont="1" applyFill="1" applyBorder="1" applyAlignment="1">
      <alignment vertical="center" wrapText="1"/>
    </xf>
    <xf numFmtId="0" fontId="149" fillId="43" borderId="90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4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45" fillId="0" borderId="20" xfId="1615" applyFont="1" applyBorder="1" applyAlignment="1">
      <alignment horizontal="center" vertical="center"/>
    </xf>
    <xf numFmtId="0" fontId="45" fillId="0" borderId="21" xfId="1615" applyFont="1" applyBorder="1" applyAlignment="1">
      <alignment horizontal="left" vertical="center" wrapText="1"/>
    </xf>
    <xf numFmtId="0" fontId="116" fillId="0" borderId="20" xfId="1653" applyFont="1" applyBorder="1" applyAlignment="1">
      <alignment horizontal="center" vertical="center"/>
    </xf>
    <xf numFmtId="0" fontId="177" fillId="0" borderId="20" xfId="1653" applyFont="1" applyBorder="1" applyAlignment="1">
      <alignment horizontal="center" vertical="center"/>
    </xf>
    <xf numFmtId="0" fontId="177" fillId="0" borderId="21" xfId="1653" applyFont="1" applyBorder="1" applyAlignment="1">
      <alignment vertical="center" wrapText="1"/>
    </xf>
    <xf numFmtId="0" fontId="23" fillId="0" borderId="21" xfId="1451" applyBorder="1" applyAlignment="1">
      <alignment horizontal="left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0" fontId="166" fillId="42" borderId="89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1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3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1" xfId="2673" applyNumberFormat="1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66" fillId="41" borderId="89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6" xfId="2670" applyFill="1" applyBorder="1" applyAlignment="1">
      <alignment horizontal="center" vertical="center"/>
    </xf>
    <xf numFmtId="0" fontId="141" fillId="0" borderId="77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left" vertical="center"/>
    </xf>
    <xf numFmtId="0" fontId="94" fillId="33" borderId="40" xfId="0" applyFont="1" applyFill="1" applyBorder="1" applyAlignment="1">
      <alignment horizontal="left" vertical="center"/>
    </xf>
    <xf numFmtId="0" fontId="122" fillId="33" borderId="74" xfId="0" applyFont="1" applyFill="1" applyBorder="1" applyAlignment="1">
      <alignment horizontal="center" vertical="center" wrapText="1"/>
    </xf>
    <xf numFmtId="0" fontId="122" fillId="33" borderId="75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0" borderId="60" xfId="1450" applyFont="1" applyBorder="1" applyAlignment="1">
      <alignment horizontal="left" vertical="center"/>
    </xf>
    <xf numFmtId="0" fontId="94" fillId="0" borderId="61" xfId="1450" applyFont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center"/>
    </xf>
    <xf numFmtId="0" fontId="121" fillId="33" borderId="72" xfId="0" applyFont="1" applyFill="1" applyBorder="1" applyAlignment="1">
      <alignment horizontal="left" vertical="center"/>
    </xf>
    <xf numFmtId="0" fontId="121" fillId="33" borderId="73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9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9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73720E7-A420-4542-B169-8235A252EC25}"/>
            </a:ext>
          </a:extLst>
        </xdr:cNvPr>
        <xdr:cNvGrpSpPr/>
      </xdr:nvGrpSpPr>
      <xdr:grpSpPr>
        <a:xfrm>
          <a:off x="9576305" y="838843"/>
          <a:ext cx="1375201" cy="1809908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149087</xdr:colOff>
      <xdr:row>27</xdr:row>
      <xdr:rowOff>140805</xdr:rowOff>
    </xdr:from>
    <xdr:to>
      <xdr:col>17</xdr:col>
      <xdr:colOff>231913</xdr:colOff>
      <xdr:row>28</xdr:row>
      <xdr:rowOff>16565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BD09257E-6218-4320-9131-11385E207451}"/>
            </a:ext>
          </a:extLst>
        </xdr:cNvPr>
        <xdr:cNvCxnSpPr/>
      </xdr:nvCxnSpPr>
      <xdr:spPr>
        <a:xfrm>
          <a:off x="1606826" y="4215848"/>
          <a:ext cx="4654826" cy="2484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221195</xdr:colOff>
      <xdr:row>24</xdr:row>
      <xdr:rowOff>9258</xdr:rowOff>
    </xdr:from>
    <xdr:to>
      <xdr:col>9</xdr:col>
      <xdr:colOff>339305</xdr:colOff>
      <xdr:row>24</xdr:row>
      <xdr:rowOff>135094</xdr:rowOff>
    </xdr:to>
    <xdr:grpSp>
      <xdr:nvGrpSpPr>
        <xdr:cNvPr id="307" name="Group 306">
          <a:extLst>
            <a:ext uri="{FF2B5EF4-FFF2-40B4-BE49-F238E27FC236}">
              <a16:creationId xmlns:a16="http://schemas.microsoft.com/office/drawing/2014/main" id="{D4EF0DD6-D74D-41EE-9FEF-A82920FCA027}"/>
            </a:ext>
          </a:extLst>
        </xdr:cNvPr>
        <xdr:cNvGrpSpPr/>
      </xdr:nvGrpSpPr>
      <xdr:grpSpPr>
        <a:xfrm>
          <a:off x="3197758" y="3759727"/>
          <a:ext cx="118110" cy="1258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8" name="Oval 307">
            <a:extLst>
              <a:ext uri="{FF2B5EF4-FFF2-40B4-BE49-F238E27FC236}">
                <a16:creationId xmlns:a16="http://schemas.microsoft.com/office/drawing/2014/main" id="{0F6C4484-9F66-4E11-98C7-8F67AAD02D4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FAAA8AF2-FB6E-4467-BB94-928E77BD539F}"/>
              </a:ext>
            </a:extLst>
          </xdr:cNvPr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718D2A31-E66C-4399-9E63-72E2D2DEA3F6}"/>
              </a:ext>
            </a:extLst>
          </xdr:cNvPr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162242</xdr:colOff>
      <xdr:row>31</xdr:row>
      <xdr:rowOff>133007</xdr:rowOff>
    </xdr:from>
    <xdr:to>
      <xdr:col>13</xdr:col>
      <xdr:colOff>314740</xdr:colOff>
      <xdr:row>40</xdr:row>
      <xdr:rowOff>82825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8783817-8CF4-43DD-9061-79D2AA9A3BFB}"/>
            </a:ext>
          </a:extLst>
        </xdr:cNvPr>
        <xdr:cNvSpPr/>
      </xdr:nvSpPr>
      <xdr:spPr>
        <a:xfrm>
          <a:off x="3524981" y="4796116"/>
          <a:ext cx="1295498" cy="1324731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rgbClr val="FF0000"/>
              </a:solidFill>
            </a:rPr>
            <a:t>BBNI</a:t>
          </a:r>
          <a:endParaRPr lang="ar-SA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322008</xdr:colOff>
      <xdr:row>24</xdr:row>
      <xdr:rowOff>116666</xdr:rowOff>
    </xdr:from>
    <xdr:to>
      <xdr:col>10</xdr:col>
      <xdr:colOff>162242</xdr:colOff>
      <xdr:row>36</xdr:row>
      <xdr:rowOff>49939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8CA87E90-45B4-4230-929C-FC0F3F3D4E2A}"/>
            </a:ext>
          </a:extLst>
        </xdr:cNvPr>
        <xdr:cNvCxnSpPr>
          <a:stCxn id="15" idx="1"/>
          <a:endCxn id="308" idx="5"/>
        </xdr:cNvCxnSpPr>
      </xdr:nvCxnSpPr>
      <xdr:spPr>
        <a:xfrm flipH="1" flipV="1">
          <a:off x="3303747" y="3744449"/>
          <a:ext cx="221234" cy="171403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300277</xdr:colOff>
      <xdr:row>27</xdr:row>
      <xdr:rowOff>86496</xdr:rowOff>
    </xdr:from>
    <xdr:to>
      <xdr:col>10</xdr:col>
      <xdr:colOff>136662</xdr:colOff>
      <xdr:row>30</xdr:row>
      <xdr:rowOff>27685</xdr:rowOff>
    </xdr:to>
    <xdr:sp macro="" textlink="">
      <xdr:nvSpPr>
        <xdr:cNvPr id="324" name="Rectangle 323">
          <a:extLst>
            <a:ext uri="{FF2B5EF4-FFF2-40B4-BE49-F238E27FC236}">
              <a16:creationId xmlns:a16="http://schemas.microsoft.com/office/drawing/2014/main" id="{6C4122C1-DE99-45D0-9D2D-5ADFACA463B7}"/>
            </a:ext>
          </a:extLst>
        </xdr:cNvPr>
        <xdr:cNvSpPr/>
      </xdr:nvSpPr>
      <xdr:spPr>
        <a:xfrm rot="4476992">
          <a:off x="3200625" y="4242930"/>
          <a:ext cx="380168" cy="21738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178077</xdr:colOff>
      <xdr:row>37</xdr:row>
      <xdr:rowOff>37271</xdr:rowOff>
    </xdr:from>
    <xdr:to>
      <xdr:col>10</xdr:col>
      <xdr:colOff>352011</xdr:colOff>
      <xdr:row>37</xdr:row>
      <xdr:rowOff>136663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3A0EE8F-43D1-4A7A-8B14-6F5F934E4860}"/>
            </a:ext>
          </a:extLst>
        </xdr:cNvPr>
        <xdr:cNvSpPr/>
      </xdr:nvSpPr>
      <xdr:spPr>
        <a:xfrm rot="16200000">
          <a:off x="3578087" y="5574196"/>
          <a:ext cx="99392" cy="17393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6</xdr:col>
      <xdr:colOff>123264</xdr:colOff>
      <xdr:row>24</xdr:row>
      <xdr:rowOff>67237</xdr:rowOff>
    </xdr:from>
    <xdr:to>
      <xdr:col>9</xdr:col>
      <xdr:colOff>221195</xdr:colOff>
      <xdr:row>24</xdr:row>
      <xdr:rowOff>72176</xdr:rowOff>
    </xdr:to>
    <xdr:cxnSp macro="">
      <xdr:nvCxnSpPr>
        <xdr:cNvPr id="329" name="Straight Connector 328">
          <a:extLst>
            <a:ext uri="{FF2B5EF4-FFF2-40B4-BE49-F238E27FC236}">
              <a16:creationId xmlns:a16="http://schemas.microsoft.com/office/drawing/2014/main" id="{43B4A66E-CD70-4447-BEDE-98202AC51CF2}"/>
            </a:ext>
          </a:extLst>
        </xdr:cNvPr>
        <xdr:cNvCxnSpPr>
          <a:endCxn id="308" idx="2"/>
        </xdr:cNvCxnSpPr>
      </xdr:nvCxnSpPr>
      <xdr:spPr>
        <a:xfrm>
          <a:off x="1961029" y="3832413"/>
          <a:ext cx="1240931" cy="493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339305</xdr:colOff>
      <xdr:row>24</xdr:row>
      <xdr:rowOff>72176</xdr:rowOff>
    </xdr:from>
    <xdr:to>
      <xdr:col>12</xdr:col>
      <xdr:colOff>148599</xdr:colOff>
      <xdr:row>24</xdr:row>
      <xdr:rowOff>97999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40D5FA34-12E7-47A5-89C8-FD36BAAAE02D}"/>
            </a:ext>
          </a:extLst>
        </xdr:cNvPr>
        <xdr:cNvCxnSpPr>
          <a:stCxn id="308" idx="6"/>
          <a:endCxn id="288" idx="2"/>
        </xdr:cNvCxnSpPr>
      </xdr:nvCxnSpPr>
      <xdr:spPr>
        <a:xfrm>
          <a:off x="3320070" y="3837352"/>
          <a:ext cx="952294" cy="25823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245945</xdr:colOff>
      <xdr:row>24</xdr:row>
      <xdr:rowOff>22690</xdr:rowOff>
    </xdr:from>
    <xdr:to>
      <xdr:col>15</xdr:col>
      <xdr:colOff>364055</xdr:colOff>
      <xdr:row>24</xdr:row>
      <xdr:rowOff>148526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0EE93A17-7801-41DE-9878-31721F8180D7}"/>
            </a:ext>
          </a:extLst>
        </xdr:cNvPr>
        <xdr:cNvGrpSpPr/>
      </xdr:nvGrpSpPr>
      <xdr:grpSpPr>
        <a:xfrm>
          <a:off x="5508508" y="3773159"/>
          <a:ext cx="118110" cy="125836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EA4EBB81-988C-48E3-B71A-F63D6BCD97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A35B95A5-543D-4A7B-9FB6-16FECE710917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0CEAAAFA-BDBD-4A8F-9EC9-D6957B65C6E1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148599</xdr:colOff>
      <xdr:row>24</xdr:row>
      <xdr:rowOff>38978</xdr:rowOff>
    </xdr:from>
    <xdr:to>
      <xdr:col>12</xdr:col>
      <xdr:colOff>266709</xdr:colOff>
      <xdr:row>25</xdr:row>
      <xdr:rowOff>136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688CD83C-57D0-411B-877C-4732EFD69A5B}"/>
            </a:ext>
          </a:extLst>
        </xdr:cNvPr>
        <xdr:cNvGrpSpPr/>
      </xdr:nvGrpSpPr>
      <xdr:grpSpPr>
        <a:xfrm>
          <a:off x="4268162" y="3789447"/>
          <a:ext cx="118110" cy="1159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67E00AA8-42EA-4B6A-B547-07EF303468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FAAB651D-EDCC-4567-B73A-79C77942CA12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05D921BF-D47F-48D2-B668-1E88173CBD94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266709</xdr:colOff>
      <xdr:row>24</xdr:row>
      <xdr:rowOff>85608</xdr:rowOff>
    </xdr:from>
    <xdr:to>
      <xdr:col>15</xdr:col>
      <xdr:colOff>245945</xdr:colOff>
      <xdr:row>24</xdr:row>
      <xdr:rowOff>97999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960E1E02-826D-4369-B043-5E7EA70FC63B}"/>
            </a:ext>
          </a:extLst>
        </xdr:cNvPr>
        <xdr:cNvCxnSpPr>
          <a:stCxn id="288" idx="6"/>
          <a:endCxn id="208" idx="2"/>
        </xdr:cNvCxnSpPr>
      </xdr:nvCxnSpPr>
      <xdr:spPr>
        <a:xfrm flipV="1">
          <a:off x="4390474" y="3850784"/>
          <a:ext cx="1122236" cy="1239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241631</xdr:colOff>
      <xdr:row>23</xdr:row>
      <xdr:rowOff>89674</xdr:rowOff>
    </xdr:from>
    <xdr:to>
      <xdr:col>8</xdr:col>
      <xdr:colOff>240799</xdr:colOff>
      <xdr:row>25</xdr:row>
      <xdr:rowOff>8885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5D1220E-ECC4-4C85-93E5-E327DF59AE01}"/>
            </a:ext>
          </a:extLst>
        </xdr:cNvPr>
        <xdr:cNvSpPr/>
      </xdr:nvSpPr>
      <xdr:spPr>
        <a:xfrm>
          <a:off x="2461370" y="3568370"/>
          <a:ext cx="380168" cy="21738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ysClr val="windowText" lastClr="000000"/>
              </a:solidFill>
            </a:rPr>
            <a:t>////</a:t>
          </a:r>
          <a:endParaRPr lang="ar-SA" sz="8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323022</xdr:colOff>
      <xdr:row>23</xdr:row>
      <xdr:rowOff>57978</xdr:rowOff>
    </xdr:from>
    <xdr:to>
      <xdr:col>11</xdr:col>
      <xdr:colOff>322190</xdr:colOff>
      <xdr:row>24</xdr:row>
      <xdr:rowOff>126276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D6775EA-1001-4081-8214-C352FBD7E7E7}"/>
            </a:ext>
          </a:extLst>
        </xdr:cNvPr>
        <xdr:cNvSpPr/>
      </xdr:nvSpPr>
      <xdr:spPr>
        <a:xfrm>
          <a:off x="3685761" y="3536674"/>
          <a:ext cx="380168" cy="21738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ysClr val="windowText" lastClr="000000"/>
              </a:solidFill>
            </a:rPr>
            <a:t>////</a:t>
          </a:r>
          <a:endParaRPr lang="ar-SA" sz="8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273326</xdr:colOff>
      <xdr:row>23</xdr:row>
      <xdr:rowOff>132522</xdr:rowOff>
    </xdr:from>
    <xdr:to>
      <xdr:col>14</xdr:col>
      <xdr:colOff>272494</xdr:colOff>
      <xdr:row>25</xdr:row>
      <xdr:rowOff>51733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8D4C778-F346-4A7D-B57D-8D86CC393438}"/>
            </a:ext>
          </a:extLst>
        </xdr:cNvPr>
        <xdr:cNvSpPr/>
      </xdr:nvSpPr>
      <xdr:spPr>
        <a:xfrm>
          <a:off x="4779065" y="3611218"/>
          <a:ext cx="380168" cy="21738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ysClr val="windowText" lastClr="000000"/>
              </a:solidFill>
            </a:rPr>
            <a:t>////</a:t>
          </a:r>
          <a:endParaRPr lang="ar-SA" sz="800" b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173183</xdr:colOff>
      <xdr:row>9</xdr:row>
      <xdr:rowOff>138547</xdr:rowOff>
    </xdr:from>
    <xdr:to>
      <xdr:col>19</xdr:col>
      <xdr:colOff>242456</xdr:colOff>
      <xdr:row>49</xdr:row>
      <xdr:rowOff>152065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10781-2D69-14B0-6F1C-6281311C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774" y="1697183"/>
          <a:ext cx="9161318" cy="62480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6" t="s">
        <v>1134</v>
      </c>
      <c r="C4" s="506"/>
      <c r="D4" s="506"/>
      <c r="E4" s="506"/>
      <c r="F4" s="506"/>
      <c r="G4" s="506"/>
      <c r="H4" s="50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7" t="s">
        <v>0</v>
      </c>
      <c r="C7" s="507" t="s">
        <v>1</v>
      </c>
      <c r="D7" s="508" t="s">
        <v>42</v>
      </c>
      <c r="E7" s="508" t="s">
        <v>43</v>
      </c>
      <c r="F7" s="508" t="s">
        <v>1135</v>
      </c>
      <c r="G7" s="509" t="s">
        <v>41</v>
      </c>
      <c r="H7" s="505" t="s">
        <v>1042</v>
      </c>
      <c r="I7" s="505" t="s">
        <v>1137</v>
      </c>
      <c r="J7" s="505" t="s">
        <v>1026</v>
      </c>
      <c r="K7" s="499" t="s">
        <v>1024</v>
      </c>
      <c r="L7" s="500"/>
    </row>
    <row r="8" spans="1:12" ht="15" customHeight="1">
      <c r="B8" s="507"/>
      <c r="C8" s="507"/>
      <c r="D8" s="508"/>
      <c r="E8" s="508"/>
      <c r="F8" s="508"/>
      <c r="G8" s="509"/>
      <c r="H8" s="505"/>
      <c r="I8" s="505"/>
      <c r="J8" s="505"/>
      <c r="K8" s="501"/>
      <c r="L8" s="502"/>
    </row>
    <row r="9" spans="1:12" ht="15" customHeight="1">
      <c r="B9" s="507"/>
      <c r="C9" s="507"/>
      <c r="D9" s="508"/>
      <c r="E9" s="508"/>
      <c r="F9" s="508"/>
      <c r="G9" s="509"/>
      <c r="H9" s="505"/>
      <c r="I9" s="505"/>
      <c r="J9" s="505"/>
      <c r="K9" s="503"/>
      <c r="L9" s="50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Modem 3G/4G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Unit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1113900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SUMIFS(RAB!$F$14:$F$47,RAB!$C$14:$C$47,C714)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SUMIFS(RAB!$F$14:$F$47,RAB!$C$14:$C$47,C715)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SUMIFS(RAB!$F$14:$F$47,RAB!$C$14:$C$47,C716)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SUMIFS(RAB!$F$14:$F$47,RAB!$C$14:$C$47,C717)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SUMIFS(RAB!$F$14:$F$47,RAB!$C$14:$C$47,C718)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SUMIFS(RAB!$F$14:$F$47,RAB!$C$14:$C$47,C719)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SUMIFS(RAB!$F$14:$F$47,RAB!$C$14:$C$47,C720)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SUMIFS(RAB!$F$14:$F$47,RAB!$C$14:$C$47,C721)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SUMIFS(RAB!$F$14:$F$47,RAB!$C$14:$C$47,C722)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SUMIFS(RAB!$F$14:$F$47,RAB!$C$14:$C$47,C723)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SUMIFS(RAB!$F$14:$F$47,RAB!$C$14:$C$47,C724)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SUMIFS(RAB!$F$14:$F$47,RAB!$C$14:$C$47,C725)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SUMIFS(RAB!$F$14:$F$47,RAB!$C$14:$C$47,C726)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SUMIFS(RAB!$F$14:$F$47,RAB!$C$14:$C$47,C727)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SUMIFS(RAB!$F$14:$F$47,RAB!$C$14:$C$47,C728)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SUMIFS(RAB!$F$14:$F$47,RAB!$C$14:$C$47,C729)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SUMIFS(RAB!$F$14:$F$47,RAB!$C$14:$C$47,C730)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SUMIFS(RAB!$F$14:$F$47,RAB!$C$14:$C$47,C731)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SUMIFS(RAB!$F$14:$F$47,RAB!$C$14:$C$47,C732)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SUMIFS(RAB!$F$14:$F$47,RAB!$C$14:$C$47,C733)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SUMIFS(RAB!$F$14:$F$47,RAB!$C$14:$C$47,C734)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SUMIFS(RAB!$F$14:$F$47,RAB!$C$14:$C$47,C735)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SUMIFS(RAB!$F$14:$F$47,RAB!$C$14:$C$47,C736)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SUMIFS(RAB!$F$14:$F$47,RAB!$C$14:$C$47,C737)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SUMIFS(RAB!$F$14:$F$47,RAB!$C$14:$C$47,C738)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SUMIFS(RAB!$F$14:$F$47,RAB!$C$14:$C$47,C739)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SUMIFS(RAB!$F$14:$F$47,RAB!$C$14:$C$47,C740)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SUMIFS(RAB!$F$14:$F$47,RAB!$C$14:$C$47,C741)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SUMIFS(RAB!$F$14:$F$47,RAB!$C$14:$C$47,C742)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SUMIFS(RAB!$F$14:$F$47,RAB!$C$14:$C$47,C743)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SUMIFS(RAB!$F$14:$F$47,RAB!$C$14:$C$47,C744)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SUMIFS(RAB!$F$14:$F$47,RAB!$C$14:$C$47,C745)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SUMIFS(RAB!$F$14:$F$47,RAB!$C$14:$C$47,C746)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SUMIFS(RAB!$F$14:$F$47,RAB!$C$14:$C$47,C747)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SUMIFS(RAB!$F$14:$F$47,RAB!$C$14:$C$47,C748)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SUMIFS(RAB!$F$14:$F$47,RAB!$C$14:$C$47,C749)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SUMIFS(RAB!$F$14:$F$47,RAB!$C$14:$C$47,C750)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SUMIFS(RAB!$F$14:$F$47,RAB!$C$14:$C$47,C751)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SUMIFS(RAB!$F$14:$F$47,RAB!$C$14:$C$47,C752)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SUMIFS(RAB!$F$14:$F$47,RAB!$C$14:$C$47,C753)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SUMIFS(RAB!$F$14:$F$47,RAB!$C$14:$C$47,C754)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SUMIFS(RAB!$F$14:$F$47,RAB!$C$14:$C$47,C755)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SUMIFS(RAB!$F$14:$F$47,RAB!$C$14:$C$47,C756)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SUMIFS(RAB!$F$14:$F$47,RAB!$C$14:$C$47,C757)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SUMIFS(RAB!$F$14:$F$47,RAB!$C$14:$C$47,C758)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SUMIFS(RAB!$F$14:$F$47,RAB!$C$14:$C$47,C759)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SUMIFS(RAB!$F$14:$F$47,RAB!$C$14:$C$47,C760)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SUMIFS(RAB!$F$14:$F$47,RAB!$C$14:$C$47,C761)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SUMIFS(RAB!$F$14:$F$47,RAB!$C$14:$C$47,C762)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SUMIFS(RAB!$F$14:$F$47,RAB!$C$14:$C$47,C763)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SUMIFS(RAB!$F$14:$F$47,RAB!$C$14:$C$47,C764)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SUMIFS(RAB!$F$14:$F$47,RAB!$C$14:$C$47,C765)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SUMIFS(RAB!$F$14:$F$47,RAB!$C$14:$C$47,C766)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SUMIFS(RAB!$F$14:$F$47,RAB!$C$14:$C$47,C767)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SUMIFS(RAB!$F$14:$F$47,RAB!$C$14:$C$47,C768)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SUMIFS(RAB!$F$14:$F$47,RAB!$C$14:$C$47,C769)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SUMIFS(RAB!$F$14:$F$47,RAB!$C$14:$C$47,C770)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SUMIFS(RAB!$F$14:$F$47,RAB!$C$14:$C$47,C771)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SUMIFS(RAB!$F$14:$F$47,RAB!$C$14:$C$47,C772)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SUMIFS(RAB!$F$14:$F$47,RAB!$C$14:$C$47,C773)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SUMIFS(RAB!$F$14:$F$47,RAB!$C$14:$C$47,C774)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SUMIFS(RAB!$F$14:$F$47,RAB!$C$14:$C$47,C775)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SUMIFS(RAB!$F$14:$F$47,RAB!$C$14:$C$47,C776)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SUMIFS(RAB!$F$14:$F$47,RAB!$C$14:$C$47,C777)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SUMIFS(RAB!$F$14:$F$47,RAB!$C$14:$C$47,C778)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SUMIFS(RAB!$F$14:$F$47,RAB!$C$14:$C$47,C779)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SUMIFS(RAB!$F$14:$F$47,RAB!$C$14:$C$47,C780)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SUMIFS(RAB!$F$14:$F$47,RAB!$C$14:$C$47,C781)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SUMIFS(RAB!$F$14:$F$47,RAB!$C$14:$C$47,C782)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SUMIFS(RAB!$F$14:$F$47,RAB!$C$14:$C$47,C783)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SUMIFS(RAB!$F$14:$F$47,RAB!$C$14:$C$47,C784)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SUMIFS(RAB!$F$14:$F$47,RAB!$C$14:$C$47,C785)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SUMIFS(RAB!$F$14:$F$47,RAB!$C$14:$C$47,C786)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SUMIFS(RAB!$F$14:$F$47,RAB!$C$14:$C$47,C787)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SUMIFS(RAB!$F$14:$F$47,RAB!$C$14:$C$47,C788)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SUMIFS(RAB!$F$14:$F$47,RAB!$C$14:$C$47,C789)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SUMIFS(RAB!$F$14:$F$47,RAB!$C$14:$C$47,C790)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SUMIFS(RAB!$F$14:$F$47,RAB!$C$14:$C$47,C791)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SUMIFS(RAB!$F$14:$F$47,RAB!$C$14:$C$47,C792)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SUMIFS(RAB!$F$14:$F$47,RAB!$C$14:$C$47,C793)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SUMIFS(RAB!$F$14:$F$47,RAB!$C$14:$C$47,C794)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SUMIFS(RAB!$F$14:$F$47,RAB!$C$14:$C$47,C795)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SUMIFS(RAB!$F$14:$F$47,RAB!$C$14:$C$47,C796)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SUMIFS(RAB!$F$14:$F$47,RAB!$C$14:$C$47,C797)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SUMIFS(RAB!$F$14:$F$47,RAB!$C$14:$C$47,C798)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SUMIFS(RAB!$F$14:$F$47,RAB!$C$14:$C$47,C799)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SUMIFS(RAB!$F$14:$F$47,RAB!$C$14:$C$47,C800)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SUMIFS(RAB!$F$14:$F$47,RAB!$C$14:$C$47,C801)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SUMIFS(RAB!$F$14:$F$47,RAB!$C$14:$C$47,C802)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SUMIFS(RAB!$F$14:$F$47,RAB!$C$14:$C$47,C803)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SUMIFS(RAB!$F$14:$F$47,RAB!$C$14:$C$47,C804)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SUMIFS(RAB!$F$14:$F$47,RAB!$C$14:$C$47,C805)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SUMIFS(RAB!$F$14:$F$47,RAB!$C$14:$C$47,C806)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SUMIFS(RAB!$F$14:$F$47,RAB!$C$14:$C$47,C807)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SUMIFS(RAB!$F$14:$F$47,RAB!$C$14:$C$47,C808)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SUMIFS(RAB!$F$14:$F$47,RAB!$C$14:$C$47,C809)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SUMIFS(RAB!$F$14:$F$47,RAB!$C$14:$C$47,C810)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SUMIFS(RAB!$F$14:$F$47,RAB!$C$14:$C$47,C811)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SUMIFS(RAB!$F$14:$F$47,RAB!$C$14:$C$47,C812)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SUMIFS(RAB!$F$14:$F$47,RAB!$C$14:$C$47,C813)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SUMIFS(RAB!$F$14:$F$47,RAB!$C$14:$C$47,C814)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SUMIFS(RAB!$F$14:$F$47,RAB!$C$14:$C$47,C815)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SUMIFS(RAB!$F$14:$F$47,RAB!$C$14:$C$47,C816)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SUMIFS(RAB!$F$14:$F$47,RAB!$C$14:$C$47,C817)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SUMIFS(RAB!$F$14:$F$47,RAB!$C$14:$C$47,C818)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SUMIFS(RAB!$F$14:$F$47,RAB!$C$14:$C$47,C819)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SUMIFS(RAB!$F$14:$F$47,RAB!$C$14:$C$47,C820)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SUMIFS(RAB!$F$14:$F$47,RAB!$C$14:$C$47,C821)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SUMIFS(RAB!$F$14:$F$47,RAB!$C$14:$C$47,C822)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SUMIFS(RAB!$F$14:$F$47,RAB!$C$14:$C$47,C823)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SUMIFS(RAB!$F$14:$F$47,RAB!$C$14:$C$47,C824)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SUMIFS(RAB!$F$14:$F$47,RAB!$C$14:$C$47,C825)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SUMIFS(RAB!$F$14:$F$47,RAB!$C$14:$C$47,C826)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SUMIFS(RAB!$F$14:$F$47,RAB!$C$14:$C$47,C827)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SUMIFS(RAB!$F$14:$F$47,RAB!$C$14:$C$47,C828)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SUMIFS(RAB!$F$14:$F$47,RAB!$C$14:$C$47,C829)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SUMIFS(RAB!$F$14:$F$47,RAB!$C$14:$C$47,C830)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SUMIFS(RAB!$F$14:$F$47,RAB!$C$14:$C$47,C831)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SUMIFS(RAB!$F$14:$F$47,RAB!$C$14:$C$47,C832)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SUMIFS(RAB!$F$14:$F$47,RAB!$C$14:$C$47,C833)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SUMIFS(RAB!$F$14:$F$47,RAB!$C$14:$C$47,C834)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SUMIFS(RAB!$F$14:$F$47,RAB!$C$14:$C$47,C835)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SUMIFS(RAB!$F$14:$F$47,RAB!$C$14:$C$47,C836)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SUMIFS(RAB!$F$14:$F$47,RAB!$C$14:$C$47,C837)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SUMIFS(RAB!$F$14:$F$47,RAB!$C$14:$C$47,C838)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SUMIFS(RAB!$F$14:$F$47,RAB!$C$14:$C$47,C839)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SUMIFS(RAB!$F$14:$F$47,RAB!$C$14:$C$47,C840)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SUMIFS(RAB!$F$14:$F$47,RAB!$C$14:$C$47,C841)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SUMIFS(RAB!$F$14:$F$47,RAB!$C$14:$C$47,C842)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SUMIFS(RAB!$F$14:$F$47,RAB!$C$14:$C$47,C843)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SUMIFS(RAB!$F$14:$F$47,RAB!$C$14:$C$47,C844)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SUMIFS(RAB!$F$14:$F$47,RAB!$C$14:$C$47,C845)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SUMIFS(RAB!$F$14:$F$47,RAB!$C$14:$C$47,C846)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SUMIFS(RAB!$F$14:$F$47,RAB!$C$14:$C$47,C847)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SUMIFS(RAB!$F$14:$F$47,RAB!$C$14:$C$47,C848)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SUMIFS(RAB!$F$14:$F$47,RAB!$C$14:$C$47,C849)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SUMIFS(RAB!$F$14:$F$47,RAB!$C$14:$C$47,C850)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SUMIFS(RAB!$F$14:$F$47,RAB!$C$14:$C$47,C851)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SUMIFS(RAB!$F$14:$F$47,RAB!$C$14:$C$47,C852)</f>
        <v>1</v>
      </c>
      <c r="E852" s="26">
        <f t="shared" ca="1" si="35"/>
        <v>1</v>
      </c>
      <c r="F852" s="26">
        <f ca="1">IF(D852=0,0,SUM($E$713:E852))</f>
        <v>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SUMIFS(RAB!$F$14:$F$47,RAB!$C$14:$C$47,C853)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SUMIFS(RAB!$F$14:$F$47,RAB!$C$14:$C$47,C854)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SUMIFS(RAB!$F$14:$F$47,RAB!$C$14:$C$47,C855)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SUMIFS(RAB!$F$14:$F$47,RAB!$C$14:$C$47,C856)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SUMIFS(RAB!$F$14:$F$47,RAB!$C$14:$C$47,C857)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SUMIFS(RAB!$F$14:$F$47,RAB!$C$14:$C$47,C858)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SUMIFS(RAB!$F$14:$F$47,RAB!$C$14:$C$47,C859)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SUMIFS(RAB!$F$14:$F$47,RAB!$C$14:$C$47,C860)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SUMIFS(RAB!$F$14:$F$47,RAB!$C$14:$C$47,C861)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SUMIFS(RAB!$F$14:$F$47,RAB!$C$14:$C$47,C862)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SUMIFS(RAB!$F$14:$F$47,RAB!$C$14:$C$47,C863)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SUMIFS(RAB!$F$14:$F$47,RAB!$C$14:$C$47,C864)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SUMIFS(RAB!$F$14:$F$47,RAB!$C$14:$C$47,C865)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SUMIFS(RAB!$F$14:$F$47,RAB!$C$14:$C$47,C866)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SUMIFS(RAB!$F$14:$F$47,RAB!$C$14:$C$47,C867)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SUMIFS(RAB!$F$14:$F$47,RAB!$C$14:$C$47,C868)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SUMIFS(RAB!$F$14:$F$47,RAB!$C$14:$C$47,C869)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SUMIFS(RAB!$F$14:$F$47,RAB!$C$14:$C$47,C870)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SUMIFS(RAB!$F$14:$F$47,RAB!$C$14:$C$47,C871)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SUMIFS(RAB!$F$14:$F$47,RAB!$C$14:$C$47,C872)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SUMIFS(RAB!$F$14:$F$47,RAB!$C$14:$C$47,C873)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SUMIFS(RAB!$F$14:$F$47,RAB!$C$14:$C$47,C874)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SUMIFS(RAB!$F$14:$F$47,RAB!$C$14:$C$47,C875)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SUMIFS(RAB!$F$14:$F$47,RAB!$C$14:$C$47,C876)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SUMIFS(RAB!$F$14:$F$47,RAB!$C$14:$C$47,C877)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SUMIFS(RAB!$F$14:$F$47,RAB!$C$14:$C$47,C878)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SUMIFS(RAB!$F$14:$F$47,RAB!$C$14:$C$47,C879)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SUMIFS(RAB!$F$14:$F$47,RAB!$C$14:$C$47,C880)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SUMIFS(RAB!$F$14:$F$47,RAB!$C$14:$C$47,C881)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SUMIFS(RAB!$F$14:$F$47,RAB!$C$14:$C$47,C882)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SUMIFS(RAB!$F$14:$F$47,RAB!$C$14:$C$47,C883)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SUMIFS(RAB!$F$14:$F$47,RAB!$C$14:$C$47,C884)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SUMIFS(RAB!$F$14:$F$47,RAB!$C$14:$C$47,C885)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SUMIFS(RAB!$F$14:$F$47,RAB!$C$14:$C$47,C886)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SUMIFS(RAB!$F$14:$F$47,RAB!$C$14:$C$47,C887)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SUMIFS(RAB!$F$14:$F$47,RAB!$C$14:$C$47,C888)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SUMIFS(RAB!$F$14:$F$47,RAB!$C$14:$C$47,C889)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SUMIFS(RAB!$F$14:$F$47,RAB!$C$14:$C$47,C890)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SUMIFS(RAB!$F$14:$F$47,RAB!$C$14:$C$47,C891)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SUMIFS(RAB!$F$14:$F$47,RAB!$C$14:$C$47,C892)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SUMIFS(RAB!$F$14:$F$47,RAB!$C$14:$C$47,C893)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SUMIFS(RAB!$F$14:$F$47,RAB!$C$14:$C$47,C894)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SUMIFS(RAB!$F$14:$F$47,RAB!$C$14:$C$47,C895)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SUMIFS(RAB!$F$14:$F$47,RAB!$C$14:$C$47,C896)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SUMIFS(RAB!$F$14:$F$47,RAB!$C$14:$C$47,C897)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SUMIFS(RAB!$F$14:$F$47,RAB!$C$14:$C$47,C898)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SUMIFS(RAB!$F$14:$F$47,RAB!$C$14:$C$47,C899)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SUMIFS(RAB!$F$14:$F$47,RAB!$C$14:$C$47,C900)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SUMIFS(RAB!$F$14:$F$47,RAB!$C$14:$C$47,C901)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SUMIFS(RAB!$F$14:$F$47,RAB!$C$14:$C$47,C902)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SUMIFS(RAB!$F$14:$F$47,RAB!$C$14:$C$47,C903)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SUMIFS(RAB!$F$14:$F$47,RAB!$C$14:$C$47,C904)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SUMIFS(RAB!$F$14:$F$47,RAB!$C$14:$C$47,C905)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SUMIFS(RAB!$F$14:$F$47,RAB!$C$14:$C$47,C906)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SUMIFS(RAB!$F$14:$F$47,RAB!$C$14:$C$47,C907)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SUMIFS(RAB!$F$14:$F$47,RAB!$C$14:$C$47,C908)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SUMIFS(RAB!$F$14:$F$47,RAB!$C$14:$C$47,C909)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SUMIFS(RAB!$F$14:$F$47,RAB!$C$14:$C$47,C910)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SUMIFS(RAB!$F$14:$F$47,RAB!$C$14:$C$47,C911)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SUMIFS(RAB!$F$14:$F$47,RAB!$C$14:$C$47,C912)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SUMIFS(RAB!$F$14:$F$47,RAB!$C$14:$C$47,C913)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SUMIFS(RAB!$F$14:$F$47,RAB!$C$14:$C$47,C914)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SUMIFS(RAB!$F$14:$F$47,RAB!$C$14:$C$47,C915)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SUMIFS(RAB!$F$14:$F$47,RAB!$C$14:$C$47,C916)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SUMIFS(RAB!$F$14:$F$47,RAB!$C$14:$C$47,C917)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SUMIFS(RAB!$F$14:$F$47,RAB!$C$14:$C$47,C918)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SUMIFS(RAB!$F$14:$F$47,RAB!$C$14:$C$47,C919)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SUMIFS(RAB!$F$14:$F$47,RAB!$C$14:$C$47,C920)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SUMIFS(RAB!$F$14:$F$47,RAB!$C$14:$C$47,C921)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SUMIFS(RAB!$F$14:$F$47,RAB!$C$14:$C$47,C922)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SUMIFS(RAB!$F$14:$F$47,RAB!$C$14:$C$47,C923)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SUMIFS(RAB!$F$14:$F$47,RAB!$C$14:$C$47,C924)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SUMIFS(RAB!$F$14:$F$47,RAB!$C$14:$C$47,C925)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SUMIFS(RAB!$F$14:$F$47,RAB!$C$14:$C$47,C926)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SUMIFS(RAB!$F$14:$F$47,RAB!$C$14:$C$47,C927)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SUMIFS(RAB!$F$14:$F$47,RAB!$C$14:$C$47,C928)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SUMIFS(RAB!$F$14:$F$47,RAB!$C$14:$C$47,C929)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SUMIFS(RAB!$F$14:$F$47,RAB!$C$14:$C$47,C930)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SUMIFS(RAB!$F$14:$F$47,RAB!$C$14:$C$47,C931)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SUMIFS(RAB!$F$14:$F$47,RAB!$C$14:$C$47,C932)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SUMIFS(RAB!$F$14:$F$47,RAB!$C$14:$C$47,C933)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SUMIFS(RAB!$F$14:$F$47,RAB!$C$14:$C$47,C934)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SUMIFS(RAB!$F$14:$F$47,RAB!$C$14:$C$47,C935)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SUMIFS(RAB!$F$14:$F$47,RAB!$C$14:$C$47,C936)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SUMIFS(RAB!$F$14:$F$47,RAB!$C$14:$C$47,C937)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SUMIFS(RAB!$F$14:$F$47,RAB!$C$14:$C$47,C938)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SUMIFS(RAB!$F$14:$F$47,RAB!$C$14:$C$47,C939)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SUMIFS(RAB!$F$14:$F$47,RAB!$C$14:$C$47,C940)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SUMIFS(RAB!$F$14:$F$47,RAB!$C$14:$C$47,C941)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SUMIFS(RAB!$F$14:$F$47,RAB!$C$14:$C$47,C942)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SUMIFS(RAB!$F$14:$F$47,RAB!$C$14:$C$47,C943)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SUMIFS(RAB!$F$14:$F$47,RAB!$C$14:$C$47,C944)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SUMIFS(RAB!$F$14:$F$47,RAB!$C$14:$C$47,C945)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SUMIFS(RAB!$F$14:$F$47,RAB!$C$14:$C$47,C946)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SUMIFS(RAB!$F$14:$F$47,RAB!$C$14:$C$47,C947)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SUMIFS(RAB!$F$14:$F$47,RAB!$C$14:$C$47,C948)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SUMIFS(RAB!$F$14:$F$47,RAB!$C$14:$C$47,C949)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SUMIFS(RAB!$F$14:$F$47,RAB!$C$14:$C$47,C950)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SUMIFS(RAB!$F$14:$F$47,RAB!$C$14:$C$47,C951)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SUMIFS(RAB!$F$14:$F$47,RAB!$C$14:$C$47,C952)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SUMIFS(RAB!$F$14:$F$47,RAB!$C$14:$C$47,C953)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SUMIFS(RAB!$F$14:$F$47,RAB!$C$14:$C$47,C954)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SUMIFS(RAB!$F$14:$F$47,RAB!$C$14:$C$47,C955)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SUMIFS(RAB!$F$14:$F$47,RAB!$C$14:$C$47,C956)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SUMIFS(RAB!$F$14:$F$47,RAB!$C$14:$C$47,C957)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SUMIFS(RAB!$F$14:$F$47,RAB!$C$14:$C$47,C958)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SUMIFS(RAB!$F$14:$F$47,RAB!$C$14:$C$47,C959)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SUMIFS(RAB!$F$14:$F$47,RAB!$C$14:$C$47,C960)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SUMIFS(RAB!$F$14:$F$47,RAB!$C$14:$C$47,C961)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SUMIFS(RAB!$F$14:$F$47,RAB!$C$14:$C$47,C962)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SUMIFS(RAB!$F$14:$F$47,RAB!$C$14:$C$47,C963)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SUMIFS(RAB!$F$14:$F$47,RAB!$C$14:$C$47,C964)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SUMIFS(RAB!$F$14:$F$47,RAB!$C$14:$C$47,C965)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SUMIFS(RAB!$F$14:$F$47,RAB!$C$14:$C$47,C966)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SUMIFS(RAB!$F$14:$F$47,RAB!$C$14:$C$47,C967)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SUMIFS(RAB!$F$14:$F$47,RAB!$C$14:$C$47,C968)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SUMIFS(RAB!$F$14:$F$47,RAB!$C$14:$C$47,C969)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SUMIFS(RAB!$F$14:$F$47,RAB!$C$14:$C$47,C970)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SUMIFS(RAB!$F$14:$F$47,RAB!$C$14:$C$47,C971)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SUMIFS(RAB!$F$14:$F$47,RAB!$C$14:$C$47,C972)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SUMIFS(RAB!$F$14:$F$47,RAB!$C$14:$C$47,C973)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SUMIFS(RAB!$F$14:$F$47,RAB!$C$14:$C$47,C974)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SUMIFS(RAB!$F$14:$F$47,RAB!$C$14:$C$47,C975)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SUMIFS(RAB!$F$14:$F$47,RAB!$C$14:$C$47,C976)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SUMIFS(RAB!$F$14:$F$47,RAB!$C$14:$C$47,C977)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SUMIFS(RAB!$F$14:$F$47,RAB!$C$14:$C$47,C978)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SUMIFS(RAB!$F$14:$F$47,RAB!$C$14:$C$47,C979)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SUMIFS(RAB!$F$14:$F$47,RAB!$C$14:$C$47,C980)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SUMIFS(RAB!$F$14:$F$47,RAB!$C$14:$C$47,C981)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SUMIFS(RAB!$F$14:$F$47,RAB!$C$14:$C$47,C982)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SUMIFS(RAB!$F$14:$F$47,RAB!$C$14:$C$47,C983)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SUMIFS(RAB!$F$14:$F$47,RAB!$C$14:$C$47,C984)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SUMIFS(RAB!$F$14:$F$47,RAB!$C$14:$C$47,C985)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SUMIFS(RAB!$F$14:$F$47,RAB!$C$14:$C$47,C986)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SUMIFS(RAB!$F$14:$F$47,RAB!$C$14:$C$47,C987)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SUMIFS(RAB!$F$14:$F$47,RAB!$C$14:$C$47,C988)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SUMIFS(RAB!$F$14:$F$47,RAB!$C$14:$C$47,C989)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SUMIFS(RAB!$F$14:$F$47,RAB!$C$14:$C$47,C990)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SUMIFS(RAB!$F$14:$F$47,RAB!$C$14:$C$47,C991)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SUMIFS(RAB!$F$14:$F$47,RAB!$C$14:$C$47,C992)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SUMIFS(RAB!$F$14:$F$47,RAB!$C$14:$C$47,C993)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SUMIFS(RAB!$F$14:$F$47,RAB!$C$14:$C$47,C994)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SUMIFS(RAB!$F$14:$F$47,RAB!$C$14:$C$47,C995)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SUMIFS(RAB!$F$14:$F$47,RAB!$C$14:$C$47,C996)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SUMIFS(RAB!$F$14:$F$47,RAB!$C$14:$C$47,C997)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SUMIFS(RAB!$F$14:$F$47,RAB!$C$14:$C$47,C998)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SUMIFS(RAB!$F$14:$F$47,RAB!$C$14:$C$47,C999)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SUMIFS(RAB!$F$14:$F$47,RAB!$C$14:$C$47,C1000)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SUMIFS(RAB!$F$14:$F$47,RAB!$C$14:$C$47,C1001)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SUMIFS(RAB!$F$14:$F$47,RAB!$C$14:$C$47,C1002)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SUMIFS(RAB!$F$14:$F$47,RAB!$C$14:$C$47,C1003)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SUMIFS(RAB!$F$14:$F$47,RAB!$C$14:$C$47,C1004)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SUMIFS(RAB!$F$14:$F$47,RAB!$C$14:$C$47,C1005)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SUMIFS(RAB!$F$14:$F$47,RAB!$C$14:$C$47,C1006)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SUMIFS(RAB!$F$14:$F$47,RAB!$C$14:$C$47,C1007)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SUMIFS(RAB!$F$14:$F$47,RAB!$C$14:$C$47,C1008)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SUMIFS(RAB!$F$14:$F$47,RAB!$C$14:$C$47,C1009)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SUMIFS(RAB!$F$14:$F$47,RAB!$C$14:$C$47,C1010)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SUMIFS(RAB!$F$14:$F$47,RAB!$C$14:$C$47,C1011)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SUMIFS(RAB!$F$14:$F$47,RAB!$C$14:$C$47,C1012)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SUMIFS(RAB!$F$14:$F$47,RAB!$C$14:$C$47,C1013)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SUMIFS(RAB!$F$14:$F$47,RAB!$C$14:$C$47,C1014)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SUMIFS(RAB!$F$14:$F$47,RAB!$C$14:$C$47,C1015)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SUMIFS(RAB!$F$14:$F$47,RAB!$C$14:$C$47,C1016)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SUMIFS(RAB!$F$14:$F$47,RAB!$C$14:$C$47,C1017)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SUMIFS(RAB!$F$14:$F$47,RAB!$C$14:$C$47,C1018)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SUMIFS(RAB!$F$14:$F$47,RAB!$C$14:$C$47,C1019)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SUMIFS(RAB!$F$14:$F$47,RAB!$C$14:$C$47,C1020)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SUMIFS(RAB!$F$14:$F$47,RAB!$C$14:$C$47,C1021)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SUMIFS(RAB!$F$14:$F$47,RAB!$C$14:$C$47,C1022)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SUMIFS(RAB!$F$14:$F$47,RAB!$C$14:$C$47,C1023)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SUMIFS(RAB!$F$14:$F$47,RAB!$C$14:$C$47,C1024)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SUMIFS(RAB!$F$14:$F$47,RAB!$C$14:$C$47,C1025)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SUMIFS(RAB!$F$14:$F$47,RAB!$C$14:$C$47,C1026)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SUMIFS(RAB!$F$14:$F$47,RAB!$C$14:$C$47,C1027)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SUMIFS(RAB!$F$14:$F$47,RAB!$C$14:$C$47,C1028)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SUMIFS(RAB!$F$14:$F$47,RAB!$C$14:$C$47,C1029)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SUMIFS(RAB!$F$14:$F$47,RAB!$C$14:$C$47,C1030)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SUMIFS(RAB!$F$14:$F$47,RAB!$C$14:$C$47,C1031)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SUMIFS(RAB!$F$14:$F$47,RAB!$C$14:$C$47,C1032)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SUMIFS(RAB!$F$14:$F$47,RAB!$C$14:$C$47,C1033)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SUMIFS(RAB!$F$14:$F$47,RAB!$C$14:$C$47,C1034)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SUMIFS(RAB!$F$14:$F$47,RAB!$C$14:$C$47,C1035)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SUMIFS(RAB!$F$14:$F$47,RAB!$C$14:$C$47,C1036)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SUMIFS(RAB!$F$14:$F$47,RAB!$C$14:$C$47,C1037)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SUMIFS(RAB!$F$14:$F$47,RAB!$C$14:$C$47,C1038)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SUMIFS(RAB!$F$14:$F$47,RAB!$C$14:$C$47,C1039)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SUMIFS(RAB!$F$14:$F$47,RAB!$C$14:$C$47,C1040)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SUMIFS(RAB!$F$14:$F$47,RAB!$C$14:$C$47,C1041)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SUMIFS(RAB!$F$14:$F$47,RAB!$C$14:$C$47,C1042)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SUMIFS(RAB!$F$14:$F$47,RAB!$C$14:$C$47,C1043)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SUMIFS(RAB!$F$14:$F$47,RAB!$C$14:$C$47,C1044)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SUMIFS(RAB!$F$14:$F$47,RAB!$C$14:$C$47,C1045)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SUMIFS(RAB!$F$14:$F$47,RAB!$C$14:$C$47,C1046)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SUMIFS(RAB!$F$14:$F$47,RAB!$C$14:$C$47,C1047)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SUMIFS(RAB!$F$14:$F$47,RAB!$C$14:$C$47,C1048)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SUMIFS(RAB!$F$14:$F$47,RAB!$C$14:$C$47,C1049)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SUMIFS(RAB!$F$14:$F$47,RAB!$C$14:$C$47,C1050)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SUMIFS(RAB!$F$14:$F$47,RAB!$C$14:$C$47,C1051)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SUMIFS(RAB!$F$14:$F$47,RAB!$C$14:$C$47,C1052)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SUMIFS(RAB!$F$14:$F$47,RAB!$C$14:$C$47,C1053)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SUMIFS(RAB!$F$14:$F$47,RAB!$C$14:$C$47,C1054)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SUMIFS(RAB!$F$14:$F$47,RAB!$C$14:$C$47,C1055)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SUMIFS(RAB!$F$14:$F$47,RAB!$C$14:$C$47,C1056)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SUMIFS(RAB!$F$14:$F$47,RAB!$C$14:$C$47,C1057)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SUMIFS(RAB!$F$14:$F$47,RAB!$C$14:$C$47,C1058)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SUMIFS(RAB!$F$14:$F$47,RAB!$C$14:$C$47,C1059)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SUMIFS(RAB!$F$14:$F$47,RAB!$C$14:$C$47,C1060)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SUMIFS(RAB!$F$14:$F$47,RAB!$C$14:$C$47,C1061)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SUMIFS(RAB!$F$14:$F$47,RAB!$C$14:$C$47,C1062)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SUMIFS(RAB!$F$14:$F$47,RAB!$C$14:$C$47,C1063)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SUMIFS(RAB!$F$14:$F$47,RAB!$C$14:$C$47,C1064)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SUMIFS(RAB!$F$14:$F$47,RAB!$C$14:$C$47,C1065)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SUMIFS(RAB!$F$14:$F$47,RAB!$C$14:$C$47,C1066)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SUMIFS(RAB!$F$14:$F$47,RAB!$C$14:$C$47,C1067)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SUMIFS(RAB!$F$14:$F$47,RAB!$C$14:$C$47,C1068)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SUMIFS(RAB!$F$14:$F$47,RAB!$C$14:$C$47,C1069)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SUMIFS(RAB!$F$14:$F$47,RAB!$C$14:$C$47,C1070)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SUMIFS(RAB!$F$14:$F$47,RAB!$C$14:$C$47,C1071)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SUMIFS(RAB!$F$14:$F$47,RAB!$C$14:$C$47,C1072)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SUMIFS(RAB!$F$14:$F$47,RAB!$C$14:$C$47,C1073)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SUMIFS(RAB!$F$14:$F$47,RAB!$C$14:$C$47,C1074)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SUMIFS(RAB!$F$14:$F$47,RAB!$C$14:$C$47,C1075)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SUMIFS(RAB!$F$14:$F$47,RAB!$C$14:$C$47,C1076)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SUMIFS(RAB!$F$14:$F$47,RAB!$C$14:$C$47,C1077)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SUMIFS(RAB!$F$14:$F$47,RAB!$C$14:$C$47,C1078)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SUMIFS(RAB!$F$14:$F$47,RAB!$C$14:$C$47,C1079)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SUMIFS(RAB!$F$14:$F$47,RAB!$C$14:$C$47,C1080)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SUMIFS(RAB!$F$14:$F$47,RAB!$C$14:$C$47,C1081)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SUMIFS(RAB!$F$14:$F$47,RAB!$C$14:$C$47,C1082)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SUMIFS(RAB!$F$14:$F$47,RAB!$C$14:$C$47,C1083)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SUMIFS(RAB!$F$14:$F$47,RAB!$C$14:$C$47,C1084)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SUMIFS(RAB!$F$14:$F$47,RAB!$C$14:$C$47,C1085)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SUMIFS(RAB!$F$14:$F$47,RAB!$C$14:$C$47,C1086)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SUMIFS(RAB!$F$14:$F$47,RAB!$C$14:$C$47,C1087)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SUMIFS(RAB!$F$14:$F$47,RAB!$C$14:$C$47,C1088)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SUMIFS(RAB!$F$14:$F$47,RAB!$C$14:$C$47,C1089)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SUMIFS(RAB!$F$14:$F$47,RAB!$C$14:$C$47,C1090)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SUMIFS(RAB!$F$14:$F$47,RAB!$C$14:$C$47,C1091)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SUMIFS(RAB!$F$14:$F$47,RAB!$C$14:$C$47,C1092)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SUMIFS(RAB!$F$14:$F$47,RAB!$C$14:$C$47,C1093)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SUMIFS(RAB!$F$14:$F$47,RAB!$C$14:$C$47,C1094)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SUMIFS(RAB!$F$14:$F$47,RAB!$C$14:$C$47,C1095)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SUMIFS(RAB!$F$14:$F$47,RAB!$C$14:$C$47,C1096)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SUMIFS(RAB!$F$14:$F$47,RAB!$C$14:$C$47,C1097)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SUMIFS(RAB!$F$14:$F$47,RAB!$C$14:$C$47,C1098)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SUMIFS(RAB!$F$14:$F$47,RAB!$C$14:$C$47,C1099)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SUMIFS(RAB!$F$14:$F$47,RAB!$C$14:$C$47,C1100)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SUMIFS(RAB!$F$14:$F$47,RAB!$C$14:$C$47,C1101)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SUMIFS(RAB!$F$14:$F$47,RAB!$C$14:$C$47,C1102)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SUMIFS(RAB!$F$14:$F$47,RAB!$C$14:$C$47,C1103)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SUMIFS(RAB!$F$14:$F$47,RAB!$C$14:$C$47,C1104)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SUMIFS(RAB!$F$14:$F$47,RAB!$C$14:$C$47,C1105)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SUMIFS(RAB!$F$14:$F$47,RAB!$C$14:$C$47,C1106)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SUMIFS(RAB!$F$14:$F$47,RAB!$C$14:$C$47,C1107)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SUMIFS(RAB!$F$14:$F$47,RAB!$C$14:$C$47,C1108)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SUMIFS(RAB!$F$14:$F$47,RAB!$C$14:$C$47,C1109)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SUMIFS(RAB!$F$14:$F$47,RAB!$C$14:$C$47,C1110)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SUMIFS(RAB!$F$14:$F$47,RAB!$C$14:$C$47,C1111)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SUMIFS(RAB!$F$14:$F$47,RAB!$C$14:$C$47,C1112)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SUMIFS(RAB!$F$14:$F$47,RAB!$C$14:$C$47,C1113)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SUMIFS(RAB!$F$14:$F$47,RAB!$C$14:$C$47,C1114)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SUMIFS(RAB!$F$14:$F$47,RAB!$C$14:$C$47,C1115)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SUMIFS(RAB!$F$14:$F$47,RAB!$C$14:$C$47,C1116)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SUMIFS(RAB!$F$14:$F$47,RAB!$C$14:$C$47,C1117)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SUMIFS(RAB!$F$14:$F$47,RAB!$C$14:$C$47,C1118)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SUMIFS(RAB!$F$14:$F$47,RAB!$C$14:$C$47,C1119)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SUMIFS(RAB!$F$14:$F$47,RAB!$C$14:$C$47,C1120)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SUMIFS(RAB!$F$14:$F$47,RAB!$C$14:$C$47,C1121)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SUMIFS(RAB!$F$14:$F$47,RAB!$C$14:$C$47,C1122)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SUMIFS(RAB!$F$14:$F$47,RAB!$C$14:$C$47,C1123)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SUMIFS(RAB!$F$14:$F$47,RAB!$C$14:$C$47,C1124)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SUMIFS(RAB!$F$14:$F$47,RAB!$C$14:$C$47,C1125)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SUMIFS(RAB!$F$14:$F$47,RAB!$C$14:$C$47,C1126)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SUMIFS(RAB!$F$14:$F$47,RAB!$C$14:$C$47,C1127)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SUMIFS(RAB!$F$14:$F$47,RAB!$C$14:$C$47,C1128)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SUMIFS(RAB!$F$14:$F$47,RAB!$C$14:$C$47,C1129)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SUMIFS(RAB!$F$14:$F$47,RAB!$C$14:$C$47,C1130)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SUMIFS(RAB!$F$14:$F$47,RAB!$C$14:$C$47,C1131)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SUMIFS(RAB!$F$14:$F$47,RAB!$C$14:$C$47,C1132)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SUMIFS(RAB!$F$14:$F$47,RAB!$C$14:$C$47,C1133)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SUMIFS(RAB!$F$14:$F$47,RAB!$C$14:$C$47,C1134)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SUMIFS(RAB!$F$14:$F$47,RAB!$C$14:$C$47,C1135)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SUMIFS(RAB!$F$14:$F$47,RAB!$C$14:$C$47,C1136)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SUMIFS(RAB!$F$14:$F$47,RAB!$C$14:$C$47,C1137)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SUMIFS(RAB!$F$14:$F$47,RAB!$C$14:$C$47,C1138)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SUMIFS(RAB!$F$14:$F$47,RAB!$C$14:$C$47,C1139)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SUMIFS(RAB!$F$14:$F$47,RAB!$C$14:$C$47,C1140)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SUMIFS(RAB!$F$14:$F$47,RAB!$C$14:$C$47,C1141)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SUMIFS(RAB!$F$14:$F$47,RAB!$C$14:$C$47,C1142)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SUMIFS(RAB!$F$14:$F$47,RAB!$C$14:$C$47,C1143)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SUMIFS(RAB!$F$14:$F$47,RAB!$C$14:$C$47,C1144)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SUMIFS(RAB!$F$14:$F$47,RAB!$C$14:$C$47,C1145)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SUMIFS(RAB!$F$14:$F$47,RAB!$C$14:$C$47,C1146)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SUMIFS(RAB!$F$14:$F$47,RAB!$C$14:$C$47,C1147)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SUMIFS(RAB!$F$14:$F$47,RAB!$C$14:$C$47,C1148)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SUMIFS(RAB!$F$14:$F$47,RAB!$C$14:$C$47,C1149)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SUMIFS(RAB!$F$14:$F$47,RAB!$C$14:$C$47,C1150)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SUMIFS(RAB!$F$14:$F$47,RAB!$C$14:$C$47,C1151)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SUMIFS(RAB!$F$14:$F$47,RAB!$C$14:$C$47,C1152)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SUMIFS(RAB!$F$14:$F$47,RAB!$C$14:$C$47,C1153)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SUMIFS(RAB!$F$14:$F$47,RAB!$C$14:$C$47,C1154)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SUMIFS(RAB!$F$14:$F$47,RAB!$C$14:$C$47,C1155)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SUMIFS(RAB!$F$14:$F$47,RAB!$C$14:$C$47,C1156)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SUMIFS(RAB!$F$14:$F$47,RAB!$C$14:$C$47,C1157)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SUMIFS(RAB!$F$14:$F$47,RAB!$C$14:$C$47,C1158)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SUMIFS(RAB!$F$14:$F$47,RAB!$C$14:$C$47,C1159)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SUMIFS(RAB!$F$14:$F$47,RAB!$C$14:$C$47,C1160)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SUMIFS(RAB!$F$14:$F$47,RAB!$C$14:$C$47,C1161)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SUMIFS(RAB!$F$14:$F$47,RAB!$C$14:$C$47,C1162)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SUMIFS(RAB!$F$14:$F$47,RAB!$C$14:$C$47,C1163)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SUMIFS(RAB!$F$14:$F$47,RAB!$C$14:$C$47,C1164)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SUMIFS(RAB!$F$14:$F$47,RAB!$C$14:$C$47,C1165)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SUMIFS(RAB!$F$14:$F$47,RAB!$C$14:$C$47,C1166)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SUMIFS(RAB!$F$14:$F$47,RAB!$C$14:$C$47,C1167)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SUMIFS(RAB!$F$14:$F$47,RAB!$C$14:$C$47,C1168)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SUMIFS(RAB!$F$14:$F$47,RAB!$C$14:$C$47,C1169)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SUMIFS(RAB!$F$14:$F$47,RAB!$C$14:$C$47,C1170)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SUMIFS(RAB!$F$14:$F$47,RAB!$C$14:$C$47,C1171)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SUMIFS(RAB!$F$14:$F$47,RAB!$C$14:$C$47,C1172)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SUMIFS(RAB!$F$14:$F$47,RAB!$C$14:$C$47,C1173)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SUMIFS(RAB!$F$14:$F$47,RAB!$C$14:$C$47,C1174)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SUMIFS(RAB!$F$14:$F$47,RAB!$C$14:$C$47,C1175)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SUMIFS(RAB!$F$14:$F$47,RAB!$C$14:$C$47,C1176)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SUMIFS(RAB!$F$14:$F$47,RAB!$C$14:$C$47,C1177)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SUMIFS(RAB!$F$14:$F$47,RAB!$C$14:$C$47,C1178)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SUMIFS(RAB!$F$14:$F$47,RAB!$C$14:$C$47,C1179)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SUMIFS(RAB!$F$14:$F$47,RAB!$C$14:$C$47,C1180)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SUMIFS(RAB!$F$14:$F$47,RAB!$C$14:$C$47,C1181)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SUMIFS(RAB!$F$14:$F$47,RAB!$C$14:$C$47,C1182)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SUMIFS(RAB!$F$14:$F$47,RAB!$C$14:$C$47,C1183)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SUMIFS(RAB!$F$14:$F$47,RAB!$C$14:$C$47,C1184)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SUMIFS(RAB!$F$14:$F$47,RAB!$C$14:$C$47,C1185)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SUMIFS(RAB!$F$14:$F$47,RAB!$C$14:$C$47,C1186)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SUMIFS(RAB!$F$14:$F$47,RAB!$C$14:$C$47,C1187)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SUMIFS(RAB!$F$14:$F$47,RAB!$C$14:$C$47,C1188)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SUMIFS(RAB!$F$14:$F$47,RAB!$C$14:$C$47,C1189)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SUMIFS(RAB!$F$14:$F$47,RAB!$C$14:$C$47,C1190)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SUMIFS(RAB!$F$14:$F$47,RAB!$C$14:$C$47,C1191)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SUMIFS(RAB!$F$14:$F$47,RAB!$C$14:$C$47,C1192)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SUMIFS(RAB!$F$14:$F$47,RAB!$C$14:$C$47,C1193)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SUMIFS(RAB!$F$14:$F$47,RAB!$C$14:$C$47,C1194)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SUMIFS(RAB!$F$14:$F$47,RAB!$C$14:$C$47,C1195)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SUMIFS(RAB!$F$14:$F$47,RAB!$C$14:$C$47,C1196)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SUMIFS(RAB!$F$14:$F$47,RAB!$C$14:$C$47,C1197)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SUMIFS(RAB!$F$14:$F$47,RAB!$C$14:$C$47,C1198)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SUMIFS(RAB!$F$14:$F$47,RAB!$C$14:$C$47,C1199)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SUMIFS(RAB!$F$14:$F$47,RAB!$C$14:$C$47,C1200)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SUMIFS(RAB!$F$14:$F$47,RAB!$C$14:$C$47,C1201)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SUMIFS(RAB!$F$14:$F$47,RAB!$C$14:$C$47,C1202)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SUMIFS(RAB!$F$14:$F$47,RAB!$C$14:$C$47,C1203)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SUMIFS(RAB!$F$14:$F$47,RAB!$C$14:$C$47,C1204)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SUMIFS(RAB!$F$14:$F$47,RAB!$C$14:$C$47,C1205)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SUMIFS(RAB!$F$14:$F$47,RAB!$C$14:$C$47,C1206)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SUMIFS(RAB!$F$14:$F$47,RAB!$C$14:$C$47,C1207)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SUMIFS(RAB!$F$14:$F$47,RAB!$C$14:$C$47,C1208)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SUMIFS(RAB!$F$14:$F$47,RAB!$C$14:$C$47,C1209)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SUMIFS(RAB!$F$14:$F$47,RAB!$C$14:$C$47,C1210)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SUMIFS(RAB!$F$14:$F$47,RAB!$C$14:$C$47,C1211)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SUMIFS(RAB!$F$14:$F$47,RAB!$C$14:$C$47,C1212)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SUMIFS(RAB!$F$14:$F$47,RAB!$C$14:$C$47,C1213)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SUMIFS(RAB!$F$14:$F$47,RAB!$C$14:$C$47,C1214)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SUMIFS(RAB!$F$14:$F$47,RAB!$C$14:$C$47,C1215)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SUMIFS(RAB!$F$14:$F$47,RAB!$C$14:$C$47,C1216)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SUMIFS(RAB!$F$14:$F$47,RAB!$C$14:$C$47,C1217)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SUMIFS(RAB!$F$14:$F$47,RAB!$C$14:$C$47,C1218)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SUMIFS(RAB!$F$14:$F$47,RAB!$C$14:$C$47,C1219)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SUMIFS(RAB!$F$14:$F$47,RAB!$C$14:$C$47,C1220)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SUMIFS(RAB!$F$14:$F$47,RAB!$C$14:$C$47,C1221)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SUMIFS(RAB!$F$14:$F$47,RAB!$C$14:$C$47,C1222)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SUMIFS(RAB!$F$14:$F$47,RAB!$C$14:$C$47,C1223)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SUMIFS(RAB!$F$14:$F$47,RAB!$C$14:$C$47,C1224)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SUMIFS(RAB!$F$14:$F$47,RAB!$C$14:$C$47,C1225)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SUMIFS(RAB!$F$14:$F$47,RAB!$C$14:$C$47,C1226)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SUMIFS(RAB!$F$14:$F$47,RAB!$C$14:$C$47,C1227)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SUMIFS(RAB!$F$14:$F$47,RAB!$C$14:$C$47,C1228)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SUMIFS(RAB!$F$14:$F$47,RAB!$C$14:$C$47,C1229)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SUMIFS(RAB!$F$14:$F$47,RAB!$C$14:$C$47,C1230)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SUMIFS(RAB!$F$14:$F$47,RAB!$C$14:$C$47,C1231)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SUMIFS(RAB!$F$14:$F$47,RAB!$C$14:$C$47,C1232)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SUMIFS(RAB!$F$14:$F$47,RAB!$C$14:$C$47,C1233)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SUMIFS(RAB!$F$14:$F$47,RAB!$C$14:$C$47,C1234)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SUMIFS(RAB!$F$14:$F$47,RAB!$C$14:$C$47,C1235)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SUMIFS(RAB!$F$14:$F$47,RAB!$C$14:$C$47,C1236)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SUMIFS(RAB!$F$14:$F$47,RAB!$C$14:$C$47,C1237)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SUMIFS(RAB!$F$14:$F$47,RAB!$C$14:$C$47,C1238)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SUMIFS(RAB!$F$14:$F$47,RAB!$C$14:$C$47,C1239)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SUMIFS(RAB!$F$14:$F$47,RAB!$C$14:$C$47,C1240)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SUMIFS(RAB!$F$14:$F$47,RAB!$C$14:$C$47,C1241)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SUMIFS(RAB!$F$14:$F$47,RAB!$C$14:$C$47,C1242)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SUMIFS(RAB!$F$14:$F$47,RAB!$C$14:$C$47,C1243)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SUMIFS(RAB!$F$14:$F$47,RAB!$C$14:$C$47,C1244)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SUMIFS(RAB!$F$14:$F$47,RAB!$C$14:$C$47,C1245)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SUMIFS(RAB!$F$14:$F$47,RAB!$C$14:$C$47,C1246)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SUMIFS(RAB!$F$14:$F$47,RAB!$C$14:$C$47,C1247)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SUMIFS(RAB!$F$14:$F$47,RAB!$C$14:$C$47,C1248)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SUMIFS(RAB!$F$14:$F$47,RAB!$C$14:$C$47,C1249)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SUMIFS(RAB!$F$14:$F$47,RAB!$C$14:$C$47,C1250)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SUMIFS(RAB!$F$14:$F$47,RAB!$C$14:$C$47,C1251)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SUMIFS(RAB!$F$14:$F$47,RAB!$C$14:$C$47,C1252)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SUMIFS(RAB!$F$14:$F$47,RAB!$C$14:$C$47,C1253)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SUMIFS(RAB!$F$14:$F$47,RAB!$C$14:$C$47,C1254)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SUMIFS(RAB!$F$14:$F$47,RAB!$C$14:$C$47,C1255)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SUMIFS(RAB!$F$14:$F$47,RAB!$C$14:$C$47,C1256)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SUMIFS(RAB!$F$14:$F$47,RAB!$C$14:$C$47,C1257)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SUMIFS(RAB!$F$14:$F$47,RAB!$C$14:$C$47,C1258)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SUMIFS(RAB!$F$14:$F$47,RAB!$C$14:$C$47,C1259)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SUMIFS(RAB!$F$14:$F$47,RAB!$C$14:$C$47,C1260)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SUMIFS(RAB!$F$14:$F$47,RAB!$C$14:$C$47,C1261)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SUMIFS(RAB!$F$14:$F$47,RAB!$C$14:$C$47,C1262)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SUMIFS(RAB!$F$14:$F$47,RAB!$C$14:$C$47,C1263)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SUMIFS(RAB!$F$14:$F$47,RAB!$C$14:$C$47,C1264)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SUMIFS(RAB!$F$14:$F$47,RAB!$C$14:$C$47,C1265)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SUMIFS(RAB!$F$14:$F$47,RAB!$C$14:$C$47,C1266)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SUMIFS(RAB!$F$14:$F$47,RAB!$C$14:$C$47,C1267)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SUMIFS(RAB!$F$14:$F$47,RAB!$C$14:$C$47,C1268)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SUMIFS(RAB!$F$14:$F$47,RAB!$C$14:$C$47,C1269)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SUMIFS(RAB!$F$14:$F$47,RAB!$C$14:$C$47,C1270)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SUMIFS(RAB!$F$14:$F$47,RAB!$C$14:$C$47,C1271)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SUMIFS(RAB!$F$14:$F$47,RAB!$C$14:$C$47,C1272)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SUMIFS(RAB!$F$14:$F$47,RAB!$C$14:$C$47,C1273)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SUMIFS(RAB!$F$14:$F$47,RAB!$C$14:$C$47,C1274)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SUMIFS(RAB!$F$14:$F$47,RAB!$C$14:$C$47,C1275)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SUMIFS(RAB!$F$14:$F$47,RAB!$C$14:$C$47,C1276)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SUMIFS(RAB!$F$14:$F$47,RAB!$C$14:$C$47,C1277)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SUMIFS(RAB!$F$14:$F$47,RAB!$C$14:$C$47,C1278)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SUMIFS(RAB!$F$14:$F$47,RAB!$C$14:$C$47,C1279)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SUMIFS(RAB!$F$14:$F$47,RAB!$C$14:$C$47,C1280)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SUMIFS(RAB!$F$14:$F$47,RAB!$C$14:$C$47,C1281)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SUMIFS(RAB!$F$14:$F$47,RAB!$C$14:$C$47,C1282)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SUMIFS(RAB!$F$14:$F$47,RAB!$C$14:$C$47,C1283)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SUMIFS(RAB!$F$14:$F$47,RAB!$C$14:$C$47,C1284)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SUMIFS(RAB!$F$14:$F$47,RAB!$C$14:$C$47,C1285)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SUMIFS(RAB!$F$14:$F$47,RAB!$C$14:$C$47,C1286)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SUMIFS(RAB!$F$14:$F$47,RAB!$C$14:$C$47,C1287)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SUMIFS(RAB!$F$14:$F$47,RAB!$C$14:$C$47,C1288)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SUMIFS(RAB!$F$14:$F$47,RAB!$C$14:$C$47,C1289)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SUMIFS(RAB!$F$14:$F$47,RAB!$C$14:$C$47,C1290)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SUMIFS(RAB!$F$14:$F$47,RAB!$C$14:$C$47,C1291)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SUMIFS(RAB!$F$14:$F$47,RAB!$C$14:$C$47,C1292)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SUMIFS(RAB!$F$14:$F$47,RAB!$C$14:$C$47,C1293)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SUMIFS(RAB!$F$14:$F$47,RAB!$C$14:$C$47,C1294)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SUMIFS(RAB!$F$14:$F$47,RAB!$C$14:$C$47,C1295)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SUMIFS(RAB!$F$14:$F$47,RAB!$C$14:$C$47,C1296)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SUMIFS(RAB!$F$14:$F$47,RAB!$C$14:$C$47,C1297)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SUMIFS(RAB!$F$14:$F$47,RAB!$C$14:$C$47,C1298)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SUMIFS(RAB!$F$14:$F$47,RAB!$C$14:$C$47,C1299)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SUMIFS(RAB!$F$14:$F$47,RAB!$C$14:$C$47,C1300)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SUMIFS(RAB!$F$14:$F$47,RAB!$C$14:$C$47,C1301)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SUMIFS(RAB!$F$14:$F$47,RAB!$C$14:$C$47,C1302)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SUMIFS(RAB!$F$14:$F$47,RAB!$C$14:$C$47,C1303)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SUMIFS(RAB!$F$14:$F$47,RAB!$C$14:$C$47,C1304)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SUMIFS(RAB!$F$14:$F$47,RAB!$C$14:$C$47,C1305)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SUMIFS(RAB!$F$14:$F$47,RAB!$C$14:$C$47,C1306)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SUMIFS(RAB!$F$14:$F$47,RAB!$C$14:$C$47,C1307)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SUMIFS(RAB!$F$14:$F$47,RAB!$C$14:$C$47,C1308)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SUMIFS(RAB!$F$14:$F$47,RAB!$C$14:$C$47,C1309)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SUMIFS(RAB!$F$14:$F$47,RAB!$C$14:$C$47,C1310)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SUMIFS(RAB!$F$14:$F$47,RAB!$C$14:$C$47,C1311)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SUMIFS(RAB!$F$14:$F$47,RAB!$C$14:$C$47,C1312)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SUMIFS(RAB!$F$14:$F$47,RAB!$C$14:$C$47,C1313)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SUMIFS(RAB!$F$14:$F$47,RAB!$C$14:$C$47,C1314)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SUMIFS(RAB!$F$14:$F$47,RAB!$C$14:$C$47,C1315)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SUMIFS(RAB!$F$14:$F$47,RAB!$C$14:$C$47,C1316)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SUMIFS(RAB!$F$14:$F$47,RAB!$C$14:$C$47,C1317)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SUMIFS(RAB!$F$14:$F$47,RAB!$C$14:$C$47,C1318)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SUMIFS(RAB!$F$14:$F$47,RAB!$C$14:$C$47,C1319)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SUMIFS(RAB!$F$14:$F$47,RAB!$C$14:$C$47,C1320)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5" priority="5" operator="equal">
      <formula>0</formula>
    </cfRule>
  </conditionalFormatting>
  <conditionalFormatting sqref="A10:L65536">
    <cfRule type="cellIs" dxfId="44" priority="1" operator="equal">
      <formula>0</formula>
    </cfRule>
  </conditionalFormatting>
  <conditionalFormatting sqref="C12:C711">
    <cfRule type="cellIs" dxfId="43" priority="66" stopIfTrue="1" operator="equal">
      <formula>0</formula>
    </cfRule>
  </conditionalFormatting>
  <conditionalFormatting sqref="E712:E65536">
    <cfRule type="cellIs" dxfId="42" priority="16" stopIfTrue="1" operator="equal">
      <formula>0</formula>
    </cfRule>
  </conditionalFormatting>
  <conditionalFormatting sqref="G1:G11 E6:E11 E1:E3 H7 H10:H11 F10:F711 G712:G65536">
    <cfRule type="cellIs" dxfId="41" priority="69" stopIfTrue="1" operator="equal">
      <formula>0</formula>
    </cfRule>
  </conditionalFormatting>
  <conditionalFormatting sqref="G12:H711">
    <cfRule type="cellIs" dxfId="40" priority="12" stopIfTrue="1" operator="equal">
      <formula>0</formula>
    </cfRule>
  </conditionalFormatting>
  <conditionalFormatting sqref="I7:K7">
    <cfRule type="cellIs" dxfId="39" priority="4" stopIfTrue="1" operator="equal">
      <formula>0</formula>
    </cfRule>
  </conditionalFormatting>
  <conditionalFormatting sqref="I10:L711">
    <cfRule type="cellIs" dxfId="38" priority="2" stopIfTrue="1" operator="equal">
      <formula>0</formula>
    </cfRule>
  </conditionalFormatting>
  <conditionalFormatting sqref="L1:L6">
    <cfRule type="cellIs" dxfId="37" priority="10" operator="equal">
      <formula>0</formula>
    </cfRule>
  </conditionalFormatting>
  <conditionalFormatting sqref="M1:IV1048576 A8:G9">
    <cfRule type="cellIs" dxfId="3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0" t="s">
        <v>1127</v>
      </c>
      <c r="C4" s="510"/>
      <c r="D4" s="510"/>
      <c r="E4" s="510"/>
      <c r="F4" s="510"/>
      <c r="G4" s="510"/>
      <c r="H4" s="510"/>
      <c r="I4" s="510"/>
      <c r="J4" s="510"/>
      <c r="K4" s="51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‎BNI ‎1946‎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FATAH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1" t="s">
        <v>0</v>
      </c>
      <c r="C11" s="513" t="s">
        <v>1</v>
      </c>
      <c r="D11" s="516" t="s">
        <v>42</v>
      </c>
      <c r="E11" s="516" t="s">
        <v>43</v>
      </c>
      <c r="F11" s="516" t="s">
        <v>2</v>
      </c>
      <c r="G11" s="518" t="s">
        <v>41</v>
      </c>
      <c r="H11" s="516" t="s">
        <v>3</v>
      </c>
      <c r="I11" s="516"/>
      <c r="J11" s="516"/>
      <c r="K11" s="521"/>
      <c r="M11" s="33"/>
      <c r="N11" s="33"/>
      <c r="O11" s="33"/>
      <c r="P11" s="33"/>
      <c r="R11" s="34"/>
      <c r="S11" s="74"/>
      <c r="T11" s="74"/>
    </row>
    <row r="12" spans="1:21" ht="15" customHeight="1">
      <c r="B12" s="512"/>
      <c r="C12" s="514"/>
      <c r="D12" s="517"/>
      <c r="E12" s="517"/>
      <c r="F12" s="517"/>
      <c r="G12" s="519"/>
      <c r="H12" s="525" t="s">
        <v>46</v>
      </c>
      <c r="I12" s="525" t="s">
        <v>5</v>
      </c>
      <c r="J12" s="517" t="s">
        <v>47</v>
      </c>
      <c r="K12" s="52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2"/>
      <c r="C13" s="515"/>
      <c r="D13" s="517"/>
      <c r="E13" s="517"/>
      <c r="F13" s="517"/>
      <c r="G13" s="520"/>
      <c r="H13" s="526"/>
      <c r="I13" s="526"/>
      <c r="J13" s="517"/>
      <c r="K13" s="52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SUMIFS(RAB!$F$14:$F$47,RAB!$C$14:$C$47,'REKAP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SUMIFS(RAB!$F$14:$F$47,RAB!$C$14:$C$47,'REKAP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SUMIFS(RAB!$F$14:$F$47,RAB!$C$14:$C$47,'REKAP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SUMIFS(RAB!$F$14:$F$47,RAB!$C$14:$C$47,'REKAP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SUMIFS(RAB!$F$14:$F$47,RAB!$C$14:$C$47,'REKAP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SUMIFS(RAB!$F$14:$F$47,RAB!$C$14:$C$47,'REKAP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SUMIFS(RAB!$F$14:$F$47,RAB!$C$14:$C$47,'REKAP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SUMIFS(RAB!$F$14:$F$47,RAB!$C$14:$C$47,'REKAP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SUMIFS(RAB!$F$14:$F$47,RAB!$C$14:$C$47,'REKAP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SUMIFS(RAB!$F$14:$F$47,RAB!$C$14:$C$47,'REKAP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SUMIFS(RAB!$F$14:$F$47,RAB!$C$14:$C$47,'REKAP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SUMIFS(RAB!$F$14:$F$47,RAB!$C$14:$C$47,'REKAP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SUMIFS(RAB!$F$14:$F$47,RAB!$C$14:$C$47,'REKAP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SUMIFS(RAB!$F$14:$F$47,RAB!$C$14:$C$47,'REKAP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SUMIFS(RAB!$F$14:$F$47,RAB!$C$14:$C$47,'REKAP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SUMIFS(RAB!$F$14:$F$47,RAB!$C$14:$C$47,'REKAP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SUMIFS(RAB!$F$14:$F$47,RAB!$C$14:$C$47,'REKAP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SUMIFS(RAB!$F$14:$F$47,RAB!$C$14:$C$47,'REKAP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SUMIFS(RAB!$F$14:$F$47,RAB!$C$14:$C$47,'REKAP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SUMIFS(RAB!$F$14:$F$47,RAB!$C$14:$C$47,'REKAP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0" t="s">
        <v>1034</v>
      </c>
      <c r="C4" s="510"/>
      <c r="D4" s="510"/>
      <c r="E4" s="510"/>
      <c r="F4" s="510"/>
      <c r="G4" s="510"/>
      <c r="H4" s="510"/>
      <c r="I4" s="510"/>
      <c r="J4" s="510"/>
      <c r="K4" s="51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‎BNI ‎1946‎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FATAH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1" t="s">
        <v>0</v>
      </c>
      <c r="C11" s="513" t="s">
        <v>1</v>
      </c>
      <c r="D11" s="516" t="s">
        <v>42</v>
      </c>
      <c r="E11" s="516" t="s">
        <v>43</v>
      </c>
      <c r="F11" s="516" t="s">
        <v>2</v>
      </c>
      <c r="G11" s="518" t="s">
        <v>41</v>
      </c>
      <c r="H11" s="516" t="s">
        <v>3</v>
      </c>
      <c r="I11" s="516"/>
      <c r="J11" s="516"/>
      <c r="K11" s="521"/>
      <c r="M11" s="33"/>
      <c r="N11" s="33"/>
      <c r="O11" s="33"/>
      <c r="P11" s="33"/>
      <c r="R11" s="34"/>
      <c r="S11" s="74"/>
      <c r="T11" s="74"/>
    </row>
    <row r="12" spans="1:21" ht="15" customHeight="1">
      <c r="B12" s="512"/>
      <c r="C12" s="514"/>
      <c r="D12" s="517"/>
      <c r="E12" s="517"/>
      <c r="F12" s="517"/>
      <c r="G12" s="519"/>
      <c r="H12" s="525" t="s">
        <v>46</v>
      </c>
      <c r="I12" s="525" t="s">
        <v>5</v>
      </c>
      <c r="J12" s="517" t="s">
        <v>47</v>
      </c>
      <c r="K12" s="52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2"/>
      <c r="C13" s="515"/>
      <c r="D13" s="517"/>
      <c r="E13" s="517"/>
      <c r="F13" s="517"/>
      <c r="G13" s="520"/>
      <c r="H13" s="526"/>
      <c r="I13" s="526"/>
      <c r="J13" s="517"/>
      <c r="K13" s="52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4992300</v>
      </c>
      <c r="I168" s="55">
        <f ca="1">SUM(I14:I167)</f>
        <v>0</v>
      </c>
      <c r="J168" s="55">
        <f ca="1">SUM(J14:J167)</f>
        <v>0</v>
      </c>
      <c r="K168" s="55">
        <f ca="1">SUM(K14:K167)</f>
        <v>4992300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499230</v>
      </c>
      <c r="I169" s="60">
        <f ca="1">I168*0.1</f>
        <v>0</v>
      </c>
      <c r="J169" s="60">
        <f ca="1">J168*0.1</f>
        <v>0</v>
      </c>
      <c r="K169" s="60">
        <f ca="1">K168*0.1</f>
        <v>499230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5491530</v>
      </c>
      <c r="I170" s="78">
        <f ca="1">SUM(I168:I169)</f>
        <v>0</v>
      </c>
      <c r="J170" s="61">
        <f ca="1">SUM(J168:J169)</f>
        <v>0</v>
      </c>
      <c r="K170" s="61">
        <f ca="1">SUM(K168:K169)</f>
        <v>5491530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SUMIFS(RAB!$F$14:$F$47,RAB!$C$14:$C$47,C224)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SUMIFS(RAB!$F$14:$F$47,RAB!$C$14:$C$47,C225)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SUMIFS(RAB!$F$14:$F$47,RAB!$C$14:$C$47,C226)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SUMIFS(RAB!$F$14:$F$47,RAB!$C$14:$C$47,C227)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SUMIFS(RAB!$F$14:$F$47,RAB!$C$14:$C$47,C228)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SUMIFS(RAB!$F$14:$F$47,RAB!$C$14:$C$47,C229)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SUMIFS(RAB!$F$14:$F$47,RAB!$C$14:$C$47,C230)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SUMIFS(RAB!$F$14:$F$47,RAB!$C$14:$C$47,C231)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SUMIFS(RAB!$F$14:$F$47,RAB!$C$14:$C$47,C232)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SUMIFS(RAB!$F$14:$F$47,RAB!$C$14:$C$47,C233)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SUMIFS(RAB!$F$14:$F$47,RAB!$C$14:$C$47,C234)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SUMIFS(RAB!$F$14:$F$47,RAB!$C$14:$C$47,C235)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SUMIFS(RAB!$F$14:$F$47,RAB!$C$14:$C$47,C236)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SUMIFS(RAB!$F$14:$F$47,RAB!$C$14:$C$47,C237)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SUMIFS(RAB!$F$14:$F$47,RAB!$C$14:$C$47,C238)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SUMIFS(RAB!$F$14:$F$47,RAB!$C$14:$C$47,C239)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SUMIFS(RAB!$F$14:$F$47,RAB!$C$14:$C$47,C240)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SUMIFS(RAB!$F$14:$F$47,RAB!$C$14:$C$47,C241)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SUMIFS(RAB!$F$14:$F$47,RAB!$C$14:$C$47,C242)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SUMIFS(RAB!$F$14:$F$47,RAB!$C$14:$C$47,C243)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SUMIFS(RAB!$F$14:$F$47,RAB!$C$14:$C$47,C244)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SUMIFS(RAB!$F$14:$F$47,RAB!$C$14:$C$47,C245)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SUMIFS(RAB!$F$14:$F$47,RAB!$C$14:$C$47,C246)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SUMIFS(RAB!$F$14:$F$47,RAB!$C$14:$C$47,C247)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SUMIFS(RAB!$F$14:$F$47,RAB!$C$14:$C$47,C248)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SUMIFS(RAB!$F$14:$F$47,RAB!$C$14:$C$47,C249)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SUMIFS(RAB!$F$14:$F$47,RAB!$C$14:$C$47,C250)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SUMIFS(RAB!$F$14:$F$47,RAB!$C$14:$C$47,C251)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SUMIFS(RAB!$F$14:$F$47,RAB!$C$14:$C$47,C252)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SUMIFS(RAB!$F$14:$F$47,RAB!$C$14:$C$47,C253)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SUMIFS(RAB!$F$14:$F$47,RAB!$C$14:$C$47,C254)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SUMIFS(RAB!$F$14:$F$47,RAB!$C$14:$C$47,C255)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SUMIFS(RAB!$F$14:$F$47,RAB!$C$14:$C$47,C256)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SUMIFS(RAB!$F$14:$F$47,RAB!$C$14:$C$47,C257)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SUMIFS(RAB!$F$14:$F$47,RAB!$C$14:$C$47,C258)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SUMIFS(RAB!$F$14:$F$47,RAB!$C$14:$C$47,C259)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SUMIFS(RAB!$F$14:$F$47,RAB!$C$14:$C$47,C260)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SUMIFS(RAB!$F$14:$F$47,RAB!$C$14:$C$47,C261)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SUMIFS(RAB!$F$14:$F$47,RAB!$C$14:$C$47,C262)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SUMIFS(RAB!$F$14:$F$47,RAB!$C$14:$C$47,C263)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SUMIFS(RAB!$F$14:$F$47,RAB!$C$14:$C$47,C264)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SUMIFS(RAB!$F$14:$F$47,RAB!$C$14:$C$47,C265)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SUMIFS(RAB!$F$14:$F$47,RAB!$C$14:$C$47,C266)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SUMIFS(RAB!$F$14:$F$47,RAB!$C$14:$C$47,C267)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SUMIFS(RAB!$F$14:$F$47,RAB!$C$14:$C$47,C268)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SUMIFS(RAB!$F$14:$F$47,RAB!$C$14:$C$47,C269)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SUMIFS(RAB!$F$14:$F$47,RAB!$C$14:$C$47,C270)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SUMIFS(RAB!$F$14:$F$47,RAB!$C$14:$C$47,C271)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SUMIFS(RAB!$F$14:$F$47,RAB!$C$14:$C$47,C272)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SUMIFS(RAB!$F$14:$F$47,RAB!$C$14:$C$47,C273)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SUMIFS(RAB!$F$14:$F$47,RAB!$C$14:$C$47,C274)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SUMIFS(RAB!$F$14:$F$47,RAB!$C$14:$C$47,C275)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SUMIFS(RAB!$F$14:$F$47,RAB!$C$14:$C$47,C276)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SUMIFS(RAB!$F$14:$F$47,RAB!$C$14:$C$47,C277)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SUMIFS(RAB!$F$14:$F$47,RAB!$C$14:$C$47,C278)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SUMIFS(RAB!$F$14:$F$47,RAB!$C$14:$C$47,C279)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SUMIFS(RAB!$F$14:$F$47,RAB!$C$14:$C$47,C280)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SUMIFS(RAB!$F$14:$F$47,RAB!$C$14:$C$47,C281)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SUMIFS(RAB!$F$14:$F$47,RAB!$C$14:$C$47,C282)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SUMIFS(RAB!$F$14:$F$47,RAB!$C$14:$C$47,C283)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SUMIFS(RAB!$F$14:$F$47,RAB!$C$14:$C$47,C284)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SUMIFS(RAB!$F$14:$F$47,RAB!$C$14:$C$47,C285)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SUMIFS(RAB!$F$14:$F$47,RAB!$C$14:$C$47,C286)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SUMIFS(RAB!$F$14:$F$47,RAB!$C$14:$C$47,C287)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SUMIFS(RAB!$F$14:$F$47,RAB!$C$14:$C$47,C288)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SUMIFS(RAB!$F$14:$F$47,RAB!$C$14:$C$47,C289)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SUMIFS(RAB!$F$14:$F$47,RAB!$C$14:$C$47,C290)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SUMIFS(RAB!$F$14:$F$47,RAB!$C$14:$C$47,C291)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SUMIFS(RAB!$F$14:$F$47,RAB!$C$14:$C$47,C292)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SUMIFS(RAB!$F$14:$F$47,RAB!$C$14:$C$47,C293)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SUMIFS(RAB!$F$14:$F$47,RAB!$C$14:$C$47,C294)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SUMIFS(RAB!$F$14:$F$47,RAB!$C$14:$C$47,C295)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SUMIFS(RAB!$F$14:$F$47,RAB!$C$14:$C$47,C296)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SUMIFS(RAB!$F$14:$F$47,RAB!$C$14:$C$47,C297)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SUMIFS(RAB!$F$14:$F$47,RAB!$C$14:$C$47,C298)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SUMIFS(RAB!$F$14:$F$47,RAB!$C$14:$C$47,C299)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SUMIFS(RAB!$F$14:$F$47,RAB!$C$14:$C$47,C300)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SUMIFS(RAB!$F$14:$F$47,RAB!$C$14:$C$47,C301)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SUMIFS(RAB!$F$14:$F$47,RAB!$C$14:$C$47,C302)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SUMIFS(RAB!$F$14:$F$47,RAB!$C$14:$C$47,C303)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SUMIFS(RAB!$F$14:$F$47,RAB!$C$14:$C$47,C304)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SUMIFS(RAB!$F$14:$F$47,RAB!$C$14:$C$47,C305)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SUMIFS(RAB!$F$14:$F$47,RAB!$C$14:$C$47,C306)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SUMIFS(RAB!$F$14:$F$47,RAB!$C$14:$C$47,C307)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SUMIFS(RAB!$F$14:$F$47,RAB!$C$14:$C$47,C308)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SUMIFS(RAB!$F$14:$F$47,RAB!$C$14:$C$47,C309)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SUMIFS(RAB!$F$14:$F$47,RAB!$C$14:$C$47,C310)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SUMIFS(RAB!$F$14:$F$47,RAB!$C$14:$C$47,C311)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SUMIFS(RAB!$F$14:$F$47,RAB!$C$14:$C$47,C312)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SUMIFS(RAB!$F$14:$F$47,RAB!$C$14:$C$47,C313)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SUMIFS(RAB!$F$14:$F$47,RAB!$C$14:$C$47,C314)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SUMIFS(RAB!$F$14:$F$47,RAB!$C$14:$C$47,C315)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SUMIFS(RAB!$F$14:$F$47,RAB!$C$14:$C$47,C316)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SUMIFS(RAB!$F$14:$F$47,RAB!$C$14:$C$47,C317)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SUMIFS(RAB!$F$14:$F$47,RAB!$C$14:$C$47,C318)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SUMIFS(RAB!$F$14:$F$47,RAB!$C$14:$C$47,C319)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SUMIFS(RAB!$F$14:$F$47,RAB!$C$14:$C$47,C320)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SUMIFS(RAB!$F$14:$F$47,RAB!$C$14:$C$47,C321)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SUMIFS(RAB!$F$14:$F$47,RAB!$C$14:$C$47,C322)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SUMIFS(RAB!$F$14:$F$47,RAB!$C$14:$C$47,C323)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SUMIFS(RAB!$F$14:$F$47,RAB!$C$14:$C$47,C324)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SUMIFS(RAB!$F$14:$F$47,RAB!$C$14:$C$47,C325)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SUMIFS(RAB!$F$14:$F$47,RAB!$C$14:$C$47,C326)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SUMIFS(RAB!$F$14:$F$47,RAB!$C$14:$C$47,C327)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SUMIFS(RAB!$F$14:$F$47,RAB!$C$14:$C$47,C328)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SUMIFS(RAB!$F$14:$F$47,RAB!$C$14:$C$47,C329)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SUMIFS(RAB!$F$14:$F$47,RAB!$C$14:$C$47,C330)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SUMIFS(RAB!$F$14:$F$47,RAB!$C$14:$C$47,C331)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SUMIFS(RAB!$F$14:$F$47,RAB!$C$14:$C$47,C332)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SUMIFS(RAB!$F$14:$F$47,RAB!$C$14:$C$47,C333)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SUMIFS(RAB!$F$14:$F$47,RAB!$C$14:$C$47,C334)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SUMIFS(RAB!$F$14:$F$47,RAB!$C$14:$C$47,C335)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SUMIFS(RAB!$F$14:$F$47,RAB!$C$14:$C$47,C336)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SUMIFS(RAB!$F$14:$F$47,RAB!$C$14:$C$47,C337)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SUMIFS(RAB!$F$14:$F$47,RAB!$C$14:$C$47,C338)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SUMIFS(RAB!$F$14:$F$47,RAB!$C$14:$C$47,C339)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SUMIFS(RAB!$F$14:$F$47,RAB!$C$14:$C$47,C340)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SUMIFS(RAB!$F$14:$F$47,RAB!$C$14:$C$47,C341)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SUMIFS(RAB!$F$14:$F$47,RAB!$C$14:$C$47,C342)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SUMIFS(RAB!$F$14:$F$47,RAB!$C$14:$C$47,C343)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SUMIFS(RAB!$F$14:$F$47,RAB!$C$14:$C$47,C344)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SUMIFS(RAB!$F$14:$F$47,RAB!$C$14:$C$47,C345)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SUMIFS(RAB!$F$14:$F$47,RAB!$C$14:$C$47,C346)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SUMIFS(RAB!$F$14:$F$47,RAB!$C$14:$C$47,C347)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SUMIFS(RAB!$F$14:$F$47,RAB!$C$14:$C$47,C348)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SUMIFS(RAB!$F$14:$F$47,RAB!$C$14:$C$47,C349)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SUMIFS(RAB!$F$14:$F$47,RAB!$C$14:$C$47,C350)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SUMIFS(RAB!$F$14:$F$47,RAB!$C$14:$C$47,C351)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SUMIFS(RAB!$F$14:$F$47,RAB!$C$14:$C$47,C352)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SUMIFS(RAB!$F$14:$F$47,RAB!$C$14:$C$47,C353)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SUMIFS(RAB!$F$14:$F$47,RAB!$C$14:$C$47,C354)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SUMIFS(RAB!$F$14:$F$47,RAB!$C$14:$C$47,C355)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SUMIFS(RAB!$F$14:$F$47,RAB!$C$14:$C$47,C356)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SUMIFS(RAB!$F$14:$F$47,RAB!$C$14:$C$47,C357)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SUMIFS(RAB!$F$14:$F$47,RAB!$C$14:$C$47,C358)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SUMIFS(RAB!$F$14:$F$47,RAB!$C$14:$C$47,C359)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SUMIFS(RAB!$F$14:$F$47,RAB!$C$14:$C$47,C360)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SUMIFS(RAB!$F$14:$F$47,RAB!$C$14:$C$47,C361)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SUMIFS(RAB!$F$14:$F$47,RAB!$C$14:$C$47,C362)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SUMIFS(RAB!$F$14:$F$47,RAB!$C$14:$C$47,C363)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SUMIFS(RAB!$F$14:$F$47,RAB!$C$14:$C$47,C364)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SUMIFS(RAB!$F$14:$F$47,RAB!$C$14:$C$47,C365)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SUMIFS(RAB!$F$14:$F$47,RAB!$C$14:$C$47,C366)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SUMIFS(RAB!$F$14:$F$47,RAB!$C$14:$C$47,C367)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SUMIFS(RAB!$F$14:$F$47,RAB!$C$14:$C$47,C368)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SUMIFS(RAB!$F$14:$F$47,RAB!$C$14:$C$47,C369)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SUMIFS(RAB!$F$14:$F$47,RAB!$C$14:$C$47,C370)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SUMIFS(RAB!$F$14:$F$47,RAB!$C$14:$C$47,C371)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SUMIFS(RAB!$F$14:$F$47,RAB!$C$14:$C$47,C372)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SUMIFS(RAB!$F$14:$F$47,RAB!$C$14:$C$47,C373)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3" priority="5" operator="equal">
      <formula>0</formula>
    </cfRule>
  </conditionalFormatting>
  <conditionalFormatting sqref="C16:C165">
    <cfRule type="cellIs" dxfId="32" priority="4" stopIfTrue="1" operator="equal">
      <formula>0</formula>
    </cfRule>
  </conditionalFormatting>
  <conditionalFormatting sqref="C16:E165">
    <cfRule type="cellIs" dxfId="31" priority="1" operator="equal">
      <formula>0</formula>
    </cfRule>
  </conditionalFormatting>
  <conditionalFormatting sqref="D224:F373">
    <cfRule type="cellIs" dxfId="30" priority="8" operator="equal">
      <formula>0</formula>
    </cfRule>
  </conditionalFormatting>
  <conditionalFormatting sqref="E1:E3 G1:G115 E6:E15 H12:I12 N13 F14:F15 H14:K115 E166:K166 G166:G223 E167:F167 H167:K167">
    <cfRule type="cellIs" dxfId="29" priority="43" stopIfTrue="1" operator="equal">
      <formula>0</formula>
    </cfRule>
  </conditionalFormatting>
  <conditionalFormatting sqref="E171:E65536">
    <cfRule type="cellIs" dxfId="28" priority="9" stopIfTrue="1" operator="equal">
      <formula>0</formula>
    </cfRule>
  </conditionalFormatting>
  <conditionalFormatting sqref="G224">
    <cfRule type="cellIs" dxfId="27" priority="10" operator="equal">
      <formula>0</formula>
    </cfRule>
  </conditionalFormatting>
  <conditionalFormatting sqref="G225:G65536">
    <cfRule type="cellIs" dxfId="26" priority="14" stopIfTrue="1" operator="equal">
      <formula>0</formula>
    </cfRule>
  </conditionalFormatting>
  <conditionalFormatting sqref="R14:T166 G116:K165">
    <cfRule type="cellIs" dxfId="2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9" activePane="bottomRight" state="frozen"/>
      <selection activeCell="D209" sqref="D209"/>
      <selection pane="topRight" activeCell="D209" sqref="D209"/>
      <selection pane="bottomLeft" activeCell="D209" sqref="D209"/>
      <selection pane="bottomRight" activeCell="C247" sqref="C24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8" t="s">
        <v>41</v>
      </c>
      <c r="C2" s="53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9" t="s">
        <v>23</v>
      </c>
      <c r="C4" s="540" t="s">
        <v>1012</v>
      </c>
      <c r="D4" s="540" t="s">
        <v>42</v>
      </c>
      <c r="E4" s="539" t="s">
        <v>43</v>
      </c>
      <c r="F4" s="108" t="s">
        <v>1604</v>
      </c>
      <c r="G4" s="108" t="s">
        <v>1603</v>
      </c>
      <c r="H4" s="53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9"/>
      <c r="C5" s="540"/>
      <c r="D5" s="540"/>
      <c r="E5" s="539"/>
      <c r="F5" s="93"/>
      <c r="G5" s="93"/>
      <c r="H5" s="537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4" priority="138" operator="equal">
      <formula>0</formula>
    </cfRule>
  </conditionalFormatting>
  <conditionalFormatting sqref="B8:C135">
    <cfRule type="cellIs" dxfId="23" priority="51" operator="equal">
      <formula>0</formula>
    </cfRule>
  </conditionalFormatting>
  <conditionalFormatting sqref="B150:G1493">
    <cfRule type="cellIs" dxfId="22" priority="1" operator="equal">
      <formula>0</formula>
    </cfRule>
  </conditionalFormatting>
  <conditionalFormatting sqref="C143:G149">
    <cfRule type="cellIs" dxfId="21" priority="5" operator="equal">
      <formula>0</formula>
    </cfRule>
  </conditionalFormatting>
  <conditionalFormatting sqref="D9:G142">
    <cfRule type="cellIs" dxfId="20" priority="11" operator="equal">
      <formula>0</formula>
    </cfRule>
  </conditionalFormatting>
  <conditionalFormatting sqref="D1:IV5 A1:C7 D6:K6 H1455:IV1457 H1458:XFD1485 H1486:H1493 I1486:XFD1494 A1494:H1494 A1495:XFD65536">
    <cfRule type="cellIs" dxfId="19" priority="163" operator="equal">
      <formula>0</formula>
    </cfRule>
  </conditionalFormatting>
  <conditionalFormatting sqref="D7:IV8 C136:C142 B136:B149">
    <cfRule type="cellIs" dxfId="18" priority="62" operator="equal">
      <formula>0</formula>
    </cfRule>
  </conditionalFormatting>
  <conditionalFormatting sqref="H9:H1418">
    <cfRule type="cellIs" dxfId="17" priority="129" operator="equal">
      <formula>0</formula>
    </cfRule>
  </conditionalFormatting>
  <conditionalFormatting sqref="H1419:I1454">
    <cfRule type="cellIs" dxfId="16" priority="128" operator="equal">
      <formula>0</formula>
    </cfRule>
  </conditionalFormatting>
  <conditionalFormatting sqref="I108:I1418">
    <cfRule type="cellIs" dxfId="15" priority="125" operator="equal">
      <formula>0</formula>
    </cfRule>
  </conditionalFormatting>
  <conditionalFormatting sqref="J108:IV1454">
    <cfRule type="cellIs" dxfId="14" priority="139" operator="equal">
      <formula>0</formula>
    </cfRule>
  </conditionalFormatting>
  <conditionalFormatting sqref="M6:IV6">
    <cfRule type="cellIs" dxfId="1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8" sqref="N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2" t="s">
        <v>1454</v>
      </c>
      <c r="C2" s="572"/>
      <c r="D2" s="572"/>
      <c r="E2" s="572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77" t="s">
        <v>1532</v>
      </c>
      <c r="C4" s="578"/>
      <c r="D4" s="578"/>
      <c r="E4" s="579"/>
      <c r="F4" s="431"/>
      <c r="G4" s="431"/>
      <c r="H4" s="432"/>
      <c r="I4" s="541" t="s">
        <v>1533</v>
      </c>
      <c r="J4" s="542"/>
      <c r="K4" s="542"/>
      <c r="L4" s="543"/>
    </row>
    <row r="5" spans="1:12" ht="34.5" customHeight="1">
      <c r="A5" s="204"/>
      <c r="B5" s="434" t="s">
        <v>1379</v>
      </c>
      <c r="C5" s="274" t="s">
        <v>9</v>
      </c>
      <c r="D5" s="573" t="str">
        <f>DATA!D14</f>
        <v>‎BNI ‎1946‎</v>
      </c>
      <c r="E5" s="574"/>
      <c r="F5" s="208"/>
      <c r="G5" s="208"/>
      <c r="I5" s="435" t="s">
        <v>1379</v>
      </c>
      <c r="J5" s="274" t="s">
        <v>9</v>
      </c>
      <c r="K5" s="544" t="str">
        <f>D5</f>
        <v>‎BNI ‎1946‎</v>
      </c>
      <c r="L5" s="545"/>
    </row>
    <row r="6" spans="1:12" ht="31.5" customHeight="1">
      <c r="A6" s="204"/>
      <c r="B6" s="434" t="s">
        <v>1529</v>
      </c>
      <c r="C6" s="274" t="s">
        <v>9</v>
      </c>
      <c r="D6" s="582">
        <f>DATA!D17*1000</f>
        <v>22000</v>
      </c>
      <c r="E6" s="583"/>
      <c r="F6" s="208"/>
      <c r="G6" s="208"/>
      <c r="I6" s="435" t="s">
        <v>1530</v>
      </c>
      <c r="J6" s="274" t="s">
        <v>9</v>
      </c>
      <c r="K6" s="546">
        <f>DATA!D20*1000</f>
        <v>33000</v>
      </c>
      <c r="L6" s="547"/>
    </row>
    <row r="7" spans="1:12" ht="30.75" customHeight="1">
      <c r="A7" s="204"/>
      <c r="B7" s="434" t="s">
        <v>1441</v>
      </c>
      <c r="C7" s="274" t="s">
        <v>9</v>
      </c>
      <c r="D7" s="580">
        <f>DATA!D18</f>
        <v>3</v>
      </c>
      <c r="E7" s="581"/>
      <c r="F7" s="433" t="s">
        <v>1453</v>
      </c>
      <c r="I7" s="435" t="s">
        <v>1441</v>
      </c>
      <c r="J7" s="274" t="s">
        <v>9</v>
      </c>
      <c r="K7" s="548">
        <f>DATA!D21</f>
        <v>3</v>
      </c>
      <c r="L7" s="549"/>
    </row>
    <row r="8" spans="1:12" ht="51" customHeight="1">
      <c r="A8" s="204"/>
      <c r="B8" s="434" t="s">
        <v>1442</v>
      </c>
      <c r="C8" s="274" t="s">
        <v>9</v>
      </c>
      <c r="D8" s="580">
        <f>DATA!D19</f>
        <v>380</v>
      </c>
      <c r="E8" s="581"/>
      <c r="F8" s="433" t="s">
        <v>1453</v>
      </c>
      <c r="G8" s="428">
        <v>220</v>
      </c>
      <c r="I8" s="435" t="s">
        <v>1442</v>
      </c>
      <c r="J8" s="274" t="s">
        <v>9</v>
      </c>
      <c r="K8" s="548">
        <f>DATA!D22</f>
        <v>380</v>
      </c>
      <c r="L8" s="549"/>
    </row>
    <row r="9" spans="1:12" ht="30" customHeight="1" thickBot="1">
      <c r="A9" s="204"/>
      <c r="B9" s="440" t="s">
        <v>1541</v>
      </c>
      <c r="C9" s="430" t="s">
        <v>9</v>
      </c>
      <c r="D9" s="575">
        <f>IF(D7=1,D6/(380/3^0.5),(D6/(380*3^0.5)))</f>
        <v>33.425541900452018</v>
      </c>
      <c r="E9" s="576"/>
      <c r="F9" s="207"/>
      <c r="G9" s="429">
        <v>380</v>
      </c>
      <c r="I9" s="441" t="s">
        <v>1541</v>
      </c>
      <c r="J9" s="430" t="s">
        <v>9</v>
      </c>
      <c r="K9" s="552">
        <f>IF(K7=1,K6/(380/3^0.5),(K6/(380*3^0.5)))</f>
        <v>50.138312850678034</v>
      </c>
      <c r="L9" s="553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84"/>
      <c r="E12" s="585"/>
      <c r="F12" s="208"/>
      <c r="G12" s="208"/>
      <c r="I12" s="457" t="s">
        <v>1534</v>
      </c>
      <c r="J12" s="458" t="s">
        <v>9</v>
      </c>
      <c r="K12" s="584"/>
      <c r="L12" s="585"/>
    </row>
    <row r="13" spans="1:12" ht="31.5" customHeight="1">
      <c r="A13" s="204"/>
      <c r="B13" s="465" t="s">
        <v>1380</v>
      </c>
      <c r="C13" s="445" t="s">
        <v>9</v>
      </c>
      <c r="D13" s="550"/>
      <c r="E13" s="551"/>
      <c r="F13" s="208"/>
      <c r="G13" s="208"/>
      <c r="I13" s="459" t="s">
        <v>1380</v>
      </c>
      <c r="J13" s="445" t="s">
        <v>9</v>
      </c>
      <c r="K13" s="550"/>
      <c r="L13" s="551"/>
    </row>
    <row r="14" spans="1:12" ht="30.75" customHeight="1">
      <c r="A14" s="204"/>
      <c r="B14" s="465" t="s">
        <v>1535</v>
      </c>
      <c r="C14" s="445" t="s">
        <v>9</v>
      </c>
      <c r="D14" s="554"/>
      <c r="E14" s="555"/>
      <c r="F14" s="433" t="s">
        <v>1453</v>
      </c>
      <c r="G14" s="437">
        <v>50</v>
      </c>
      <c r="I14" s="459" t="s">
        <v>1535</v>
      </c>
      <c r="J14" s="445" t="s">
        <v>9</v>
      </c>
      <c r="K14" s="556">
        <v>100</v>
      </c>
      <c r="L14" s="557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58">
        <v>0</v>
      </c>
      <c r="E16" s="559"/>
      <c r="F16" s="433"/>
      <c r="G16" s="437">
        <v>160</v>
      </c>
      <c r="I16" s="459" t="s">
        <v>1537</v>
      </c>
      <c r="J16" s="445" t="s">
        <v>9</v>
      </c>
      <c r="K16" s="562">
        <f>K9</f>
        <v>50.138312850678034</v>
      </c>
      <c r="L16" s="563"/>
    </row>
    <row r="17" spans="1:12" ht="34.5" customHeight="1">
      <c r="A17" s="204"/>
      <c r="B17" s="465" t="s">
        <v>1538</v>
      </c>
      <c r="C17" s="445" t="s">
        <v>9</v>
      </c>
      <c r="D17" s="560">
        <f>IF(D15=1,D14/(20/3^0.5),(D14/(20*3^0.5)))</f>
        <v>0</v>
      </c>
      <c r="E17" s="561"/>
      <c r="F17" s="433" t="s">
        <v>1453</v>
      </c>
      <c r="G17" s="438">
        <v>200</v>
      </c>
      <c r="I17" s="459" t="s">
        <v>1538</v>
      </c>
      <c r="J17" s="445" t="s">
        <v>9</v>
      </c>
      <c r="K17" s="566">
        <f>IF(K15=1,K14/(20/3^0.5),(K14/(20*3^0.5)))</f>
        <v>2.8867513459481291</v>
      </c>
      <c r="L17" s="567"/>
    </row>
    <row r="18" spans="1:12" ht="34.5" customHeight="1">
      <c r="A18" s="204"/>
      <c r="B18" s="465" t="s">
        <v>1539</v>
      </c>
      <c r="C18" s="445" t="s">
        <v>9</v>
      </c>
      <c r="D18" s="560">
        <f>IF(D15=1,D14/(380/3^0.5),(D14/(380*3^0.5)))*1000</f>
        <v>0</v>
      </c>
      <c r="E18" s="561"/>
      <c r="F18" s="433" t="s">
        <v>1453</v>
      </c>
      <c r="G18" s="438">
        <v>250</v>
      </c>
      <c r="I18" s="459" t="s">
        <v>1539</v>
      </c>
      <c r="J18" s="445" t="s">
        <v>9</v>
      </c>
      <c r="K18" s="566">
        <f>IF(K15=1,K14/(380/3^0.5),(K14/(380*3^0.5)))*1000</f>
        <v>151.93428136569102</v>
      </c>
      <c r="L18" s="567"/>
    </row>
    <row r="19" spans="1:12" ht="30" customHeight="1">
      <c r="A19" s="204"/>
      <c r="B19" s="466" t="s">
        <v>1531</v>
      </c>
      <c r="C19" s="444" t="s">
        <v>9</v>
      </c>
      <c r="D19" s="560">
        <f>IF(D15=1,D14/(380/3^0.5),(D14/(380*3^0.5)))</f>
        <v>0</v>
      </c>
      <c r="E19" s="561"/>
      <c r="F19" s="207"/>
      <c r="G19" s="429"/>
      <c r="I19" s="461" t="s">
        <v>1531</v>
      </c>
      <c r="J19" s="444" t="s">
        <v>9</v>
      </c>
      <c r="K19" s="566">
        <f>IF(K15=1,K14/(380/3^0.5),(K14/(380*3^0.5)))</f>
        <v>0.15193428136569101</v>
      </c>
      <c r="L19" s="567"/>
    </row>
    <row r="20" spans="1:12" ht="30" customHeight="1" thickBot="1">
      <c r="A20" s="204"/>
      <c r="B20" s="467" t="s">
        <v>1540</v>
      </c>
      <c r="C20" s="463" t="s">
        <v>9</v>
      </c>
      <c r="D20" s="586" t="e">
        <f>D16/D18</f>
        <v>#DIV/0!</v>
      </c>
      <c r="E20" s="587"/>
      <c r="F20" s="207"/>
      <c r="G20" s="429"/>
      <c r="I20" s="462" t="s">
        <v>1531</v>
      </c>
      <c r="J20" s="463" t="s">
        <v>9</v>
      </c>
      <c r="K20" s="564">
        <f>K16/K18</f>
        <v>0.32999999999999996</v>
      </c>
      <c r="L20" s="565"/>
    </row>
    <row r="21" spans="1:12" ht="9.75" customHeight="1">
      <c r="A21" s="204"/>
      <c r="B21" s="452" t="s">
        <v>1540</v>
      </c>
      <c r="C21" s="453" t="s">
        <v>9</v>
      </c>
      <c r="D21" s="571">
        <v>1</v>
      </c>
      <c r="E21" s="571"/>
      <c r="F21" s="454"/>
      <c r="G21" s="455"/>
      <c r="H21" s="456"/>
      <c r="I21" s="452" t="s">
        <v>1531</v>
      </c>
      <c r="J21" s="453" t="s">
        <v>9</v>
      </c>
      <c r="K21" s="571">
        <v>1</v>
      </c>
      <c r="L21" s="571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68"/>
      <c r="C24" s="569"/>
      <c r="D24" s="569"/>
      <c r="E24" s="570"/>
      <c r="I24" s="568"/>
      <c r="J24" s="569"/>
      <c r="K24" s="569"/>
      <c r="L24" s="570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2" priority="5" stopIfTrue="1" operator="greaterThan">
      <formula>0.89</formula>
    </cfRule>
    <cfRule type="cellIs" dxfId="1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8" zoomScaleNormal="100" workbookViewId="0">
      <selection activeCell="L13" sqref="L13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88"/>
      <c r="C1" s="588"/>
      <c r="D1" s="588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1605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11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10659000</v>
      </c>
    </row>
    <row r="10" spans="2:11" ht="20.100000000000001" customHeight="1">
      <c r="B10" s="288" t="s">
        <v>1446</v>
      </c>
      <c r="C10" s="289" t="s">
        <v>9</v>
      </c>
      <c r="D10" s="295">
        <f ca="1">RAB!K53</f>
        <v>9939554.6624999996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198791.09325000001</v>
      </c>
    </row>
    <row r="12" spans="2:11" ht="9" customHeight="1">
      <c r="B12" s="589"/>
      <c r="C12" s="589"/>
      <c r="D12" s="589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1623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1622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22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3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380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33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3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6" t="s">
        <v>1357</v>
      </c>
      <c r="C3" s="596"/>
      <c r="D3" s="596"/>
      <c r="E3" s="596"/>
      <c r="F3" s="302" t="str">
        <f>DATA!D14</f>
        <v>‎BNI ‎1946‎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0" t="s">
        <v>1349</v>
      </c>
      <c r="C5" s="590" t="s">
        <v>1358</v>
      </c>
      <c r="D5" s="595" t="s">
        <v>1359</v>
      </c>
      <c r="E5" s="595" t="s">
        <v>1360</v>
      </c>
      <c r="F5" s="590" t="s">
        <v>1361</v>
      </c>
      <c r="G5" s="590"/>
      <c r="H5" s="590"/>
      <c r="I5" s="590"/>
      <c r="J5" s="590"/>
      <c r="K5" s="590" t="s">
        <v>1362</v>
      </c>
      <c r="L5" s="590"/>
      <c r="M5" s="304"/>
      <c r="N5" s="593" t="s">
        <v>1363</v>
      </c>
      <c r="O5" s="595" t="s">
        <v>1364</v>
      </c>
      <c r="P5" s="595" t="s">
        <v>1365</v>
      </c>
      <c r="Q5" s="595" t="s">
        <v>1366</v>
      </c>
      <c r="R5" s="305"/>
      <c r="S5" s="306"/>
      <c r="T5" s="591" t="s">
        <v>1367</v>
      </c>
      <c r="U5" s="307"/>
    </row>
    <row r="6" spans="1:21" ht="20.100000000000001" customHeight="1">
      <c r="B6" s="590"/>
      <c r="C6" s="590"/>
      <c r="D6" s="590"/>
      <c r="E6" s="590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94"/>
      <c r="O6" s="590"/>
      <c r="P6" s="590"/>
      <c r="Q6" s="590"/>
      <c r="R6" s="305"/>
      <c r="S6" s="306"/>
      <c r="T6" s="590"/>
      <c r="U6" s="309"/>
    </row>
    <row r="7" spans="1:21" ht="20.100000000000001" customHeight="1">
      <c r="A7" s="310">
        <v>0</v>
      </c>
      <c r="B7" s="311">
        <v>2023</v>
      </c>
      <c r="C7" s="468">
        <f>DATA!D8*DATA!D26*1</f>
        <v>440</v>
      </c>
      <c r="D7" s="313">
        <f>C7*4/24</f>
        <v>73.333333333333329</v>
      </c>
      <c r="E7" s="313">
        <f>C7-D7</f>
        <v>366.66666666666669</v>
      </c>
      <c r="F7" s="314">
        <f ca="1">DATA!D10/1000000</f>
        <v>9.9395546624999991</v>
      </c>
      <c r="G7" s="315">
        <f ca="1">DATA!$D$11/1000000</f>
        <v>0.19879109324999999</v>
      </c>
      <c r="H7" s="315">
        <f>C7*DATA!$D$5/1000000</f>
        <v>0.47701502019009701</v>
      </c>
      <c r="I7" s="315">
        <f>(C7*DATA!$D$5*DATA!$D$7)/1000000</f>
        <v>1.0732837954277182E-2</v>
      </c>
      <c r="J7" s="313">
        <f ca="1">SUM(F7:I7)</f>
        <v>10.626093613894373</v>
      </c>
      <c r="K7" s="316">
        <f>DATA!D9/1000000</f>
        <v>10.659000000000001</v>
      </c>
      <c r="L7" s="313">
        <f>((D7*DATA!$D$23)/1000000)+((E7*DATA!$D$24)/1000000)</f>
        <v>0.63566800000000001</v>
      </c>
      <c r="M7" s="313">
        <f>K7+L7</f>
        <v>11.294668000000001</v>
      </c>
      <c r="N7" s="313">
        <f ca="1">M7-J7</f>
        <v>0.6685743861056288</v>
      </c>
      <c r="O7" s="311">
        <v>1</v>
      </c>
      <c r="P7" s="313">
        <f ca="1">O7*N7</f>
        <v>0.6685743861056288</v>
      </c>
      <c r="Q7" s="313">
        <f ca="1">P7</f>
        <v>0.6685743861056288</v>
      </c>
      <c r="S7" s="301" t="str">
        <f ca="1">IF(Q7&lt;0,"a","")</f>
        <v/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5280</v>
      </c>
      <c r="D8" s="313">
        <f>C8*4/24</f>
        <v>880</v>
      </c>
      <c r="E8" s="313">
        <f t="shared" ref="E8:E32" si="0">C8-D8</f>
        <v>4400</v>
      </c>
      <c r="F8" s="311"/>
      <c r="G8" s="315">
        <f ca="1">DATA!$D$11/1000000</f>
        <v>0.19879109324999999</v>
      </c>
      <c r="H8" s="315">
        <f>C8*DATA!$D$5/1000000</f>
        <v>5.7241802422811636</v>
      </c>
      <c r="I8" s="315">
        <f>(C8*DATA!$D$5*DATA!$D$7)/1000000</f>
        <v>0.12879405545132619</v>
      </c>
      <c r="J8" s="313">
        <f t="shared" ref="J8:J32" ca="1" si="1">SUM(F8:I8)</f>
        <v>6.0517653909824896</v>
      </c>
      <c r="K8" s="318"/>
      <c r="L8" s="313">
        <f>((D8*DATA!$D$23)/1000000)+((E8*DATA!$D$24)/1000000)</f>
        <v>7.6280159999999997</v>
      </c>
      <c r="M8" s="313">
        <f t="shared" ref="M8:M32" si="2">K8+L8</f>
        <v>7.6280159999999997</v>
      </c>
      <c r="N8" s="313">
        <f ca="1">M8-J8</f>
        <v>1.5762506090175101</v>
      </c>
      <c r="O8" s="312">
        <f>1/(1+'[93]Asumsi I'!$C$3)^(KKF!A8)</f>
        <v>0.89285714285714279</v>
      </c>
      <c r="P8" s="313">
        <f ca="1">O8*N8</f>
        <v>1.4073666151942055</v>
      </c>
      <c r="Q8" s="313">
        <f ca="1">Q7+P8</f>
        <v>2.0759410012998343</v>
      </c>
      <c r="S8" s="301" t="str">
        <f t="shared" ref="S8:S32" ca="1" si="3">IF(Q8&lt;0,"a","")</f>
        <v/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5280</v>
      </c>
      <c r="D9" s="313">
        <f t="shared" ref="D9:D32" si="5">C9*4/24</f>
        <v>880</v>
      </c>
      <c r="E9" s="313">
        <f t="shared" si="0"/>
        <v>4400</v>
      </c>
      <c r="F9" s="311"/>
      <c r="G9" s="315">
        <f ca="1">DATA!$D$11/1000000</f>
        <v>0.19879109324999999</v>
      </c>
      <c r="H9" s="315">
        <f>C9*DATA!$D$5/1000000</f>
        <v>5.7241802422811636</v>
      </c>
      <c r="I9" s="315">
        <f>(C9*DATA!$D$5*DATA!$D$7)/1000000</f>
        <v>0.12879405545132619</v>
      </c>
      <c r="J9" s="313">
        <f t="shared" ca="1" si="1"/>
        <v>6.0517653909824896</v>
      </c>
      <c r="K9" s="313"/>
      <c r="L9" s="313">
        <f>((D9*DATA!$D$23)/1000000)+((E9*DATA!$D$24)/1000000)</f>
        <v>7.6280159999999997</v>
      </c>
      <c r="M9" s="313">
        <f t="shared" si="2"/>
        <v>7.6280159999999997</v>
      </c>
      <c r="N9" s="313">
        <f t="shared" ref="N9:N32" ca="1" si="6">M9-J9</f>
        <v>1.5762506090175101</v>
      </c>
      <c r="O9" s="319">
        <f>1/(1+'[93]Asumsi I'!$C$3)^(KKF!A9)</f>
        <v>0.79719387755102034</v>
      </c>
      <c r="P9" s="313">
        <f t="shared" ref="P9:P32" ca="1" si="7">O9*N9</f>
        <v>1.2565773349948262</v>
      </c>
      <c r="Q9" s="313">
        <f ca="1">Q8+P9</f>
        <v>3.3325183362946604</v>
      </c>
      <c r="S9" s="301" t="str">
        <f t="shared" ca="1" si="3"/>
        <v/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5280</v>
      </c>
      <c r="D10" s="313">
        <f t="shared" si="5"/>
        <v>880</v>
      </c>
      <c r="E10" s="313">
        <f t="shared" si="0"/>
        <v>4400</v>
      </c>
      <c r="F10" s="311"/>
      <c r="G10" s="315">
        <f ca="1">DATA!$D$11/1000000</f>
        <v>0.19879109324999999</v>
      </c>
      <c r="H10" s="315">
        <f>C10*DATA!$D$5/1000000</f>
        <v>5.7241802422811636</v>
      </c>
      <c r="I10" s="315">
        <f>(C10*DATA!$D$5*DATA!$D$7)/1000000</f>
        <v>0.12879405545132619</v>
      </c>
      <c r="J10" s="313">
        <f t="shared" ca="1" si="1"/>
        <v>6.0517653909824896</v>
      </c>
      <c r="K10" s="311"/>
      <c r="L10" s="313">
        <f>((D10*DATA!$D$23)/1000000)+((E10*DATA!$D$24)/1000000)</f>
        <v>7.6280159999999997</v>
      </c>
      <c r="M10" s="313">
        <f t="shared" si="2"/>
        <v>7.6280159999999997</v>
      </c>
      <c r="N10" s="313">
        <f t="shared" ca="1" si="6"/>
        <v>1.5762506090175101</v>
      </c>
      <c r="O10" s="312">
        <f>1/(1+'[93]Asumsi I'!$C$3)^(KKF!A10)</f>
        <v>0.71178024781341087</v>
      </c>
      <c r="P10" s="313">
        <f t="shared" ca="1" si="7"/>
        <v>1.1219440491025232</v>
      </c>
      <c r="Q10" s="313">
        <f t="shared" ref="Q10:Q30" ca="1" si="9">Q9+P10</f>
        <v>4.4544623853971839</v>
      </c>
      <c r="S10" s="301" t="str">
        <f t="shared" ca="1" si="3"/>
        <v/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5280</v>
      </c>
      <c r="D11" s="313">
        <f t="shared" si="5"/>
        <v>880</v>
      </c>
      <c r="E11" s="313">
        <f t="shared" si="0"/>
        <v>4400</v>
      </c>
      <c r="F11" s="311"/>
      <c r="G11" s="315">
        <f ca="1">DATA!$D$11/1000000</f>
        <v>0.19879109324999999</v>
      </c>
      <c r="H11" s="315">
        <f>C11*DATA!$D$5/1000000</f>
        <v>5.7241802422811636</v>
      </c>
      <c r="I11" s="315">
        <f>(C11*DATA!$D$5*DATA!$D$7)/1000000</f>
        <v>0.12879405545132619</v>
      </c>
      <c r="J11" s="313">
        <f t="shared" ca="1" si="1"/>
        <v>6.0517653909824896</v>
      </c>
      <c r="K11" s="311"/>
      <c r="L11" s="313">
        <f>((D11*DATA!$D$23)/1000000)+((E11*DATA!$D$24)/1000000)</f>
        <v>7.6280159999999997</v>
      </c>
      <c r="M11" s="313">
        <f t="shared" si="2"/>
        <v>7.6280159999999997</v>
      </c>
      <c r="N11" s="313">
        <f t="shared" ca="1" si="6"/>
        <v>1.5762506090175101</v>
      </c>
      <c r="O11" s="312">
        <f>1/(1+'[93]Asumsi I'!$C$3)^(KKF!A11)</f>
        <v>0.63551807840483121</v>
      </c>
      <c r="P11" s="313">
        <f t="shared" ca="1" si="7"/>
        <v>1.001735758127253</v>
      </c>
      <c r="Q11" s="313">
        <f t="shared" ca="1" si="9"/>
        <v>5.4561981435244373</v>
      </c>
      <c r="S11" s="301" t="str">
        <f t="shared" ca="1" si="3"/>
        <v/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5280</v>
      </c>
      <c r="D12" s="313">
        <f t="shared" si="5"/>
        <v>880</v>
      </c>
      <c r="E12" s="313">
        <f t="shared" si="0"/>
        <v>4400</v>
      </c>
      <c r="F12" s="311"/>
      <c r="G12" s="315">
        <f ca="1">DATA!$D$11/1000000</f>
        <v>0.19879109324999999</v>
      </c>
      <c r="H12" s="315">
        <f>C12*DATA!$D$5/1000000</f>
        <v>5.7241802422811636</v>
      </c>
      <c r="I12" s="315">
        <f>(C12*DATA!$D$5*DATA!$D$7)/1000000</f>
        <v>0.12879405545132619</v>
      </c>
      <c r="J12" s="313">
        <f t="shared" ca="1" si="1"/>
        <v>6.0517653909824896</v>
      </c>
      <c r="K12" s="311"/>
      <c r="L12" s="313">
        <f>((D12*DATA!$D$23)/1000000)+((E12*DATA!$D$24)/1000000)</f>
        <v>7.6280159999999997</v>
      </c>
      <c r="M12" s="313">
        <f t="shared" si="2"/>
        <v>7.6280159999999997</v>
      </c>
      <c r="N12" s="313">
        <f t="shared" ca="1" si="6"/>
        <v>1.5762506090175101</v>
      </c>
      <c r="O12" s="312">
        <f>1/(1+'[93]Asumsi I'!$C$3)^(KKF!A12)</f>
        <v>0.56742685571859919</v>
      </c>
      <c r="P12" s="313">
        <f t="shared" ca="1" si="7"/>
        <v>0.89440692689933277</v>
      </c>
      <c r="Q12" s="313">
        <f t="shared" ca="1" si="9"/>
        <v>6.3506050704237698</v>
      </c>
      <c r="S12" s="301" t="str">
        <f t="shared" ca="1" si="3"/>
        <v/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5280</v>
      </c>
      <c r="D13" s="313">
        <f t="shared" si="5"/>
        <v>880</v>
      </c>
      <c r="E13" s="313">
        <f t="shared" si="0"/>
        <v>4400</v>
      </c>
      <c r="F13" s="311"/>
      <c r="G13" s="315">
        <f ca="1">DATA!$D$11/1000000</f>
        <v>0.19879109324999999</v>
      </c>
      <c r="H13" s="315">
        <f>C13*DATA!$D$5/1000000</f>
        <v>5.7241802422811636</v>
      </c>
      <c r="I13" s="315">
        <f>(C13*DATA!$D$5*DATA!$D$7)/1000000</f>
        <v>0.12879405545132619</v>
      </c>
      <c r="J13" s="313">
        <f t="shared" ca="1" si="1"/>
        <v>6.0517653909824896</v>
      </c>
      <c r="K13" s="311"/>
      <c r="L13" s="313">
        <f>((D13*DATA!$D$23)/1000000)+((E13*DATA!$D$24)/1000000)</f>
        <v>7.6280159999999997</v>
      </c>
      <c r="M13" s="313">
        <f t="shared" si="2"/>
        <v>7.6280159999999997</v>
      </c>
      <c r="N13" s="313">
        <f t="shared" ca="1" si="6"/>
        <v>1.5762506090175101</v>
      </c>
      <c r="O13" s="312">
        <f>1/(1+'[93]Asumsi I'!$C$3)^(KKF!A13)</f>
        <v>0.50663112117732068</v>
      </c>
      <c r="P13" s="313">
        <f t="shared" ca="1" si="7"/>
        <v>0.79857761330297572</v>
      </c>
      <c r="Q13" s="313">
        <f t="shared" ca="1" si="9"/>
        <v>7.1491826837267451</v>
      </c>
      <c r="S13" s="301" t="str">
        <f t="shared" ca="1" si="3"/>
        <v/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5280</v>
      </c>
      <c r="D14" s="313">
        <f t="shared" si="5"/>
        <v>880</v>
      </c>
      <c r="E14" s="313">
        <f t="shared" si="0"/>
        <v>4400</v>
      </c>
      <c r="F14" s="311"/>
      <c r="G14" s="315">
        <f ca="1">DATA!$D$11/1000000</f>
        <v>0.19879109324999999</v>
      </c>
      <c r="H14" s="315">
        <f>C14*DATA!$D$5/1000000</f>
        <v>5.7241802422811636</v>
      </c>
      <c r="I14" s="315">
        <f>(C14*DATA!$D$5*DATA!$D$7)/1000000</f>
        <v>0.12879405545132619</v>
      </c>
      <c r="J14" s="313">
        <f t="shared" ca="1" si="1"/>
        <v>6.0517653909824896</v>
      </c>
      <c r="K14" s="311"/>
      <c r="L14" s="313">
        <f>((D14*DATA!$D$23)/1000000)+((E14*DATA!$D$24)/1000000)</f>
        <v>7.6280159999999997</v>
      </c>
      <c r="M14" s="313">
        <f t="shared" si="2"/>
        <v>7.6280159999999997</v>
      </c>
      <c r="N14" s="313">
        <f t="shared" ca="1" si="6"/>
        <v>1.5762506090175101</v>
      </c>
      <c r="O14" s="312">
        <f>1/(1+'[93]Asumsi I'!$C$3)^(KKF!A14)</f>
        <v>0.45234921533689343</v>
      </c>
      <c r="P14" s="313">
        <f t="shared" ca="1" si="7"/>
        <v>0.71301572616337106</v>
      </c>
      <c r="Q14" s="313">
        <f t="shared" ca="1" si="9"/>
        <v>7.8621984098901159</v>
      </c>
      <c r="S14" s="301" t="str">
        <f t="shared" ca="1" si="3"/>
        <v/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5280</v>
      </c>
      <c r="D15" s="313">
        <f t="shared" si="5"/>
        <v>880</v>
      </c>
      <c r="E15" s="313">
        <f t="shared" si="0"/>
        <v>4400</v>
      </c>
      <c r="F15" s="311"/>
      <c r="G15" s="315">
        <f ca="1">DATA!$D$11/1000000</f>
        <v>0.19879109324999999</v>
      </c>
      <c r="H15" s="315">
        <f>C15*DATA!$D$5/1000000</f>
        <v>5.7241802422811636</v>
      </c>
      <c r="I15" s="315">
        <f>(C15*DATA!$D$5*DATA!$D$7)/1000000</f>
        <v>0.12879405545132619</v>
      </c>
      <c r="J15" s="313">
        <f t="shared" ca="1" si="1"/>
        <v>6.0517653909824896</v>
      </c>
      <c r="K15" s="311"/>
      <c r="L15" s="313">
        <f>((D15*DATA!$D$23)/1000000)+((E15*DATA!$D$24)/1000000)</f>
        <v>7.6280159999999997</v>
      </c>
      <c r="M15" s="313">
        <f t="shared" si="2"/>
        <v>7.6280159999999997</v>
      </c>
      <c r="N15" s="313">
        <f t="shared" ca="1" si="6"/>
        <v>1.5762506090175101</v>
      </c>
      <c r="O15" s="312">
        <f>1/(1+'[93]Asumsi I'!$C$3)^(KKF!A15)</f>
        <v>0.4038832279793691</v>
      </c>
      <c r="P15" s="313">
        <f t="shared" ca="1" si="7"/>
        <v>0.63662118407443846</v>
      </c>
      <c r="Q15" s="313">
        <f t="shared" ca="1" si="9"/>
        <v>8.498819593964555</v>
      </c>
      <c r="S15" s="301" t="str">
        <f t="shared" ca="1" si="3"/>
        <v/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5280</v>
      </c>
      <c r="D16" s="313">
        <f t="shared" si="5"/>
        <v>880</v>
      </c>
      <c r="E16" s="313">
        <f t="shared" si="0"/>
        <v>4400</v>
      </c>
      <c r="F16" s="311"/>
      <c r="G16" s="315">
        <f ca="1">DATA!$D$11/1000000</f>
        <v>0.19879109324999999</v>
      </c>
      <c r="H16" s="315">
        <f>C16*DATA!$D$5/1000000</f>
        <v>5.7241802422811636</v>
      </c>
      <c r="I16" s="315">
        <f>(C16*DATA!$D$5*DATA!$D$7)/1000000</f>
        <v>0.12879405545132619</v>
      </c>
      <c r="J16" s="313">
        <f t="shared" ca="1" si="1"/>
        <v>6.0517653909824896</v>
      </c>
      <c r="K16" s="311"/>
      <c r="L16" s="313">
        <f>((D16*DATA!$D$23)/1000000)+((E16*DATA!$D$24)/1000000)</f>
        <v>7.6280159999999997</v>
      </c>
      <c r="M16" s="313">
        <f t="shared" si="2"/>
        <v>7.6280159999999997</v>
      </c>
      <c r="N16" s="313">
        <f t="shared" ca="1" si="6"/>
        <v>1.5762506090175101</v>
      </c>
      <c r="O16" s="312">
        <f>1/(1+'[93]Asumsi I'!$C$3)^(KKF!A16)</f>
        <v>0.36061002498157957</v>
      </c>
      <c r="P16" s="313">
        <f t="shared" ca="1" si="7"/>
        <v>0.5684117714950343</v>
      </c>
      <c r="Q16" s="313">
        <f t="shared" ca="1" si="9"/>
        <v>9.0672313654595893</v>
      </c>
      <c r="S16" s="301" t="str">
        <f t="shared" ca="1" si="3"/>
        <v/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5280</v>
      </c>
      <c r="D17" s="313">
        <f t="shared" si="5"/>
        <v>880</v>
      </c>
      <c r="E17" s="313">
        <f t="shared" si="0"/>
        <v>4400</v>
      </c>
      <c r="F17" s="311"/>
      <c r="G17" s="315">
        <f ca="1">DATA!$D$11/1000000</f>
        <v>0.19879109324999999</v>
      </c>
      <c r="H17" s="315">
        <f>C17*DATA!$D$5/1000000</f>
        <v>5.7241802422811636</v>
      </c>
      <c r="I17" s="315">
        <f>(C17*DATA!$D$5*DATA!$D$7)/1000000</f>
        <v>0.12879405545132619</v>
      </c>
      <c r="J17" s="313">
        <f t="shared" ca="1" si="1"/>
        <v>6.0517653909824896</v>
      </c>
      <c r="K17" s="311"/>
      <c r="L17" s="313">
        <f>((D17*DATA!$D$23)/1000000)+((E17*DATA!$D$24)/1000000)</f>
        <v>7.6280159999999997</v>
      </c>
      <c r="M17" s="313">
        <f t="shared" si="2"/>
        <v>7.6280159999999997</v>
      </c>
      <c r="N17" s="313">
        <f t="shared" ca="1" si="6"/>
        <v>1.5762506090175101</v>
      </c>
      <c r="O17" s="312">
        <f>1/(1+'[93]Asumsi I'!$C$3)^(KKF!A17)</f>
        <v>0.32197323659069599</v>
      </c>
      <c r="P17" s="313">
        <f t="shared" ca="1" si="7"/>
        <v>0.50751051026342342</v>
      </c>
      <c r="Q17" s="313">
        <f t="shared" ca="1" si="9"/>
        <v>9.5747418757230136</v>
      </c>
      <c r="S17" s="301" t="str">
        <f t="shared" ca="1" si="3"/>
        <v/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5280</v>
      </c>
      <c r="D18" s="313">
        <f t="shared" si="5"/>
        <v>880</v>
      </c>
      <c r="E18" s="313">
        <f t="shared" si="0"/>
        <v>4400</v>
      </c>
      <c r="F18" s="311"/>
      <c r="G18" s="315">
        <f ca="1">DATA!$D$11/1000000</f>
        <v>0.19879109324999999</v>
      </c>
      <c r="H18" s="315">
        <f>C18*DATA!$D$5/1000000</f>
        <v>5.7241802422811636</v>
      </c>
      <c r="I18" s="315">
        <f>(C18*DATA!$D$5*DATA!$D$7)/1000000</f>
        <v>0.12879405545132619</v>
      </c>
      <c r="J18" s="313">
        <f t="shared" ca="1" si="1"/>
        <v>6.0517653909824896</v>
      </c>
      <c r="K18" s="311"/>
      <c r="L18" s="313">
        <f>((D18*DATA!$D$23)/1000000)+((E18*DATA!$D$24)/1000000)</f>
        <v>7.6280159999999997</v>
      </c>
      <c r="M18" s="313">
        <f t="shared" si="2"/>
        <v>7.6280159999999997</v>
      </c>
      <c r="N18" s="313">
        <f t="shared" ca="1" si="6"/>
        <v>1.5762506090175101</v>
      </c>
      <c r="O18" s="312">
        <f>1/(1+'[93]Asumsi I'!$C$3)^(KKF!A18)</f>
        <v>0.28747610409883567</v>
      </c>
      <c r="P18" s="313">
        <f t="shared" ca="1" si="7"/>
        <v>0.45313438416377089</v>
      </c>
      <c r="Q18" s="313">
        <f t="shared" ca="1" si="9"/>
        <v>10.027876259886785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5280</v>
      </c>
      <c r="D19" s="313">
        <f t="shared" si="5"/>
        <v>880</v>
      </c>
      <c r="E19" s="313">
        <f t="shared" si="0"/>
        <v>4400</v>
      </c>
      <c r="F19" s="311"/>
      <c r="G19" s="315">
        <f ca="1">DATA!$D$11/1000000</f>
        <v>0.19879109324999999</v>
      </c>
      <c r="H19" s="315">
        <f>C19*DATA!$D$5/1000000</f>
        <v>5.7241802422811636</v>
      </c>
      <c r="I19" s="315">
        <f>(C19*DATA!$D$5*DATA!$D$7)/1000000</f>
        <v>0.12879405545132619</v>
      </c>
      <c r="J19" s="313">
        <f t="shared" ca="1" si="1"/>
        <v>6.0517653909824896</v>
      </c>
      <c r="K19" s="311"/>
      <c r="L19" s="313">
        <f>((D19*DATA!$D$23)/1000000)+((E19*DATA!$D$24)/1000000)</f>
        <v>7.6280159999999997</v>
      </c>
      <c r="M19" s="313">
        <f t="shared" si="2"/>
        <v>7.6280159999999997</v>
      </c>
      <c r="N19" s="313">
        <f t="shared" ca="1" si="6"/>
        <v>1.5762506090175101</v>
      </c>
      <c r="O19" s="312">
        <f>1/(1+'[93]Asumsi I'!$C$3)^(KKF!A19)</f>
        <v>0.25667509294538904</v>
      </c>
      <c r="P19" s="313">
        <f t="shared" ca="1" si="7"/>
        <v>0.40458427157479548</v>
      </c>
      <c r="Q19" s="313">
        <f t="shared" ca="1" si="9"/>
        <v>10.432460531461581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5280</v>
      </c>
      <c r="D20" s="313">
        <f t="shared" si="5"/>
        <v>880</v>
      </c>
      <c r="E20" s="313">
        <f t="shared" si="0"/>
        <v>4400</v>
      </c>
      <c r="F20" s="311"/>
      <c r="G20" s="315">
        <f ca="1">DATA!$D$11/1000000</f>
        <v>0.19879109324999999</v>
      </c>
      <c r="H20" s="315">
        <f>C20*DATA!$D$5/1000000</f>
        <v>5.7241802422811636</v>
      </c>
      <c r="I20" s="315">
        <f>(C20*DATA!$D$5*DATA!$D$7)/1000000</f>
        <v>0.12879405545132619</v>
      </c>
      <c r="J20" s="313">
        <f t="shared" ca="1" si="1"/>
        <v>6.0517653909824896</v>
      </c>
      <c r="K20" s="311"/>
      <c r="L20" s="313">
        <f>((D20*DATA!$D$23)/1000000)+((E20*DATA!$D$24)/1000000)</f>
        <v>7.6280159999999997</v>
      </c>
      <c r="M20" s="313">
        <f t="shared" si="2"/>
        <v>7.6280159999999997</v>
      </c>
      <c r="N20" s="313">
        <f t="shared" ca="1" si="6"/>
        <v>1.5762506090175101</v>
      </c>
      <c r="O20" s="312">
        <f>1/(1+'[93]Asumsi I'!$C$3)^(KKF!A20)</f>
        <v>0.22917419012981158</v>
      </c>
      <c r="P20" s="313">
        <f t="shared" ca="1" si="7"/>
        <v>0.36123595676321013</v>
      </c>
      <c r="Q20" s="313">
        <f t="shared" ca="1" si="9"/>
        <v>10.793696488224791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5280</v>
      </c>
      <c r="D21" s="313">
        <f t="shared" si="5"/>
        <v>880</v>
      </c>
      <c r="E21" s="313">
        <f t="shared" si="0"/>
        <v>4400</v>
      </c>
      <c r="F21" s="311"/>
      <c r="G21" s="315">
        <f ca="1">DATA!$D$11/1000000</f>
        <v>0.19879109324999999</v>
      </c>
      <c r="H21" s="315">
        <f>C21*DATA!$D$5/1000000</f>
        <v>5.7241802422811636</v>
      </c>
      <c r="I21" s="315">
        <f>(C21*DATA!$D$5*DATA!$D$7)/1000000</f>
        <v>0.12879405545132619</v>
      </c>
      <c r="J21" s="313">
        <f t="shared" ca="1" si="1"/>
        <v>6.0517653909824896</v>
      </c>
      <c r="K21" s="311"/>
      <c r="L21" s="313">
        <f>((D21*DATA!$D$23)/1000000)+((E21*DATA!$D$24)/1000000)</f>
        <v>7.6280159999999997</v>
      </c>
      <c r="M21" s="313">
        <f t="shared" si="2"/>
        <v>7.6280159999999997</v>
      </c>
      <c r="N21" s="313">
        <f t="shared" ca="1" si="6"/>
        <v>1.5762506090175101</v>
      </c>
      <c r="O21" s="312">
        <f>1/(1+'[93]Asumsi I'!$C$3)^(KKF!A21)</f>
        <v>0.20461981261590317</v>
      </c>
      <c r="P21" s="313">
        <f t="shared" ca="1" si="7"/>
        <v>0.32253210425286616</v>
      </c>
      <c r="Q21" s="313">
        <f t="shared" ca="1" si="9"/>
        <v>11.116228592477658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5280</v>
      </c>
      <c r="D22" s="313">
        <f t="shared" si="5"/>
        <v>880</v>
      </c>
      <c r="E22" s="313">
        <f t="shared" si="0"/>
        <v>4400</v>
      </c>
      <c r="F22" s="311"/>
      <c r="G22" s="315">
        <f ca="1">DATA!$D$11/1000000</f>
        <v>0.19879109324999999</v>
      </c>
      <c r="H22" s="315">
        <f>C22*DATA!$D$5/1000000</f>
        <v>5.7241802422811636</v>
      </c>
      <c r="I22" s="315">
        <f>(C22*DATA!$D$5*DATA!$D$7)/1000000</f>
        <v>0.12879405545132619</v>
      </c>
      <c r="J22" s="313">
        <f t="shared" ca="1" si="1"/>
        <v>6.0517653909824896</v>
      </c>
      <c r="K22" s="311"/>
      <c r="L22" s="313">
        <f>((D22*DATA!$D$23)/1000000)+((E22*DATA!$D$24)/1000000)</f>
        <v>7.6280159999999997</v>
      </c>
      <c r="M22" s="313">
        <f t="shared" si="2"/>
        <v>7.6280159999999997</v>
      </c>
      <c r="N22" s="313">
        <f t="shared" ca="1" si="6"/>
        <v>1.5762506090175101</v>
      </c>
      <c r="O22" s="312">
        <f>1/(1+'[93]Asumsi I'!$C$3)^(KKF!A22)</f>
        <v>0.18269626126419927</v>
      </c>
      <c r="P22" s="313">
        <f t="shared" ca="1" si="7"/>
        <v>0.28797509308291624</v>
      </c>
      <c r="Q22" s="313">
        <f t="shared" ca="1" si="9"/>
        <v>11.404203685560574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5280</v>
      </c>
      <c r="D23" s="313">
        <f t="shared" si="5"/>
        <v>880</v>
      </c>
      <c r="E23" s="313">
        <f t="shared" si="0"/>
        <v>4400</v>
      </c>
      <c r="F23" s="311"/>
      <c r="G23" s="315">
        <f ca="1">DATA!$D$11/1000000</f>
        <v>0.19879109324999999</v>
      </c>
      <c r="H23" s="315">
        <f>C23*DATA!$D$5/1000000</f>
        <v>5.7241802422811636</v>
      </c>
      <c r="I23" s="315">
        <f>(C23*DATA!$D$5*DATA!$D$7)/1000000</f>
        <v>0.12879405545132619</v>
      </c>
      <c r="J23" s="313">
        <f t="shared" ca="1" si="1"/>
        <v>6.0517653909824896</v>
      </c>
      <c r="K23" s="311"/>
      <c r="L23" s="313">
        <f>((D23*DATA!$D$23)/1000000)+((E23*DATA!$D$24)/1000000)</f>
        <v>7.6280159999999997</v>
      </c>
      <c r="M23" s="313">
        <f t="shared" si="2"/>
        <v>7.6280159999999997</v>
      </c>
      <c r="N23" s="313">
        <f t="shared" ca="1" si="6"/>
        <v>1.5762506090175101</v>
      </c>
      <c r="O23" s="312">
        <f>1/(1+'[93]Asumsi I'!$C$3)^(KKF!A23)</f>
        <v>0.16312166184303503</v>
      </c>
      <c r="P23" s="313">
        <f t="shared" ca="1" si="7"/>
        <v>0.25712061882403231</v>
      </c>
      <c r="Q23" s="313">
        <f t="shared" ca="1" si="9"/>
        <v>11.661324304384607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5280</v>
      </c>
      <c r="D24" s="313">
        <f t="shared" si="5"/>
        <v>880</v>
      </c>
      <c r="E24" s="313">
        <f t="shared" si="0"/>
        <v>4400</v>
      </c>
      <c r="F24" s="311"/>
      <c r="G24" s="315">
        <f ca="1">DATA!$D$11/1000000</f>
        <v>0.19879109324999999</v>
      </c>
      <c r="H24" s="315">
        <f>C24*DATA!$D$5/1000000</f>
        <v>5.7241802422811636</v>
      </c>
      <c r="I24" s="315">
        <f>(C24*DATA!$D$5*DATA!$D$7)/1000000</f>
        <v>0.12879405545132619</v>
      </c>
      <c r="J24" s="313">
        <f t="shared" ca="1" si="1"/>
        <v>6.0517653909824896</v>
      </c>
      <c r="K24" s="311"/>
      <c r="L24" s="313">
        <f>((D24*DATA!$D$23)/1000000)+((E24*DATA!$D$24)/1000000)</f>
        <v>7.6280159999999997</v>
      </c>
      <c r="M24" s="313">
        <f t="shared" si="2"/>
        <v>7.6280159999999997</v>
      </c>
      <c r="N24" s="313">
        <f t="shared" ca="1" si="6"/>
        <v>1.5762506090175101</v>
      </c>
      <c r="O24" s="312">
        <f>1/(1+'[93]Asumsi I'!$C$3)^(KKF!A24)</f>
        <v>0.14564434093128129</v>
      </c>
      <c r="P24" s="313">
        <f t="shared" ca="1" si="7"/>
        <v>0.22957198109288601</v>
      </c>
      <c r="Q24" s="313">
        <f t="shared" ca="1" si="9"/>
        <v>11.890896285477492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5280</v>
      </c>
      <c r="D25" s="313">
        <f t="shared" si="5"/>
        <v>880</v>
      </c>
      <c r="E25" s="313">
        <f t="shared" si="0"/>
        <v>4400</v>
      </c>
      <c r="F25" s="311"/>
      <c r="G25" s="315">
        <f ca="1">DATA!$D$11/1000000</f>
        <v>0.19879109324999999</v>
      </c>
      <c r="H25" s="315">
        <f>C25*DATA!$D$5/1000000</f>
        <v>5.7241802422811636</v>
      </c>
      <c r="I25" s="315">
        <f>(C25*DATA!$D$5*DATA!$D$7)/1000000</f>
        <v>0.12879405545132619</v>
      </c>
      <c r="J25" s="313">
        <f t="shared" ca="1" si="1"/>
        <v>6.0517653909824896</v>
      </c>
      <c r="K25" s="311"/>
      <c r="L25" s="313">
        <f>((D25*DATA!$D$23)/1000000)+((E25*DATA!$D$24)/1000000)</f>
        <v>7.6280159999999997</v>
      </c>
      <c r="M25" s="313">
        <f t="shared" si="2"/>
        <v>7.6280159999999997</v>
      </c>
      <c r="N25" s="313">
        <f t="shared" ca="1" si="6"/>
        <v>1.5762506090175101</v>
      </c>
      <c r="O25" s="312">
        <f>1/(1+'[93]Asumsi I'!$C$3)^(KKF!A25)</f>
        <v>0.13003959011721541</v>
      </c>
      <c r="P25" s="313">
        <f t="shared" ca="1" si="7"/>
        <v>0.2049749831186482</v>
      </c>
      <c r="Q25" s="313">
        <f t="shared" ca="1" si="9"/>
        <v>12.09587126859614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5280</v>
      </c>
      <c r="D26" s="313">
        <f t="shared" si="5"/>
        <v>880</v>
      </c>
      <c r="E26" s="313">
        <f t="shared" si="0"/>
        <v>4400</v>
      </c>
      <c r="F26" s="311"/>
      <c r="G26" s="315">
        <f ca="1">DATA!$D$11/1000000</f>
        <v>0.19879109324999999</v>
      </c>
      <c r="H26" s="315">
        <f>C26*DATA!$D$5/1000000</f>
        <v>5.7241802422811636</v>
      </c>
      <c r="I26" s="315">
        <f>(C26*DATA!$D$5*DATA!$D$7)/1000000</f>
        <v>0.12879405545132619</v>
      </c>
      <c r="J26" s="313">
        <f t="shared" ca="1" si="1"/>
        <v>6.0517653909824896</v>
      </c>
      <c r="K26" s="311"/>
      <c r="L26" s="313">
        <f>((D26*DATA!$D$23)/1000000)+((E26*DATA!$D$24)/1000000)</f>
        <v>7.6280159999999997</v>
      </c>
      <c r="M26" s="313">
        <f t="shared" si="2"/>
        <v>7.6280159999999997</v>
      </c>
      <c r="N26" s="313">
        <f t="shared" ca="1" si="6"/>
        <v>1.5762506090175101</v>
      </c>
      <c r="O26" s="312">
        <f>1/(1+'[93]Asumsi I'!$C$3)^(KKF!A26)</f>
        <v>0.1161067768903709</v>
      </c>
      <c r="P26" s="313">
        <f t="shared" ca="1" si="7"/>
        <v>0.1830133777845073</v>
      </c>
      <c r="Q26" s="313">
        <f t="shared" ca="1" si="9"/>
        <v>12.278884646380646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5280</v>
      </c>
      <c r="D27" s="313">
        <f t="shared" si="5"/>
        <v>880</v>
      </c>
      <c r="E27" s="313">
        <f t="shared" si="0"/>
        <v>4400</v>
      </c>
      <c r="F27" s="311"/>
      <c r="G27" s="315">
        <f ca="1">DATA!$D$11/1000000</f>
        <v>0.19879109324999999</v>
      </c>
      <c r="H27" s="315">
        <f>C27*DATA!$D$5/1000000</f>
        <v>5.7241802422811636</v>
      </c>
      <c r="I27" s="315">
        <f>(C27*DATA!$D$5*DATA!$D$7)/1000000</f>
        <v>0.12879405545132619</v>
      </c>
      <c r="J27" s="313">
        <f t="shared" ca="1" si="1"/>
        <v>6.0517653909824896</v>
      </c>
      <c r="K27" s="311"/>
      <c r="L27" s="313">
        <f>((D27*DATA!$D$23)/1000000)+((E27*DATA!$D$24)/1000000)</f>
        <v>7.6280159999999997</v>
      </c>
      <c r="M27" s="313">
        <f t="shared" si="2"/>
        <v>7.6280159999999997</v>
      </c>
      <c r="N27" s="313">
        <f t="shared" ca="1" si="6"/>
        <v>1.5762506090175101</v>
      </c>
      <c r="O27" s="312">
        <f>1/(1+'[93]Asumsi I'!$C$3)^(KKF!A27)</f>
        <v>0.1036667650806883</v>
      </c>
      <c r="P27" s="313">
        <f t="shared" ca="1" si="7"/>
        <v>0.16340480159331008</v>
      </c>
      <c r="Q27" s="313">
        <f t="shared" ca="1" si="9"/>
        <v>12.442289447973957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5280</v>
      </c>
      <c r="D28" s="313">
        <f t="shared" si="5"/>
        <v>880</v>
      </c>
      <c r="E28" s="313">
        <f t="shared" si="0"/>
        <v>4400</v>
      </c>
      <c r="F28" s="311"/>
      <c r="G28" s="315">
        <f ca="1">DATA!$D$11/1000000</f>
        <v>0.19879109324999999</v>
      </c>
      <c r="H28" s="315">
        <f>C28*DATA!$D$5/1000000</f>
        <v>5.7241802422811636</v>
      </c>
      <c r="I28" s="315">
        <f>(C28*DATA!$D$5*DATA!$D$7)/1000000</f>
        <v>0.12879405545132619</v>
      </c>
      <c r="J28" s="313">
        <f t="shared" ca="1" si="1"/>
        <v>6.0517653909824896</v>
      </c>
      <c r="K28" s="311"/>
      <c r="L28" s="313">
        <f>((D28*DATA!$D$23)/1000000)+((E28*DATA!$D$24)/1000000)</f>
        <v>7.6280159999999997</v>
      </c>
      <c r="M28" s="313">
        <f t="shared" si="2"/>
        <v>7.6280159999999997</v>
      </c>
      <c r="N28" s="313">
        <f t="shared" ca="1" si="6"/>
        <v>1.5762506090175101</v>
      </c>
      <c r="O28" s="312">
        <f>1/(1+'[93]Asumsi I'!$C$3)^(KKF!A28)</f>
        <v>9.2559611679185971E-2</v>
      </c>
      <c r="P28" s="313">
        <f t="shared" ca="1" si="7"/>
        <v>0.14589714427974113</v>
      </c>
      <c r="Q28" s="313">
        <f t="shared" ca="1" si="9"/>
        <v>12.588186592253699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5280</v>
      </c>
      <c r="D29" s="313">
        <f t="shared" si="5"/>
        <v>880</v>
      </c>
      <c r="E29" s="313">
        <f t="shared" si="0"/>
        <v>4400</v>
      </c>
      <c r="F29" s="311"/>
      <c r="G29" s="315">
        <f ca="1">DATA!$D$11/1000000</f>
        <v>0.19879109324999999</v>
      </c>
      <c r="H29" s="315">
        <f>C29*DATA!$D$5/1000000</f>
        <v>5.7241802422811636</v>
      </c>
      <c r="I29" s="315">
        <f>(C29*DATA!$D$5*DATA!$D$7)/1000000</f>
        <v>0.12879405545132619</v>
      </c>
      <c r="J29" s="313">
        <f t="shared" ca="1" si="1"/>
        <v>6.0517653909824896</v>
      </c>
      <c r="K29" s="311"/>
      <c r="L29" s="313">
        <f>((D29*DATA!$D$23)/1000000)+((E29*DATA!$D$24)/1000000)</f>
        <v>7.6280159999999997</v>
      </c>
      <c r="M29" s="313">
        <f t="shared" si="2"/>
        <v>7.6280159999999997</v>
      </c>
      <c r="N29" s="313">
        <f t="shared" ca="1" si="6"/>
        <v>1.5762506090175101</v>
      </c>
      <c r="O29" s="312">
        <f>1/(1+'[93]Asumsi I'!$C$3)^(KKF!A29)</f>
        <v>8.2642510427844609E-2</v>
      </c>
      <c r="P29" s="313">
        <f t="shared" ca="1" si="7"/>
        <v>0.13026530739262598</v>
      </c>
      <c r="Q29" s="313">
        <f t="shared" ca="1" si="9"/>
        <v>12.718451899646325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5280</v>
      </c>
      <c r="D30" s="313">
        <f t="shared" si="5"/>
        <v>880</v>
      </c>
      <c r="E30" s="313">
        <f t="shared" si="0"/>
        <v>4400</v>
      </c>
      <c r="F30" s="311"/>
      <c r="G30" s="315">
        <f ca="1">DATA!$D$11/1000000</f>
        <v>0.19879109324999999</v>
      </c>
      <c r="H30" s="315">
        <f>C30*DATA!$D$5/1000000</f>
        <v>5.7241802422811636</v>
      </c>
      <c r="I30" s="315">
        <f>(C30*DATA!$D$5*DATA!$D$7)/1000000</f>
        <v>0.12879405545132619</v>
      </c>
      <c r="J30" s="313">
        <f t="shared" ca="1" si="1"/>
        <v>6.0517653909824896</v>
      </c>
      <c r="K30" s="311"/>
      <c r="L30" s="313">
        <f>((D30*DATA!$D$23)/1000000)+((E30*DATA!$D$24)/1000000)</f>
        <v>7.6280159999999997</v>
      </c>
      <c r="M30" s="313">
        <f t="shared" si="2"/>
        <v>7.6280159999999997</v>
      </c>
      <c r="N30" s="313">
        <f t="shared" ca="1" si="6"/>
        <v>1.5762506090175101</v>
      </c>
      <c r="O30" s="312">
        <f>1/(1+'[93]Asumsi I'!$C$3)^(KKF!A30)</f>
        <v>7.3787955739146982E-2</v>
      </c>
      <c r="P30" s="313">
        <f t="shared" ca="1" si="7"/>
        <v>0.11630831017198751</v>
      </c>
      <c r="Q30" s="313">
        <f t="shared" ca="1" si="9"/>
        <v>12.834760209818313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5280</v>
      </c>
      <c r="D31" s="313">
        <f t="shared" si="5"/>
        <v>880</v>
      </c>
      <c r="E31" s="313">
        <f t="shared" si="0"/>
        <v>4400</v>
      </c>
      <c r="F31" s="311"/>
      <c r="G31" s="315">
        <f ca="1">DATA!$D$11/1000000</f>
        <v>0.19879109324999999</v>
      </c>
      <c r="H31" s="315">
        <f>C31*DATA!$D$5/1000000</f>
        <v>5.7241802422811636</v>
      </c>
      <c r="I31" s="315">
        <f>(C31*DATA!$D$5*DATA!$D$7)/1000000</f>
        <v>0.12879405545132619</v>
      </c>
      <c r="J31" s="313">
        <f t="shared" ca="1" si="1"/>
        <v>6.0517653909824896</v>
      </c>
      <c r="K31" s="311"/>
      <c r="L31" s="313">
        <f>((D31*DATA!$D$23)/1000000)+((E31*DATA!$D$24)/1000000)</f>
        <v>7.6280159999999997</v>
      </c>
      <c r="M31" s="313">
        <f t="shared" si="2"/>
        <v>7.6280159999999997</v>
      </c>
      <c r="N31" s="313">
        <f t="shared" ca="1" si="6"/>
        <v>1.5762506090175101</v>
      </c>
      <c r="O31" s="312">
        <f>1/(1+'[93]Asumsi I'!$C$3)^(KKF!A31)</f>
        <v>6.5882103338524081E-2</v>
      </c>
      <c r="P31" s="313">
        <f t="shared" ca="1" si="7"/>
        <v>0.10384670551070312</v>
      </c>
      <c r="Q31" s="313">
        <f ca="1">Q30+P31</f>
        <v>12.938606915329016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5280</v>
      </c>
      <c r="D32" s="313">
        <f t="shared" si="5"/>
        <v>880</v>
      </c>
      <c r="E32" s="313">
        <f t="shared" si="0"/>
        <v>4400</v>
      </c>
      <c r="F32" s="311"/>
      <c r="G32" s="315">
        <f ca="1">DATA!$D$11/1000000</f>
        <v>0.19879109324999999</v>
      </c>
      <c r="H32" s="315">
        <f>C32*DATA!$D$5/1000000</f>
        <v>5.7241802422811636</v>
      </c>
      <c r="I32" s="315">
        <f>(C32*DATA!$D$5*DATA!$D$7)/1000000</f>
        <v>0.12879405545132619</v>
      </c>
      <c r="J32" s="313">
        <f t="shared" ca="1" si="1"/>
        <v>6.0517653909824896</v>
      </c>
      <c r="K32" s="311"/>
      <c r="L32" s="313">
        <f>((D32*DATA!$D$23)/1000000)+((E32*DATA!$D$24)/1000000)</f>
        <v>7.6280159999999997</v>
      </c>
      <c r="M32" s="313">
        <f t="shared" si="2"/>
        <v>7.6280159999999997</v>
      </c>
      <c r="N32" s="313">
        <f t="shared" ca="1" si="6"/>
        <v>1.5762506090175101</v>
      </c>
      <c r="O32" s="312">
        <f>1/(1+'[93]Asumsi I'!$C$3)^(KKF!A32)</f>
        <v>5.8823306552253637E-2</v>
      </c>
      <c r="P32" s="313">
        <f t="shared" ca="1" si="7"/>
        <v>9.2720272777413487E-2</v>
      </c>
      <c r="Q32" s="313">
        <f ca="1">Q31+P32</f>
        <v>13.031327188106429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2" t="s">
        <v>1374</v>
      </c>
      <c r="G33" s="592"/>
      <c r="H33" s="592"/>
      <c r="I33" s="321"/>
      <c r="J33" s="322">
        <f ca="1">SUM(J7:J32)</f>
        <v>161.92022838845671</v>
      </c>
      <c r="K33" s="592" t="s">
        <v>1375</v>
      </c>
      <c r="L33" s="592"/>
      <c r="M33" s="322">
        <f>SUM(M7:M32)</f>
        <v>201.99506800000003</v>
      </c>
      <c r="N33" s="320"/>
      <c r="O33" s="320"/>
      <c r="P33" s="323"/>
      <c r="Q33" s="323"/>
      <c r="S33" s="301">
        <f ca="1">COUNTIF(S7:S32,"a")</f>
        <v>0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6.7413732011292948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1.2474974251852047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11.635113560809305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0" priority="1" stopIfTrue="1" operator="greaterThanOrEqual">
      <formula>$F$7</formula>
    </cfRule>
    <cfRule type="cellIs" dxfId="9" priority="2" stopIfTrue="1" operator="lessThan">
      <formula>$F$7</formula>
    </cfRule>
  </conditionalFormatting>
  <conditionalFormatting sqref="Q7:Q32">
    <cfRule type="cellIs" dxfId="8" priority="3" operator="lessThan">
      <formula>0</formula>
    </cfRule>
    <cfRule type="cellIs" dxfId="7" priority="4" operator="lessThan">
      <formula>0</formula>
    </cfRule>
    <cfRule type="cellIs" dxfId="6" priority="5" operator="lessThan">
      <formula>-6395.81</formula>
    </cfRule>
    <cfRule type="cellIs" dxfId="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8"/>
  <sheetViews>
    <sheetView showGridLines="0" zoomScale="85" zoomScaleNormal="85" zoomScaleSheetLayoutView="70" workbookViewId="0">
      <pane ySplit="13" topLeftCell="A52" activePane="bottomLeft" state="frozen"/>
      <selection activeCell="H1093" sqref="H1093"/>
      <selection pane="bottomLeft" activeCell="I66" sqref="I66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15" t="s">
        <v>1036</v>
      </c>
      <c r="P3" s="615"/>
      <c r="Q3" s="343"/>
      <c r="T3" s="341"/>
      <c r="U3" s="342" t="s">
        <v>1041</v>
      </c>
      <c r="V3" s="34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599" t="str">
        <f>DATA!D14</f>
        <v>‎BNI ‎1946‎</v>
      </c>
      <c r="H6" s="599"/>
      <c r="I6" s="599"/>
      <c r="J6" s="599"/>
      <c r="K6" s="599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1612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18" t="s">
        <v>0</v>
      </c>
      <c r="C11" s="620" t="s">
        <v>1</v>
      </c>
      <c r="D11" s="609" t="s">
        <v>42</v>
      </c>
      <c r="E11" s="609" t="s">
        <v>43</v>
      </c>
      <c r="F11" s="609" t="s">
        <v>2</v>
      </c>
      <c r="G11" s="623" t="s">
        <v>41</v>
      </c>
      <c r="H11" s="609" t="s">
        <v>3</v>
      </c>
      <c r="I11" s="609"/>
      <c r="J11" s="609"/>
      <c r="K11" s="610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19"/>
      <c r="C12" s="621"/>
      <c r="D12" s="613"/>
      <c r="E12" s="613"/>
      <c r="F12" s="613"/>
      <c r="G12" s="624"/>
      <c r="H12" s="611" t="s">
        <v>46</v>
      </c>
      <c r="I12" s="611" t="s">
        <v>5</v>
      </c>
      <c r="J12" s="613" t="s">
        <v>47</v>
      </c>
      <c r="K12" s="614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19"/>
      <c r="C13" s="622"/>
      <c r="D13" s="613"/>
      <c r="E13" s="613"/>
      <c r="F13" s="613"/>
      <c r="G13" s="625"/>
      <c r="H13" s="612"/>
      <c r="I13" s="612"/>
      <c r="J13" s="613"/>
      <c r="K13" s="614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1606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" ca="1" si="4">IF(OR(D15="MDU",D15="MDU-KD"),(IF($O$3="RAB NON MDU","PLN KD",G15*F15)),0)</f>
        <v>0</v>
      </c>
      <c r="I15" s="356">
        <f t="shared" ref="I15" ca="1" si="5">IF(D15="HDW",G15*F15,0)</f>
        <v>0</v>
      </c>
      <c r="J15" s="356">
        <f t="shared" ref="J15" ca="1" si="6">IF(D15="JASA",G15*F15,0)</f>
        <v>0</v>
      </c>
      <c r="K15" s="357">
        <f t="shared" ref="K15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1" t="s">
        <v>505</v>
      </c>
      <c r="C16" s="482" t="s">
        <v>1607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ref="H16" ca="1" si="8">IF(OR(D16="MDU",D16="MDU-KD"),(IF($O$3="RAB NON MDU","PLN KD",G16*F16)),0)</f>
        <v>0</v>
      </c>
      <c r="I16" s="356">
        <f t="shared" ref="I16" ca="1" si="9">IF(D16="HDW",G16*F16,0)</f>
        <v>0</v>
      </c>
      <c r="J16" s="356">
        <f t="shared" ref="J16" ca="1" si="10">IF(D16="JASA",G16*F16,0)</f>
        <v>0</v>
      </c>
      <c r="K16" s="357">
        <f t="shared" ref="K16" ca="1" si="11">SUM(H16:J16)</f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92"/>
      <c r="C17" s="109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490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ref="H17:H18" ca="1" si="12">IF(OR(D17="MDU",D17="MDU-KD"),(IF($O$3="RAB NON MDU","PLN KD",G17*F17)),0)</f>
        <v>0</v>
      </c>
      <c r="I17" s="356">
        <f t="shared" ref="I17:I18" ca="1" si="13">IF(D17="HDW",G17*F17,0)</f>
        <v>0</v>
      </c>
      <c r="J17" s="356">
        <f t="shared" ref="J17:J18" ca="1" si="14">IF(D17="JASA",G17*F17,0)</f>
        <v>0</v>
      </c>
      <c r="K17" s="357">
        <f t="shared" ref="K17:K18" ca="1" si="15">SUM(H17:J17)</f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4" t="s">
        <v>524</v>
      </c>
      <c r="C18" s="485" t="s">
        <v>1608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12"/>
        <v>0</v>
      </c>
      <c r="I18" s="356">
        <f t="shared" ca="1" si="13"/>
        <v>0</v>
      </c>
      <c r="J18" s="356">
        <f t="shared" ca="1" si="14"/>
        <v>0</v>
      </c>
      <c r="K18" s="357">
        <f t="shared" ca="1" si="15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4"/>
      <c r="C19" s="485"/>
      <c r="D19" s="353"/>
      <c r="E19" s="354"/>
      <c r="F19" s="361"/>
      <c r="G19" s="355"/>
      <c r="H19" s="356"/>
      <c r="I19" s="356"/>
      <c r="J19" s="356"/>
      <c r="K19" s="357"/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0" customFormat="1">
      <c r="A20" s="333"/>
      <c r="B20" s="481" t="s">
        <v>526</v>
      </c>
      <c r="C20" s="482" t="s">
        <v>1609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ref="H20:H21" ca="1" si="16">IF(OR(D20="MDU",D20="MDU-KD"),(IF($O$3="RAB NON MDU","PLN KD",G20*F20)),0)</f>
        <v>0</v>
      </c>
      <c r="I20" s="356">
        <f t="shared" ref="I20:I21" ca="1" si="17">IF(D20="HDW",G20*F20,0)</f>
        <v>0</v>
      </c>
      <c r="J20" s="356">
        <f t="shared" ref="J20:J21" ca="1" si="18">IF(D20="JASA",G20*F20,0)</f>
        <v>0</v>
      </c>
      <c r="K20" s="357">
        <f t="shared" ref="K20:K21" ca="1" si="19">SUM(H20:J20)</f>
        <v>0</v>
      </c>
      <c r="L20" s="339"/>
      <c r="M20" s="339"/>
      <c r="N20" s="362"/>
      <c r="O20" s="341"/>
      <c r="P20" s="386"/>
      <c r="Q20" s="341"/>
    </row>
    <row r="21" spans="1:22" s="360" customFormat="1">
      <c r="A21" s="333"/>
      <c r="B21" s="481"/>
      <c r="C21" s="482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16"/>
        <v>0</v>
      </c>
      <c r="I21" s="356">
        <f t="shared" ca="1" si="17"/>
        <v>0</v>
      </c>
      <c r="J21" s="356">
        <f t="shared" ca="1" si="18"/>
        <v>0</v>
      </c>
      <c r="K21" s="357">
        <f t="shared" ca="1" si="19"/>
        <v>0</v>
      </c>
      <c r="L21" s="339"/>
      <c r="M21" s="339"/>
      <c r="N21" s="362"/>
      <c r="O21" s="341"/>
      <c r="P21" s="386"/>
      <c r="Q21" s="341"/>
    </row>
    <row r="22" spans="1:22" s="360" customFormat="1">
      <c r="A22" s="333"/>
      <c r="B22" s="491" t="s">
        <v>1035</v>
      </c>
      <c r="C22" s="493" t="s">
        <v>1613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>Unit</v>
      </c>
      <c r="F22" s="487">
        <v>1</v>
      </c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ref="H22:H28" ca="1" si="20">IF(OR(D22="MDU",D22="MDU-KD"),(IF($O$3="RAB NON MDU","PLN KD",G22*F22)),0)</f>
        <v>0</v>
      </c>
      <c r="I22" s="356">
        <f t="shared" ref="I22:I28" ca="1" si="21">IF(D22="HDW",G22*F22,0)</f>
        <v>0</v>
      </c>
      <c r="J22" s="356">
        <f t="shared" ref="J22:J28" ca="1" si="22">IF(D22="JASA",G22*F22,0)</f>
        <v>0</v>
      </c>
      <c r="K22" s="357">
        <f t="shared" ref="K22:K28" ca="1" si="23">SUM(H22:J22)</f>
        <v>0</v>
      </c>
      <c r="L22" s="339"/>
      <c r="M22" s="339"/>
      <c r="N22" s="362"/>
      <c r="O22" s="341"/>
      <c r="P22" s="386"/>
      <c r="Q22" s="341"/>
    </row>
    <row r="23" spans="1:22" s="360" customFormat="1" ht="30">
      <c r="A23" s="333"/>
      <c r="B23" s="497">
        <v>1</v>
      </c>
      <c r="C23" s="109" t="s">
        <v>1197</v>
      </c>
      <c r="D23" s="353" t="str">
        <f ca="1">IF(ISERROR(OFFSET('HARGA SATUAN'!$D$6,MATCH(RAB!C23,'HARGA SATUAN'!$C$7:$C$1492,0),0)),"",OFFSET('HARGA SATUAN'!$D$6,MATCH(RAB!C23,'HARGA SATUAN'!$C$7:$C$1492,0),0))</f>
        <v>MDU-KD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87">
        <f>F22*1</f>
        <v>1</v>
      </c>
      <c r="G23" s="355">
        <f ca="1">IF(ISERROR(OFFSET('HARGA SATUAN'!$I$6,MATCH(RAB!C23,'HARGA SATUAN'!$C$7:$C$1492,0),0)),0,OFFSET('HARGA SATUAN'!$I$6,MATCH(RAB!C23,'HARGA SATUAN'!$C$7:$C$1492,0),0))</f>
        <v>1427400</v>
      </c>
      <c r="H23" s="356">
        <f t="shared" ca="1" si="20"/>
        <v>1427400</v>
      </c>
      <c r="I23" s="356">
        <f t="shared" ca="1" si="21"/>
        <v>0</v>
      </c>
      <c r="J23" s="356">
        <f t="shared" ca="1" si="22"/>
        <v>0</v>
      </c>
      <c r="K23" s="357">
        <f t="shared" ca="1" si="23"/>
        <v>1427400</v>
      </c>
      <c r="L23" s="339"/>
      <c r="M23" s="339"/>
      <c r="N23" s="362"/>
      <c r="O23" s="341"/>
      <c r="P23" s="386"/>
      <c r="Q23" s="341"/>
    </row>
    <row r="24" spans="1:22" s="360" customFormat="1">
      <c r="A24" s="333"/>
      <c r="B24" s="497">
        <v>2</v>
      </c>
      <c r="C24" s="498" t="s">
        <v>513</v>
      </c>
      <c r="D24" s="353" t="str">
        <f ca="1">IF(ISERROR(OFFSET('HARGA SATUAN'!$D$6,MATCH(RAB!C24,'HARGA SATUAN'!$C$7:$C$1492,0),0)),"",OFFSET('HARGA SATUAN'!$D$6,MATCH(RAB!C24,'HARGA SATUAN'!$C$7:$C$1492,0),0))</f>
        <v>MDU-KD</v>
      </c>
      <c r="E24" s="354" t="str">
        <f ca="1">IF(B24="+","Unit",IF(ISERROR(OFFSET('HARGA SATUAN'!$E$6,MATCH(RAB!C24,'HARGA SATUAN'!$C$7:$C$1492,0),0)),"",OFFSET('HARGA SATUAN'!$E$6,MATCH(RAB!C24,'HARGA SATUAN'!$C$7:$C$1492,0),0)))</f>
        <v>Unit</v>
      </c>
      <c r="F24" s="487">
        <f>F22*1</f>
        <v>1</v>
      </c>
      <c r="G24" s="355">
        <f ca="1">IF(ISERROR(OFFSET('HARGA SATUAN'!$I$6,MATCH(RAB!C24,'HARGA SATUAN'!$C$7:$C$1492,0),0)),0,OFFSET('HARGA SATUAN'!$I$6,MATCH(RAB!C24,'HARGA SATUAN'!$C$7:$C$1492,0),0))</f>
        <v>3564900</v>
      </c>
      <c r="H24" s="356">
        <f t="shared" ca="1" si="20"/>
        <v>3564900</v>
      </c>
      <c r="I24" s="356">
        <f t="shared" ca="1" si="21"/>
        <v>0</v>
      </c>
      <c r="J24" s="356">
        <f t="shared" ca="1" si="22"/>
        <v>0</v>
      </c>
      <c r="K24" s="357">
        <f t="shared" ca="1" si="23"/>
        <v>3564900</v>
      </c>
      <c r="L24" s="339"/>
      <c r="M24" s="339"/>
      <c r="N24" s="362"/>
      <c r="O24" s="341"/>
      <c r="P24" s="386"/>
      <c r="Q24" s="341"/>
    </row>
    <row r="25" spans="1:22" s="360" customFormat="1">
      <c r="A25" s="333"/>
      <c r="B25" s="497">
        <v>3</v>
      </c>
      <c r="C25" s="498" t="s">
        <v>1142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Unit</v>
      </c>
      <c r="F25" s="487">
        <f>F22*1</f>
        <v>1</v>
      </c>
      <c r="G25" s="355">
        <f ca="1">IF(ISERROR(OFFSET('HARGA SATUAN'!$I$6,MATCH(RAB!C25,'HARGA SATUAN'!$C$7:$C$1492,0),0)),0,OFFSET('HARGA SATUAN'!$I$6,MATCH(RAB!C25,'HARGA SATUAN'!$C$7:$C$1492,0),0))</f>
        <v>1113900</v>
      </c>
      <c r="H25" s="356">
        <f t="shared" ca="1" si="20"/>
        <v>0</v>
      </c>
      <c r="I25" s="356">
        <f t="shared" ca="1" si="21"/>
        <v>1113900</v>
      </c>
      <c r="J25" s="356">
        <f t="shared" ca="1" si="22"/>
        <v>0</v>
      </c>
      <c r="K25" s="357">
        <f t="shared" ca="1" si="23"/>
        <v>1113900</v>
      </c>
      <c r="L25" s="339"/>
      <c r="M25" s="339"/>
      <c r="N25" s="362"/>
      <c r="O25" s="341"/>
      <c r="P25" s="386"/>
      <c r="Q25" s="341"/>
    </row>
    <row r="26" spans="1:22" s="360" customFormat="1">
      <c r="A26" s="333"/>
      <c r="B26" s="497">
        <v>4</v>
      </c>
      <c r="C26" s="109" t="s">
        <v>78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Mtr</v>
      </c>
      <c r="F26" s="487">
        <v>60</v>
      </c>
      <c r="G26" s="355">
        <f ca="1">IF(ISERROR(OFFSET('HARGA SATUAN'!$I$6,MATCH(RAB!C26,'HARGA SATUAN'!$C$7:$C$1492,0),0)),0,OFFSET('HARGA SATUAN'!$I$6,MATCH(RAB!C26,'HARGA SATUAN'!$C$7:$C$1492,0),0))</f>
        <v>23600</v>
      </c>
      <c r="H26" s="356">
        <f t="shared" ca="1" si="20"/>
        <v>0</v>
      </c>
      <c r="I26" s="356">
        <f t="shared" ca="1" si="21"/>
        <v>1416000</v>
      </c>
      <c r="J26" s="356">
        <f t="shared" ca="1" si="22"/>
        <v>0</v>
      </c>
      <c r="K26" s="357">
        <f t="shared" ca="1" si="23"/>
        <v>1416000</v>
      </c>
      <c r="L26" s="339"/>
      <c r="M26" s="339"/>
      <c r="N26" s="362"/>
      <c r="O26" s="341"/>
      <c r="P26" s="386"/>
      <c r="Q26" s="341"/>
    </row>
    <row r="27" spans="1:22" s="360" customFormat="1">
      <c r="A27" s="333"/>
      <c r="B27" s="497">
        <v>5</v>
      </c>
      <c r="C27" s="498" t="s">
        <v>799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87">
        <f>F22*1</f>
        <v>1</v>
      </c>
      <c r="G27" s="355">
        <f ca="1">IF(ISERROR(OFFSET('HARGA SATUAN'!$I$6,MATCH(RAB!C27,'HARGA SATUAN'!$C$7:$C$1492,0),0)),0,OFFSET('HARGA SATUAN'!$I$6,MATCH(RAB!C27,'HARGA SATUAN'!$C$7:$C$1492,0),0))</f>
        <v>106400</v>
      </c>
      <c r="H27" s="356">
        <f t="shared" ca="1" si="20"/>
        <v>0</v>
      </c>
      <c r="I27" s="356">
        <f t="shared" ca="1" si="21"/>
        <v>0</v>
      </c>
      <c r="J27" s="356">
        <f t="shared" ca="1" si="22"/>
        <v>106400</v>
      </c>
      <c r="K27" s="357">
        <f t="shared" ca="1" si="23"/>
        <v>106400</v>
      </c>
      <c r="L27" s="339"/>
      <c r="M27" s="339"/>
      <c r="N27" s="362"/>
      <c r="O27" s="341"/>
      <c r="P27" s="386"/>
      <c r="Q27" s="341"/>
    </row>
    <row r="28" spans="1:22">
      <c r="B28" s="364">
        <v>6</v>
      </c>
      <c r="C28" s="498" t="s">
        <v>982</v>
      </c>
      <c r="D28" s="353" t="str">
        <f ca="1">IF(ISERROR(OFFSET('HARGA SATUAN'!$D$6,MATCH(RAB!C28,'HARGA SATUAN'!$C$7:$C$1492,0),0)),"",OFFSET('HARGA SATUAN'!$D$6,MATCH(RAB!C28,'HARGA SATUAN'!$C$7:$C$1492,0),0))</f>
        <v>JASA</v>
      </c>
      <c r="E28" s="354" t="str">
        <f ca="1">IF(B28="+","Unit",IF(ISERROR(OFFSET('HARGA SATUAN'!$E$6,MATCH(RAB!C28,'HARGA SATUAN'!$C$7:$C$1492,0),0)),"",OFFSET('HARGA SATUAN'!$E$6,MATCH(RAB!C28,'HARGA SATUAN'!$C$7:$C$1492,0),0)))</f>
        <v>Unit</v>
      </c>
      <c r="F28" s="361">
        <v>1</v>
      </c>
      <c r="G28" s="355">
        <f ca="1">IF(ISERROR(OFFSET('HARGA SATUAN'!$I$6,MATCH(RAB!C28,'HARGA SATUAN'!$C$7:$C$1492,0),0)),0,OFFSET('HARGA SATUAN'!$I$6,MATCH(RAB!C28,'HARGA SATUAN'!$C$7:$C$1492,0),0))</f>
        <v>63840</v>
      </c>
      <c r="H28" s="356">
        <f t="shared" ca="1" si="20"/>
        <v>0</v>
      </c>
      <c r="I28" s="356">
        <f t="shared" ca="1" si="21"/>
        <v>0</v>
      </c>
      <c r="J28" s="356">
        <f t="shared" ca="1" si="22"/>
        <v>63840</v>
      </c>
      <c r="K28" s="357">
        <f t="shared" ca="1" si="23"/>
        <v>63840</v>
      </c>
    </row>
    <row r="29" spans="1:22">
      <c r="B29" s="364"/>
      <c r="C29" s="496"/>
      <c r="D29" s="353"/>
      <c r="E29" s="354"/>
      <c r="F29" s="361"/>
      <c r="G29" s="355"/>
      <c r="H29" s="356"/>
      <c r="I29" s="356"/>
      <c r="J29" s="356"/>
      <c r="K29" s="357"/>
    </row>
    <row r="30" spans="1:22">
      <c r="B30" s="488" t="s">
        <v>1035</v>
      </c>
      <c r="C30" s="489" t="s">
        <v>1610</v>
      </c>
      <c r="D30" s="353" t="str">
        <f ca="1">IF(ISERROR(OFFSET('HARGA SATUAN'!$D$6,MATCH(RAB!C30,'HARGA SATUAN'!$C$7:$C$1492,0),0)),"",OFFSET('HARGA SATUAN'!$D$6,MATCH(RAB!C30,'HARGA SATUAN'!$C$7:$C$1492,0),0))</f>
        <v/>
      </c>
      <c r="E30" s="354" t="str">
        <f ca="1">IF(B30="+","Unit",IF(ISERROR(OFFSET('HARGA SATUAN'!$E$6,MATCH(RAB!C30,'HARGA SATUAN'!$C$7:$C$1492,0),0)),"",OFFSET('HARGA SATUAN'!$E$6,MATCH(RAB!C30,'HARGA SATUAN'!$C$7:$C$1492,0),0)))</f>
        <v>Unit</v>
      </c>
      <c r="F30" s="490">
        <v>2</v>
      </c>
      <c r="G30" s="355">
        <f ca="1">IF(ISERROR(OFFSET('HARGA SATUAN'!$I$6,MATCH(RAB!C30,'HARGA SATUAN'!$C$7:$C$1492,0),0)),0,OFFSET('HARGA SATUAN'!$I$6,MATCH(RAB!C30,'HARGA SATUAN'!$C$7:$C$1492,0),0))</f>
        <v>0</v>
      </c>
      <c r="H30" s="356">
        <f t="shared" ref="H30:H35" ca="1" si="24">IF(OR(D30="MDU",D30="MDU-KD"),(IF($O$3="RAB NON MDU","PLN KD",G30*F30)),0)</f>
        <v>0</v>
      </c>
      <c r="I30" s="356">
        <f t="shared" ref="I30:I35" ca="1" si="25">IF(D30="HDW",G30*F30,0)</f>
        <v>0</v>
      </c>
      <c r="J30" s="356">
        <f t="shared" ref="J30:J35" ca="1" si="26">IF(D30="JASA",G30*F30,0)</f>
        <v>0</v>
      </c>
      <c r="K30" s="357">
        <f t="shared" ref="K30:K35" ca="1" si="27">SUM(H30:J30)</f>
        <v>0</v>
      </c>
    </row>
    <row r="31" spans="1:22">
      <c r="B31" s="488">
        <v>1</v>
      </c>
      <c r="C31" s="489" t="s">
        <v>29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90">
        <f>F30*1</f>
        <v>2</v>
      </c>
      <c r="G31" s="355">
        <f ca="1">IF(ISERROR(OFFSET('HARGA SATUAN'!$I$6,MATCH(RAB!C31,'HARGA SATUAN'!$C$7:$C$1492,0),0)),0,OFFSET('HARGA SATUAN'!$I$6,MATCH(RAB!C31,'HARGA SATUAN'!$C$7:$C$1492,0),0))</f>
        <v>185200</v>
      </c>
      <c r="H31" s="356">
        <f t="shared" ca="1" si="24"/>
        <v>0</v>
      </c>
      <c r="I31" s="356">
        <f t="shared" ca="1" si="25"/>
        <v>370400</v>
      </c>
      <c r="J31" s="356">
        <f t="shared" ca="1" si="26"/>
        <v>0</v>
      </c>
      <c r="K31" s="357">
        <f t="shared" ca="1" si="27"/>
        <v>370400</v>
      </c>
    </row>
    <row r="32" spans="1:22">
      <c r="B32" s="488">
        <v>2</v>
      </c>
      <c r="C32" s="489" t="s">
        <v>30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90">
        <f>F30*1</f>
        <v>2</v>
      </c>
      <c r="G32" s="355">
        <f ca="1">IF(ISERROR(OFFSET('HARGA SATUAN'!$I$6,MATCH(RAB!C32,'HARGA SATUAN'!$C$7:$C$1492,0),0)),0,OFFSET('HARGA SATUAN'!$I$6,MATCH(RAB!C32,'HARGA SATUAN'!$C$7:$C$1492,0),0))</f>
        <v>47459</v>
      </c>
      <c r="H32" s="356">
        <f t="shared" ca="1" si="24"/>
        <v>0</v>
      </c>
      <c r="I32" s="356">
        <f t="shared" ca="1" si="25"/>
        <v>94918</v>
      </c>
      <c r="J32" s="356">
        <f t="shared" ca="1" si="26"/>
        <v>0</v>
      </c>
      <c r="K32" s="357">
        <f t="shared" ca="1" si="27"/>
        <v>94918</v>
      </c>
    </row>
    <row r="33" spans="2:11">
      <c r="B33" s="488">
        <v>3</v>
      </c>
      <c r="C33" s="489" t="s">
        <v>32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Mtr</v>
      </c>
      <c r="F33" s="490">
        <f>F30*1.5</f>
        <v>3</v>
      </c>
      <c r="G33" s="355">
        <f ca="1">IF(ISERROR(OFFSET('HARGA SATUAN'!$I$6,MATCH(RAB!C33,'HARGA SATUAN'!$C$7:$C$1492,0),0)),0,OFFSET('HARGA SATUAN'!$I$6,MATCH(RAB!C33,'HARGA SATUAN'!$C$7:$C$1492,0),0))</f>
        <v>30000</v>
      </c>
      <c r="H33" s="356">
        <f t="shared" ca="1" si="24"/>
        <v>0</v>
      </c>
      <c r="I33" s="356">
        <f t="shared" ca="1" si="25"/>
        <v>90000</v>
      </c>
      <c r="J33" s="356">
        <f t="shared" ca="1" si="26"/>
        <v>0</v>
      </c>
      <c r="K33" s="357">
        <f t="shared" ca="1" si="27"/>
        <v>90000</v>
      </c>
    </row>
    <row r="34" spans="2:11">
      <c r="B34" s="488">
        <v>4</v>
      </c>
      <c r="C34" s="489" t="s">
        <v>33</v>
      </c>
      <c r="D34" s="353" t="str">
        <f ca="1">IF(ISERROR(OFFSET('HARGA SATUAN'!$D$6,MATCH(RAB!C34,'HARGA SATUAN'!$C$7:$C$1492,0),0)),"",OFFSET('HARGA SATUAN'!$D$6,MATCH(RAB!C34,'HARGA SATUAN'!$C$7:$C$1492,0),0))</f>
        <v>HDW</v>
      </c>
      <c r="E34" s="354" t="str">
        <f ca="1">IF(B34="+","Unit",IF(ISERROR(OFFSET('HARGA SATUAN'!$E$6,MATCH(RAB!C34,'HARGA SATUAN'!$C$7:$C$1492,0),0)),"",OFFSET('HARGA SATUAN'!$E$6,MATCH(RAB!C34,'HARGA SATUAN'!$C$7:$C$1492,0),0)))</f>
        <v>Bh</v>
      </c>
      <c r="F34" s="490">
        <f>F30*2</f>
        <v>4</v>
      </c>
      <c r="G34" s="355">
        <f ca="1">IF(ISERROR(OFFSET('HARGA SATUAN'!$I$6,MATCH(RAB!C34,'HARGA SATUAN'!$C$7:$C$1492,0),0)),0,OFFSET('HARGA SATUAN'!$I$6,MATCH(RAB!C34,'HARGA SATUAN'!$C$7:$C$1492,0),0))</f>
        <v>9500</v>
      </c>
      <c r="H34" s="356">
        <f t="shared" ca="1" si="24"/>
        <v>0</v>
      </c>
      <c r="I34" s="356">
        <f t="shared" ca="1" si="25"/>
        <v>38000</v>
      </c>
      <c r="J34" s="356">
        <f t="shared" ca="1" si="26"/>
        <v>0</v>
      </c>
      <c r="K34" s="357">
        <f t="shared" ca="1" si="27"/>
        <v>38000</v>
      </c>
    </row>
    <row r="35" spans="2:11">
      <c r="B35" s="488">
        <v>5</v>
      </c>
      <c r="C35" s="489" t="s">
        <v>735</v>
      </c>
      <c r="D35" s="353" t="str">
        <f ca="1">IF(ISERROR(OFFSET('HARGA SATUAN'!$D$6,MATCH(RAB!C35,'HARGA SATUAN'!$C$7:$C$1492,0),0)),"",OFFSET('HARGA SATUAN'!$D$6,MATCH(RAB!C35,'HARGA SATUAN'!$C$7:$C$1492,0),0))</f>
        <v>JASA</v>
      </c>
      <c r="E35" s="354" t="str">
        <f ca="1">IF(B35="+","Unit",IF(ISERROR(OFFSET('HARGA SATUAN'!$E$6,MATCH(RAB!C35,'HARGA SATUAN'!$C$7:$C$1492,0),0)),"",OFFSET('HARGA SATUAN'!$E$6,MATCH(RAB!C35,'HARGA SATUAN'!$C$7:$C$1492,0),0)))</f>
        <v>Unit</v>
      </c>
      <c r="F35" s="490">
        <f>F30*1</f>
        <v>2</v>
      </c>
      <c r="G35" s="355">
        <f ca="1">IF(ISERROR(OFFSET('HARGA SATUAN'!$I$6,MATCH(RAB!C35,'HARGA SATUAN'!$C$7:$C$1492,0),0)),0,OFFSET('HARGA SATUAN'!$I$6,MATCH(RAB!C35,'HARGA SATUAN'!$C$7:$C$1492,0),0))</f>
        <v>56400</v>
      </c>
      <c r="H35" s="356">
        <f t="shared" ca="1" si="24"/>
        <v>0</v>
      </c>
      <c r="I35" s="356">
        <f t="shared" ca="1" si="25"/>
        <v>0</v>
      </c>
      <c r="J35" s="356">
        <f t="shared" ca="1" si="26"/>
        <v>112800</v>
      </c>
      <c r="K35" s="357">
        <f t="shared" ca="1" si="27"/>
        <v>112800</v>
      </c>
    </row>
    <row r="36" spans="2:11">
      <c r="B36" s="364"/>
      <c r="C36" s="486"/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/>
      </c>
      <c r="F36" s="361"/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ref="H36" ca="1" si="28">IF(OR(D36="MDU",D36="MDU-KD"),(IF($O$3="RAB NON MDU","PLN KD",G36*F36)),0)</f>
        <v>0</v>
      </c>
      <c r="I36" s="356">
        <f t="shared" ref="I36" ca="1" si="29">IF(D36="HDW",G36*F36,0)</f>
        <v>0</v>
      </c>
      <c r="J36" s="356">
        <f t="shared" ref="J36" ca="1" si="30">IF(D36="JASA",G36*F36,0)</f>
        <v>0</v>
      </c>
      <c r="K36" s="357">
        <f t="shared" ref="K36" ca="1" si="31">SUM(H36:J36)</f>
        <v>0</v>
      </c>
    </row>
    <row r="37" spans="2:11">
      <c r="B37" s="492" t="s">
        <v>1035</v>
      </c>
      <c r="C37" s="494" t="s">
        <v>1611</v>
      </c>
      <c r="D37" s="353" t="str">
        <f ca="1">IF(ISERROR(OFFSET('HARGA SATUAN'!$D$6,MATCH(RAB!C37,'HARGA SATUAN'!$C$7:$C$1492,0),0)),"",OFFSET('HARGA SATUAN'!$D$6,MATCH(RAB!C37,'HARGA SATUAN'!$C$7:$C$1492,0),0))</f>
        <v/>
      </c>
      <c r="E37" s="354" t="str">
        <f ca="1">IF(B37="+","Unit",IF(ISERROR(OFFSET('HARGA SATUAN'!$E$6,MATCH(RAB!C37,'HARGA SATUAN'!$C$7:$C$1492,0),0)),"",OFFSET('HARGA SATUAN'!$E$6,MATCH(RAB!C37,'HARGA SATUAN'!$C$7:$C$1492,0),0)))</f>
        <v>Unit</v>
      </c>
      <c r="F37" s="495">
        <v>2</v>
      </c>
      <c r="G37" s="355">
        <f ca="1">IF(ISERROR(OFFSET('HARGA SATUAN'!$I$6,MATCH(RAB!C37,'HARGA SATUAN'!$C$7:$C$1492,0),0)),0,OFFSET('HARGA SATUAN'!$I$6,MATCH(RAB!C37,'HARGA SATUAN'!$C$7:$C$1492,0),0))</f>
        <v>0</v>
      </c>
      <c r="H37" s="356">
        <f t="shared" ref="H37:H45" ca="1" si="32">IF(OR(D37="MDU",D37="MDU-KD"),(IF($O$3="RAB NON MDU","PLN KD",G37*F37)),0)</f>
        <v>0</v>
      </c>
      <c r="I37" s="356">
        <f t="shared" ref="I37:I45" ca="1" si="33">IF(D37="HDW",G37*F37,0)</f>
        <v>0</v>
      </c>
      <c r="J37" s="356">
        <f t="shared" ref="J37:J45" ca="1" si="34">IF(D37="JASA",G37*F37,0)</f>
        <v>0</v>
      </c>
      <c r="K37" s="357">
        <f t="shared" ref="K37:K45" ca="1" si="35">SUM(H37:J37)</f>
        <v>0</v>
      </c>
    </row>
    <row r="38" spans="2:11">
      <c r="B38" s="492">
        <v>1</v>
      </c>
      <c r="C38" s="494" t="s">
        <v>115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Set</v>
      </c>
      <c r="F38" s="495">
        <v>2</v>
      </c>
      <c r="G38" s="355">
        <f ca="1">IF(ISERROR(OFFSET('HARGA SATUAN'!$I$6,MATCH(RAB!C38,'HARGA SATUAN'!$C$7:$C$1492,0),0)),0,OFFSET('HARGA SATUAN'!$I$6,MATCH(RAB!C38,'HARGA SATUAN'!$C$7:$C$1492,0),0))</f>
        <v>11500</v>
      </c>
      <c r="H38" s="356">
        <f t="shared" ca="1" si="32"/>
        <v>0</v>
      </c>
      <c r="I38" s="356">
        <f t="shared" ca="1" si="33"/>
        <v>23000</v>
      </c>
      <c r="J38" s="356">
        <f t="shared" ca="1" si="34"/>
        <v>0</v>
      </c>
      <c r="K38" s="357">
        <f t="shared" ca="1" si="35"/>
        <v>23000</v>
      </c>
    </row>
    <row r="39" spans="2:11">
      <c r="B39" s="492">
        <v>2</v>
      </c>
      <c r="C39" s="494" t="s">
        <v>145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Set</v>
      </c>
      <c r="F39" s="495">
        <v>2</v>
      </c>
      <c r="G39" s="355">
        <f ca="1">IF(ISERROR(OFFSET('HARGA SATUAN'!$I$6,MATCH(RAB!C39,'HARGA SATUAN'!$C$7:$C$1492,0),0)),0,OFFSET('HARGA SATUAN'!$I$6,MATCH(RAB!C39,'HARGA SATUAN'!$C$7:$C$1492,0),0))</f>
        <v>6200</v>
      </c>
      <c r="H39" s="356">
        <f t="shared" ca="1" si="32"/>
        <v>0</v>
      </c>
      <c r="I39" s="356">
        <f t="shared" ca="1" si="33"/>
        <v>12400</v>
      </c>
      <c r="J39" s="356">
        <f t="shared" ca="1" si="34"/>
        <v>0</v>
      </c>
      <c r="K39" s="357">
        <f t="shared" ca="1" si="35"/>
        <v>12400</v>
      </c>
    </row>
    <row r="40" spans="2:11">
      <c r="B40" s="492">
        <v>3</v>
      </c>
      <c r="C40" s="494" t="s">
        <v>587</v>
      </c>
      <c r="D40" s="353" t="str">
        <f ca="1">IF(ISERROR(OFFSET('HARGA SATUAN'!$D$6,MATCH(RAB!C40,'HARGA SATUAN'!$C$7:$C$1492,0),0)),"",OFFSET('HARGA SATUAN'!$D$6,MATCH(RAB!C40,'HARGA SATUAN'!$C$7:$C$1492,0),0))</f>
        <v>HDW</v>
      </c>
      <c r="E40" s="354" t="str">
        <f ca="1">IF(B40="+","Unit",IF(ISERROR(OFFSET('HARGA SATUAN'!$E$6,MATCH(RAB!C40,'HARGA SATUAN'!$C$7:$C$1492,0),0)),"",OFFSET('HARGA SATUAN'!$E$6,MATCH(RAB!C40,'HARGA SATUAN'!$C$7:$C$1492,0),0)))</f>
        <v>Btg</v>
      </c>
      <c r="F40" s="495">
        <v>2</v>
      </c>
      <c r="G40" s="355">
        <f ca="1">IF(ISERROR(OFFSET('HARGA SATUAN'!$I$6,MATCH(RAB!C40,'HARGA SATUAN'!$C$7:$C$1492,0),0)),0,OFFSET('HARGA SATUAN'!$I$6,MATCH(RAB!C40,'HARGA SATUAN'!$C$7:$C$1492,0),0))</f>
        <v>45796</v>
      </c>
      <c r="H40" s="356">
        <f t="shared" ca="1" si="32"/>
        <v>0</v>
      </c>
      <c r="I40" s="356">
        <f t="shared" ca="1" si="33"/>
        <v>91592</v>
      </c>
      <c r="J40" s="356">
        <f t="shared" ca="1" si="34"/>
        <v>0</v>
      </c>
      <c r="K40" s="357">
        <f t="shared" ca="1" si="35"/>
        <v>91592</v>
      </c>
    </row>
    <row r="41" spans="2:11">
      <c r="B41" s="492">
        <v>4</v>
      </c>
      <c r="C41" s="494" t="s">
        <v>118</v>
      </c>
      <c r="D41" s="353" t="str">
        <f ca="1">IF(ISERROR(OFFSET('HARGA SATUAN'!$D$6,MATCH(RAB!C41,'HARGA SATUAN'!$C$7:$C$1492,0),0)),"",OFFSET('HARGA SATUAN'!$D$6,MATCH(RAB!C41,'HARGA SATUAN'!$C$7:$C$1492,0),0))</f>
        <v>HDW</v>
      </c>
      <c r="E41" s="354" t="str">
        <f ca="1">IF(B41="+","Unit",IF(ISERROR(OFFSET('HARGA SATUAN'!$E$6,MATCH(RAB!C41,'HARGA SATUAN'!$C$7:$C$1492,0),0)),"",OFFSET('HARGA SATUAN'!$E$6,MATCH(RAB!C41,'HARGA SATUAN'!$C$7:$C$1492,0),0)))</f>
        <v>Set</v>
      </c>
      <c r="F41" s="495">
        <v>2</v>
      </c>
      <c r="G41" s="355">
        <f ca="1">IF(ISERROR(OFFSET('HARGA SATUAN'!$I$6,MATCH(RAB!C41,'HARGA SATUAN'!$C$7:$C$1492,0),0)),0,OFFSET('HARGA SATUAN'!$I$6,MATCH(RAB!C41,'HARGA SATUAN'!$C$7:$C$1492,0),0))</f>
        <v>5300</v>
      </c>
      <c r="H41" s="356">
        <f t="shared" ca="1" si="32"/>
        <v>0</v>
      </c>
      <c r="I41" s="356">
        <f t="shared" ca="1" si="33"/>
        <v>10600</v>
      </c>
      <c r="J41" s="356">
        <f t="shared" ca="1" si="34"/>
        <v>0</v>
      </c>
      <c r="K41" s="357">
        <f t="shared" ca="1" si="35"/>
        <v>10600</v>
      </c>
    </row>
    <row r="42" spans="2:11">
      <c r="B42" s="492">
        <v>5</v>
      </c>
      <c r="C42" s="494" t="s">
        <v>117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495">
        <v>2</v>
      </c>
      <c r="G42" s="355">
        <f ca="1">IF(ISERROR(OFFSET('HARGA SATUAN'!$I$6,MATCH(RAB!C42,'HARGA SATUAN'!$C$7:$C$1492,0),0)),0,OFFSET('HARGA SATUAN'!$I$6,MATCH(RAB!C42,'HARGA SATUAN'!$C$7:$C$1492,0),0))</f>
        <v>58600</v>
      </c>
      <c r="H42" s="356">
        <f t="shared" ca="1" si="32"/>
        <v>0</v>
      </c>
      <c r="I42" s="356">
        <f t="shared" ca="1" si="33"/>
        <v>117200</v>
      </c>
      <c r="J42" s="356">
        <f t="shared" ca="1" si="34"/>
        <v>0</v>
      </c>
      <c r="K42" s="357">
        <f t="shared" ca="1" si="35"/>
        <v>117200</v>
      </c>
    </row>
    <row r="43" spans="2:11">
      <c r="B43" s="492">
        <v>6</v>
      </c>
      <c r="C43" s="109" t="s">
        <v>1155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Set</v>
      </c>
      <c r="F43" s="495">
        <v>4</v>
      </c>
      <c r="G43" s="355">
        <f ca="1">IF(ISERROR(OFFSET('HARGA SATUAN'!$I$6,MATCH(RAB!C43,'HARGA SATUAN'!$C$7:$C$1492,0),0)),0,OFFSET('HARGA SATUAN'!$I$6,MATCH(RAB!C43,'HARGA SATUAN'!$C$7:$C$1492,0),0))</f>
        <v>2900</v>
      </c>
      <c r="H43" s="356">
        <f t="shared" ca="1" si="32"/>
        <v>0</v>
      </c>
      <c r="I43" s="356">
        <f t="shared" ca="1" si="33"/>
        <v>11600</v>
      </c>
      <c r="J43" s="356">
        <f t="shared" ca="1" si="34"/>
        <v>0</v>
      </c>
      <c r="K43" s="357">
        <f t="shared" ca="1" si="35"/>
        <v>11600</v>
      </c>
    </row>
    <row r="44" spans="2:11">
      <c r="B44" s="492">
        <v>7</v>
      </c>
      <c r="C44" s="494" t="s">
        <v>119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Set</v>
      </c>
      <c r="F44" s="495">
        <v>8</v>
      </c>
      <c r="G44" s="355">
        <f ca="1">IF(ISERROR(OFFSET('HARGA SATUAN'!$I$6,MATCH(RAB!C44,'HARGA SATUAN'!$C$7:$C$1492,0),0)),0,OFFSET('HARGA SATUAN'!$I$6,MATCH(RAB!C44,'HARGA SATUAN'!$C$7:$C$1492,0),0))</f>
        <v>8900</v>
      </c>
      <c r="H44" s="356">
        <f t="shared" ca="1" si="32"/>
        <v>0</v>
      </c>
      <c r="I44" s="356">
        <f t="shared" ca="1" si="33"/>
        <v>71200</v>
      </c>
      <c r="J44" s="356">
        <f t="shared" ca="1" si="34"/>
        <v>0</v>
      </c>
      <c r="K44" s="357">
        <f t="shared" ca="1" si="35"/>
        <v>71200</v>
      </c>
    </row>
    <row r="45" spans="2:11">
      <c r="B45" s="481" t="s">
        <v>526</v>
      </c>
      <c r="C45" s="482" t="s">
        <v>1609</v>
      </c>
      <c r="D45" s="353" t="str">
        <f ca="1">IF(ISERROR(OFFSET('HARGA SATUAN'!$D$6,MATCH(RAB!C45,'HARGA SATUAN'!$C$7:$C$1492,0),0)),"",OFFSET('HARGA SATUAN'!$D$6,MATCH(RAB!C45,'HARGA SATUAN'!$C$7:$C$1492,0),0))</f>
        <v/>
      </c>
      <c r="E45" s="354" t="str">
        <f ca="1">IF(B45="+","Unit",IF(ISERROR(OFFSET('HARGA SATUAN'!$E$6,MATCH(RAB!C45,'HARGA SATUAN'!$C$7:$C$1492,0),0)),"",OFFSET('HARGA SATUAN'!$E$6,MATCH(RAB!C45,'HARGA SATUAN'!$C$7:$C$1492,0),0)))</f>
        <v/>
      </c>
      <c r="F45" s="361"/>
      <c r="G45" s="355">
        <f ca="1">IF(ISERROR(OFFSET('HARGA SATUAN'!$I$6,MATCH(RAB!C45,'HARGA SATUAN'!$C$7:$C$1492,0),0)),0,OFFSET('HARGA SATUAN'!$I$6,MATCH(RAB!C45,'HARGA SATUAN'!$C$7:$C$1492,0),0))</f>
        <v>0</v>
      </c>
      <c r="H45" s="356">
        <f t="shared" ca="1" si="32"/>
        <v>0</v>
      </c>
      <c r="I45" s="356">
        <f t="shared" ca="1" si="33"/>
        <v>0</v>
      </c>
      <c r="J45" s="356">
        <f t="shared" ca="1" si="34"/>
        <v>0</v>
      </c>
      <c r="K45" s="357">
        <f t="shared" ca="1" si="35"/>
        <v>0</v>
      </c>
    </row>
    <row r="46" spans="2:11">
      <c r="B46" s="364"/>
      <c r="C46" s="486"/>
      <c r="D46" s="353" t="str">
        <f ca="1">IF(ISERROR(OFFSET('HARGA SATUAN'!$D$6,MATCH(RAB!C46,'HARGA SATUAN'!$C$7:$C$1492,0),0)),"",OFFSET('HARGA SATUAN'!$D$6,MATCH(RAB!C46,'HARGA SATUAN'!$C$7:$C$1492,0),0))</f>
        <v/>
      </c>
      <c r="E46" s="354" t="str">
        <f ca="1">IF(B46="+","Unit",IF(ISERROR(OFFSET('HARGA SATUAN'!$E$6,MATCH(RAB!C46,'HARGA SATUAN'!$C$7:$C$1492,0),0)),"",OFFSET('HARGA SATUAN'!$E$6,MATCH(RAB!C46,'HARGA SATUAN'!$C$7:$C$1492,0),0)))</f>
        <v/>
      </c>
      <c r="F46" s="361"/>
      <c r="G46" s="355">
        <f ca="1">IF(ISERROR(OFFSET('HARGA SATUAN'!$I$6,MATCH(RAB!C46,'HARGA SATUAN'!$C$7:$C$1492,0),0)),0,OFFSET('HARGA SATUAN'!$I$6,MATCH(RAB!C46,'HARGA SATUAN'!$C$7:$C$1492,0),0))</f>
        <v>0</v>
      </c>
      <c r="H46" s="356">
        <f t="shared" ref="H46:H47" ca="1" si="36">IF(OR(D46="MDU",D46="MDU-KD"),(IF($O$3="RAB NON MDU","PLN KD",G46*F46)),0)</f>
        <v>0</v>
      </c>
      <c r="I46" s="356">
        <f t="shared" ref="I46:I47" ca="1" si="37">IF(D46="HDW",G46*F46,0)</f>
        <v>0</v>
      </c>
      <c r="J46" s="356">
        <f t="shared" ref="J46:J47" ca="1" si="38">IF(D46="JASA",G46*F46,0)</f>
        <v>0</v>
      </c>
      <c r="K46" s="357">
        <f t="shared" ref="K46:K47" ca="1" si="39">SUM(H46:J46)</f>
        <v>0</v>
      </c>
    </row>
    <row r="47" spans="2:11">
      <c r="B47" s="365"/>
      <c r="C47" s="366" t="s">
        <v>475</v>
      </c>
      <c r="D47" s="353" t="str">
        <f ca="1">IF(ISERROR(OFFSET('HARGA SATUAN'!$D$6,MATCH(RAB!C47,'HARGA SATUAN'!$C$7:$C$1492,0),0)),"",OFFSET('HARGA SATUAN'!$D$6,MATCH(RAB!C47,'HARGA SATUAN'!$C$7:$C$1492,0),0))</f>
        <v/>
      </c>
      <c r="E47" s="354" t="str">
        <f ca="1">IF(B47="+","Unit",IF(ISERROR(OFFSET('HARGA SATUAN'!$E$6,MATCH(RAB!C47,'HARGA SATUAN'!$C$7:$C$1492,0),0)),"",OFFSET('HARGA SATUAN'!$E$6,MATCH(RAB!C47,'HARGA SATUAN'!$C$7:$C$1492,0),0)))</f>
        <v/>
      </c>
      <c r="F47" s="361"/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ca="1" si="36"/>
        <v>0</v>
      </c>
      <c r="I47" s="356">
        <f t="shared" ca="1" si="37"/>
        <v>0</v>
      </c>
      <c r="J47" s="356">
        <f t="shared" ca="1" si="38"/>
        <v>0</v>
      </c>
      <c r="K47" s="357">
        <f t="shared" ca="1" si="39"/>
        <v>0</v>
      </c>
    </row>
    <row r="48" spans="2:11">
      <c r="B48" s="368">
        <v>1</v>
      </c>
      <c r="C48" s="369" t="s">
        <v>1091</v>
      </c>
      <c r="D48" s="370" t="str">
        <f ca="1">IF(ISERROR(OFFSET('HARGA SATUAN'!$D$6,MATCH(RAB!C48,'HARGA SATUAN'!$C$7:$C$1492,0),0)),"",OFFSET('HARGA SATUAN'!$D$6,MATCH(RAB!C48,'HARGA SATUAN'!$C$7:$C$1492,0),0))</f>
        <v>JASA</v>
      </c>
      <c r="E48" s="371" t="str">
        <f ca="1">IF(ISERROR(OFFSET('HARGA SATUAN'!$E$6,MATCH(RAB!C48,'HARGA SATUAN'!$C$7:$C$1492,0),0)),"",OFFSET('HARGA SATUAN'!$E$6,MATCH(RAB!C48,'HARGA SATUAN'!$C$7:$C$1492,0),0))</f>
        <v>Lot</v>
      </c>
      <c r="F48" s="372">
        <v>1</v>
      </c>
      <c r="G48" s="373">
        <f ca="1">IF(ISERROR(OFFSET('HARGA SATUAN'!$I$6,MATCH(RAB!C48,'HARGA SATUAN'!$C$7:$C$1492,0),0)),0,OFFSET('HARGA SATUAN'!$I$6,MATCH(RAB!C48,'HARGA SATUAN'!$C$7:$C$1492,0),0))</f>
        <v>2.5000000000000001E-2</v>
      </c>
      <c r="H48" s="374">
        <f ca="1">(SUM(H14:H47))*2.5%</f>
        <v>124807.5</v>
      </c>
      <c r="I48" s="374">
        <f ca="1">(SUM(I14:I47))*2.5%</f>
        <v>86520.25</v>
      </c>
      <c r="J48" s="374">
        <f t="shared" ref="J48:K48" ca="1" si="40">(SUM(J14:J47))*2.5%</f>
        <v>7076</v>
      </c>
      <c r="K48" s="374">
        <f t="shared" ca="1" si="40"/>
        <v>218403.75</v>
      </c>
    </row>
    <row r="49" spans="2:13">
      <c r="B49" s="375"/>
      <c r="C49" s="376"/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IF(ISERROR(OFFSET('HARGA SATUAN'!$E$6,MATCH(RAB!C49,'HARGA SATUAN'!$C$7:$C$1492,0),0)),"",OFFSET('HARGA SATUAN'!$E$6,MATCH(RAB!C49,'HARGA SATUAN'!$C$7:$C$1492,0),0))</f>
        <v/>
      </c>
      <c r="F49" s="367"/>
      <c r="G49" s="355" t="str">
        <f ca="1">IF(ISERROR(OFFSET('HARGA SATUAN'!$I$6,MATCH(RAB!C49,'HARGA SATUAN'!$C$7:$C$1492,0),0)),"",OFFSET('HARGA SATUAN'!$I$6,MATCH(RAB!C49,'HARGA SATUAN'!$C$7:$C$1492,0),0))</f>
        <v/>
      </c>
      <c r="H49" s="356">
        <f ca="1">IF(OR(D49="MDU",D49="MDU-KD"),IF(G49="PLN",0,G49*F49),0)</f>
        <v>0</v>
      </c>
      <c r="I49" s="356">
        <f ca="1">IF(D49="HDW",IF(G49="PLN",0,G49*F49),0)</f>
        <v>0</v>
      </c>
      <c r="J49" s="356">
        <f ca="1">IF(D49="JASA",IF(G49="PLN",0,G49*F49),0)</f>
        <v>0</v>
      </c>
      <c r="K49" s="357">
        <f ca="1">SUM(H49:J49)</f>
        <v>0</v>
      </c>
    </row>
    <row r="50" spans="2:13" ht="15.75" thickBot="1">
      <c r="B50" s="377"/>
      <c r="C50" s="378"/>
      <c r="D50" s="379"/>
      <c r="E50" s="380"/>
      <c r="F50" s="380"/>
      <c r="G50" s="380"/>
      <c r="H50" s="381"/>
      <c r="I50" s="381"/>
      <c r="J50" s="381"/>
      <c r="K50" s="382"/>
    </row>
    <row r="51" spans="2:13">
      <c r="B51" s="383"/>
      <c r="C51" s="617" t="s">
        <v>1008</v>
      </c>
      <c r="D51" s="617"/>
      <c r="E51" s="617"/>
      <c r="F51" s="617"/>
      <c r="G51" s="384" t="s">
        <v>9</v>
      </c>
      <c r="H51" s="385">
        <f ca="1">SUM(H14:H49)</f>
        <v>5117107.5</v>
      </c>
      <c r="I51" s="385">
        <f ca="1">SUM(I14:I49)</f>
        <v>3547330.25</v>
      </c>
      <c r="J51" s="385">
        <f ca="1">SUM(J14:J49)</f>
        <v>290116</v>
      </c>
      <c r="K51" s="385">
        <f ca="1">SUM(K14:K49)</f>
        <v>8954553.75</v>
      </c>
    </row>
    <row r="52" spans="2:13">
      <c r="B52" s="387"/>
      <c r="C52" s="600" t="s">
        <v>1457</v>
      </c>
      <c r="D52" s="600"/>
      <c r="E52" s="600"/>
      <c r="F52" s="600"/>
      <c r="G52" s="388" t="s">
        <v>9</v>
      </c>
      <c r="H52" s="389">
        <f ca="1">H51*0.11</f>
        <v>562881.82499999995</v>
      </c>
      <c r="I52" s="389">
        <f ca="1">I51*0.11</f>
        <v>390206.32750000001</v>
      </c>
      <c r="J52" s="389">
        <f ca="1">J51*0.11</f>
        <v>31912.76</v>
      </c>
      <c r="K52" s="389">
        <f ca="1">K51*0.11</f>
        <v>985000.91249999998</v>
      </c>
    </row>
    <row r="53" spans="2:13" ht="15.75" thickBot="1">
      <c r="B53" s="387"/>
      <c r="C53" s="598" t="s">
        <v>463</v>
      </c>
      <c r="D53" s="598"/>
      <c r="E53" s="598"/>
      <c r="F53" s="598"/>
      <c r="G53" s="390" t="s">
        <v>9</v>
      </c>
      <c r="H53" s="391">
        <f ca="1">SUM(H51:H52)</f>
        <v>5679989.3250000002</v>
      </c>
      <c r="I53" s="391">
        <f ca="1">SUM(I51:I52)</f>
        <v>3937536.5775000001</v>
      </c>
      <c r="J53" s="390">
        <f ca="1">SUM(J51:J52)</f>
        <v>322028.76</v>
      </c>
      <c r="K53" s="390">
        <f ca="1">SUM(K51:K52)</f>
        <v>9939554.6624999996</v>
      </c>
      <c r="M53" s="469"/>
    </row>
    <row r="54" spans="2:13">
      <c r="B54" s="601" t="str">
        <f ca="1">"Terbilang : "&amp;PROPER(IF(K53=0,"nol",IF(K53&lt;0,"minus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IF(--MID(TEXT(ABS(K53),"000000000000000"),1,3)=0,"",MID(TEXT(ABS(K53),"000000000000000"),1,1)&amp;" ratus "&amp;MID(TEXT(ABS(K53),"000000000000000"),2,1)&amp;" puluh "&amp;MID(TEXT(ABS(K53),"000000000000000"),3,1)&amp;" trilyun ")&amp; IF(--MID(TEXT(ABS(K53),"000000000000000"),4,3)=0,"",MID(TEXT(ABS(K53),"000000000000000"),4,1)&amp;" ratus "&amp;MID(TEXT(ABS(K53),"000000000000000"),5,1)&amp;" puluh "&amp;MID(TEXT(ABS(K53),"000000000000000"),6,1)&amp;" milyar ")&amp; IF(--MID(TEXT(ABS(K53),"000000000000000"),7,3)=0,"",MID(TEXT(ABS(K53),"000000000000000"),7,1)&amp;" ratus "&amp;MID(TEXT(ABS(K53),"000000000000000"),8,1)&amp;" puluh "&amp;MID(TEXT(ABS(K53),"000000000000000"),9,1)&amp;" juta ")&amp; IF(--MID(TEXT(ABS(K53),"000000000000000"),10,3)=0,"",IF(--MID(TEXT(ABS(K53),"000000000000000"),10,3)=1,"*",MID(TEXT(ABS(K53),"000000000000000"),10,1)&amp;" ratus "&amp;MID(TEXT(ABS(K53),"000000000000000"),11,1)&amp;" puluh ")&amp;MID(TEXT(ABS(K53),"000000000000000"),12,1)&amp;" ribu ")&amp; IF(--MID(TEXT(ABS(K53),"000000000000000"),13,3)=0,"",MID(TEXT(ABS(K53),"000000000000000"),13,1)&amp;" ratus "&amp;MID(TEXT(ABS(K53),"000000000000000"),14,1)&amp;" puluh "&amp;MID(TEXT(ABS(K53),"000000000000000"),15,1)),1,"satu"),2,"dua"),3,"tiga"),4,"empat"),5,"lima"),6,"enam"),7,"tujuh"),8,"delapan"),9,"sembilan"),"0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Juta Sembilan Ratus Tiga Puluh Sembilan Ribu Lima Ratus Lima Puluh Lima Rupiah</v>
      </c>
      <c r="C54" s="602"/>
      <c r="D54" s="602"/>
      <c r="E54" s="602"/>
      <c r="F54" s="602"/>
      <c r="G54" s="602"/>
      <c r="H54" s="602"/>
      <c r="I54" s="602"/>
      <c r="J54" s="602"/>
      <c r="K54" s="603"/>
    </row>
    <row r="55" spans="2:13">
      <c r="B55" s="604"/>
      <c r="C55" s="605"/>
      <c r="D55" s="605"/>
      <c r="E55" s="605"/>
      <c r="F55" s="605"/>
      <c r="G55" s="605"/>
      <c r="H55" s="605"/>
      <c r="I55" s="605"/>
      <c r="J55" s="605"/>
      <c r="K55" s="606"/>
    </row>
    <row r="56" spans="2:13" ht="15.75" thickBot="1">
      <c r="B56" s="392" t="str">
        <f>"Harga yang dipakai adalah "&amp;'HARGA SATUAN'!I5&amp;""</f>
        <v>Harga yang dipakai adalah RAB HSS 2023</v>
      </c>
      <c r="C56" s="393"/>
      <c r="D56" s="394"/>
      <c r="E56" s="394"/>
      <c r="F56" s="394"/>
      <c r="G56" s="395"/>
      <c r="H56" s="395"/>
      <c r="I56" s="395"/>
      <c r="J56" s="395"/>
      <c r="K56" s="396"/>
    </row>
    <row r="57" spans="2:13">
      <c r="C57" s="397"/>
      <c r="E57" s="399"/>
      <c r="F57" s="399"/>
      <c r="G57" s="399"/>
    </row>
    <row r="58" spans="2:13">
      <c r="C58" s="334"/>
      <c r="E58" s="399"/>
      <c r="F58" s="399"/>
      <c r="G58" s="399"/>
      <c r="H58" s="607"/>
      <c r="I58" s="607"/>
      <c r="J58" s="608"/>
      <c r="K58" s="608"/>
    </row>
    <row r="59" spans="2:13">
      <c r="C59" s="334"/>
      <c r="E59" s="399"/>
      <c r="F59" s="399"/>
      <c r="G59" s="399"/>
      <c r="H59" s="400"/>
      <c r="I59" s="597" t="s">
        <v>1615</v>
      </c>
      <c r="J59" s="597"/>
      <c r="K59" s="597"/>
    </row>
    <row r="60" spans="2:13">
      <c r="C60" s="334"/>
      <c r="E60" s="399"/>
      <c r="F60" s="399"/>
      <c r="G60" s="399"/>
      <c r="H60" s="400"/>
      <c r="I60" s="597" t="s">
        <v>1616</v>
      </c>
      <c r="J60" s="597"/>
      <c r="K60" s="597"/>
    </row>
    <row r="61" spans="2:13">
      <c r="C61" s="334"/>
      <c r="E61" s="399"/>
      <c r="F61" s="399"/>
      <c r="G61" s="399"/>
      <c r="H61" s="401"/>
      <c r="I61" s="402"/>
      <c r="J61" s="402"/>
      <c r="K61" s="402"/>
    </row>
    <row r="62" spans="2:13">
      <c r="C62" s="334"/>
      <c r="E62" s="399"/>
      <c r="F62" s="399"/>
      <c r="G62" s="399"/>
      <c r="H62" s="401"/>
      <c r="I62" s="401"/>
      <c r="J62" s="401"/>
      <c r="K62" s="401"/>
    </row>
    <row r="63" spans="2:13">
      <c r="C63" s="334"/>
      <c r="E63" s="399"/>
      <c r="F63" s="399"/>
      <c r="G63" s="399"/>
      <c r="H63" s="401"/>
      <c r="I63" s="401"/>
      <c r="J63" s="401"/>
      <c r="K63" s="401"/>
    </row>
    <row r="64" spans="2:13">
      <c r="C64" s="334"/>
      <c r="E64" s="399"/>
      <c r="F64" s="399"/>
      <c r="G64" s="399"/>
      <c r="H64" s="401"/>
      <c r="I64" s="401"/>
      <c r="J64" s="401"/>
      <c r="K64" s="401"/>
    </row>
    <row r="65" spans="3:11">
      <c r="C65" s="334"/>
      <c r="E65" s="399"/>
      <c r="F65" s="399"/>
      <c r="G65" s="399"/>
      <c r="H65" s="403"/>
      <c r="I65" s="597" t="s">
        <v>1617</v>
      </c>
      <c r="J65" s="597"/>
      <c r="K65" s="597"/>
    </row>
    <row r="66" spans="3:11">
      <c r="C66" s="397"/>
      <c r="E66" s="399"/>
      <c r="F66" s="399"/>
      <c r="G66" s="399"/>
      <c r="H66" s="401"/>
      <c r="I66" s="401"/>
      <c r="J66" s="401"/>
      <c r="K66" s="401"/>
    </row>
    <row r="67" spans="3:11">
      <c r="C67" s="397"/>
      <c r="E67" s="399"/>
      <c r="F67" s="399"/>
      <c r="G67" s="399"/>
      <c r="H67" s="401"/>
      <c r="I67" s="401"/>
      <c r="J67" s="401"/>
      <c r="K67" s="401"/>
    </row>
    <row r="68" spans="3:11">
      <c r="C68" s="397"/>
      <c r="E68" s="399"/>
      <c r="F68" s="399"/>
      <c r="G68" s="399"/>
      <c r="H68" s="401"/>
      <c r="I68" s="401"/>
      <c r="J68" s="401"/>
      <c r="K68" s="401"/>
    </row>
  </sheetData>
  <sheetProtection sort="0" autoFilter="0"/>
  <protectedRanges>
    <protectedRange sqref="B28:B29 B46 B36:B44" name="Range1_1"/>
    <protectedRange sqref="F28:F29 F36:F47 F14:F21" name="Range1_1_2_2"/>
    <protectedRange sqref="C17:C19" name="Range1_1_3"/>
    <protectedRange sqref="B22:C22 B27:C27 B26 B24:C25 B23 C28:C29" name="Range1_6_1"/>
    <protectedRange sqref="C23" name="Range1_1_3_10"/>
    <protectedRange sqref="C26" name="Range1_1_3_2"/>
  </protectedRanges>
  <mergeCells count="22">
    <mergeCell ref="O3:P4"/>
    <mergeCell ref="B4:K4"/>
    <mergeCell ref="C51:F51"/>
    <mergeCell ref="B11:B13"/>
    <mergeCell ref="C11:C13"/>
    <mergeCell ref="D11:D13"/>
    <mergeCell ref="E11:E13"/>
    <mergeCell ref="F11:F13"/>
    <mergeCell ref="G11:G13"/>
    <mergeCell ref="I12:I13"/>
    <mergeCell ref="I60:K60"/>
    <mergeCell ref="I65:K65"/>
    <mergeCell ref="C53:F53"/>
    <mergeCell ref="G6:K6"/>
    <mergeCell ref="I59:K59"/>
    <mergeCell ref="C52:F52"/>
    <mergeCell ref="B54:K55"/>
    <mergeCell ref="H58:K58"/>
    <mergeCell ref="H11:K11"/>
    <mergeCell ref="H12:H13"/>
    <mergeCell ref="J12:J13"/>
    <mergeCell ref="K12:K13"/>
  </mergeCells>
  <phoneticPr fontId="140" type="noConversion"/>
  <conditionalFormatting sqref="C15 C17:C19 C36:C44 C46">
    <cfRule type="cellIs" dxfId="4" priority="522" operator="equal">
      <formula>0</formula>
    </cfRule>
  </conditionalFormatting>
  <conditionalFormatting sqref="E1:E3 G1:G13 E5:E13 H12:I12 O13 S14:V19 E14:K47 E48:G48 H48:K50 E49:H49 E50:F50">
    <cfRule type="cellIs" dxfId="3" priority="1102" stopIfTrue="1" operator="equal">
      <formula>0</formula>
    </cfRule>
  </conditionalFormatting>
  <conditionalFormatting sqref="G49:G65515 E54:E65515">
    <cfRule type="cellIs" dxfId="2" priority="236" stopIfTrue="1" operator="equal">
      <formula>0</formula>
    </cfRule>
  </conditionalFormatting>
  <conditionalFormatting sqref="C23">
    <cfRule type="cellIs" dxfId="1" priority="2" operator="equal">
      <formula>0</formula>
    </cfRule>
  </conditionalFormatting>
  <conditionalFormatting sqref="C2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0:F35 H14:K5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2" zoomScale="80" zoomScaleNormal="115" zoomScaleSheetLayoutView="80" workbookViewId="0">
      <selection activeCell="Y56" sqref="Y5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78" t="s">
        <v>1439</v>
      </c>
      <c r="X2" s="679"/>
      <c r="Y2" s="679"/>
      <c r="Z2" s="679"/>
      <c r="AA2" s="679"/>
      <c r="AB2" s="679"/>
      <c r="AC2" s="679"/>
      <c r="AD2" s="680"/>
    </row>
    <row r="3" spans="3:30">
      <c r="C3" s="238"/>
      <c r="W3" s="681"/>
      <c r="X3" s="682"/>
      <c r="Y3" s="682"/>
      <c r="Z3" s="682"/>
      <c r="AA3" s="682"/>
      <c r="AB3" s="682"/>
      <c r="AC3" s="682"/>
      <c r="AD3" s="683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29" t="s">
        <v>990</v>
      </c>
      <c r="Y5" s="629"/>
      <c r="Z5" s="629"/>
      <c r="AA5" s="629" t="s">
        <v>988</v>
      </c>
      <c r="AB5" s="629"/>
      <c r="AC5" s="629" t="s">
        <v>989</v>
      </c>
      <c r="AD5" s="630"/>
    </row>
    <row r="6" spans="3:30">
      <c r="C6" s="238"/>
      <c r="W6" s="241">
        <v>1</v>
      </c>
      <c r="X6" s="629" t="s">
        <v>993</v>
      </c>
      <c r="Y6" s="629"/>
      <c r="Z6" s="629"/>
      <c r="AA6" s="629"/>
      <c r="AB6" s="629"/>
      <c r="AC6" s="629"/>
      <c r="AD6" s="630"/>
    </row>
    <row r="7" spans="3:30">
      <c r="C7" s="238"/>
      <c r="E7" s="475" t="str">
        <f>PETA!C6</f>
        <v>KOORDINAT : -6.893222, 110.639846</v>
      </c>
      <c r="W7" s="241">
        <v>2</v>
      </c>
      <c r="X7" s="629" t="s">
        <v>994</v>
      </c>
      <c r="Y7" s="629"/>
      <c r="Z7" s="629"/>
      <c r="AA7" s="629"/>
      <c r="AB7" s="629"/>
      <c r="AC7" s="629"/>
      <c r="AD7" s="630"/>
    </row>
    <row r="8" spans="3:30">
      <c r="C8" s="238"/>
      <c r="W8" s="241">
        <v>3</v>
      </c>
      <c r="X8" s="629" t="s">
        <v>995</v>
      </c>
      <c r="Y8" s="629"/>
      <c r="Z8" s="629"/>
      <c r="AA8" s="629"/>
      <c r="AB8" s="629"/>
      <c r="AC8" s="629"/>
      <c r="AD8" s="630"/>
    </row>
    <row r="9" spans="3:30">
      <c r="C9" s="238"/>
      <c r="W9" s="241">
        <v>4</v>
      </c>
      <c r="X9" s="629" t="s">
        <v>996</v>
      </c>
      <c r="Y9" s="629"/>
      <c r="Z9" s="629"/>
      <c r="AA9" s="629"/>
      <c r="AB9" s="629"/>
      <c r="AC9" s="629"/>
      <c r="AD9" s="630"/>
    </row>
    <row r="10" spans="3:30">
      <c r="C10" s="238"/>
      <c r="W10" s="241">
        <v>5</v>
      </c>
      <c r="X10" s="629" t="s">
        <v>997</v>
      </c>
      <c r="Y10" s="629"/>
      <c r="Z10" s="629"/>
      <c r="AA10" s="629"/>
      <c r="AB10" s="629"/>
      <c r="AC10" s="629"/>
      <c r="AD10" s="630"/>
    </row>
    <row r="11" spans="3:30">
      <c r="C11" s="238"/>
      <c r="W11" s="241">
        <v>6</v>
      </c>
      <c r="X11" s="629" t="s">
        <v>998</v>
      </c>
      <c r="Y11" s="629"/>
      <c r="Z11" s="629"/>
      <c r="AA11" s="629"/>
      <c r="AB11" s="629"/>
      <c r="AC11" s="629"/>
      <c r="AD11" s="630"/>
    </row>
    <row r="12" spans="3:30">
      <c r="C12" s="238"/>
      <c r="W12" s="241">
        <v>7</v>
      </c>
      <c r="X12" s="629" t="s">
        <v>999</v>
      </c>
      <c r="Y12" s="629"/>
      <c r="Z12" s="629"/>
      <c r="AA12" s="629"/>
      <c r="AB12" s="629"/>
      <c r="AC12" s="629"/>
      <c r="AD12" s="630"/>
    </row>
    <row r="13" spans="3:30" ht="12.75" customHeight="1">
      <c r="C13" s="238"/>
      <c r="W13" s="241">
        <v>8</v>
      </c>
      <c r="X13" s="629" t="s">
        <v>1000</v>
      </c>
      <c r="Y13" s="629"/>
      <c r="Z13" s="629"/>
      <c r="AA13" s="629"/>
      <c r="AB13" s="629"/>
      <c r="AC13" s="629"/>
      <c r="AD13" s="630"/>
    </row>
    <row r="14" spans="3:30">
      <c r="C14" s="238"/>
      <c r="W14" s="241">
        <v>9</v>
      </c>
      <c r="X14" s="629" t="s">
        <v>1001</v>
      </c>
      <c r="Y14" s="629"/>
      <c r="Z14" s="629"/>
      <c r="AA14" s="629"/>
      <c r="AB14" s="629"/>
      <c r="AC14" s="629"/>
      <c r="AD14" s="630"/>
    </row>
    <row r="15" spans="3:30">
      <c r="C15" s="238"/>
      <c r="W15" s="241">
        <v>10</v>
      </c>
      <c r="X15" s="629" t="s">
        <v>1010</v>
      </c>
      <c r="Y15" s="629"/>
      <c r="Z15" s="629"/>
      <c r="AA15" s="629"/>
      <c r="AB15" s="629"/>
      <c r="AC15" s="629"/>
      <c r="AD15" s="630"/>
    </row>
    <row r="16" spans="3:30">
      <c r="C16" s="238"/>
      <c r="W16" s="241">
        <v>11</v>
      </c>
      <c r="X16" s="629" t="s">
        <v>1455</v>
      </c>
      <c r="Y16" s="629"/>
      <c r="Z16" s="629"/>
      <c r="AA16" s="629"/>
      <c r="AB16" s="629"/>
      <c r="AC16" s="629"/>
      <c r="AD16" s="630"/>
    </row>
    <row r="17" spans="3:30">
      <c r="C17" s="238"/>
      <c r="S17" s="242"/>
      <c r="W17" s="241">
        <v>12</v>
      </c>
      <c r="X17" s="629" t="s">
        <v>1011</v>
      </c>
      <c r="Y17" s="629"/>
      <c r="Z17" s="629"/>
      <c r="AA17" s="629"/>
      <c r="AB17" s="629"/>
      <c r="AC17" s="629"/>
      <c r="AD17" s="630"/>
    </row>
    <row r="18" spans="3:30">
      <c r="C18" s="243"/>
      <c r="D18" s="244"/>
      <c r="E18" s="244"/>
      <c r="W18" s="241">
        <v>13</v>
      </c>
      <c r="X18" s="629"/>
      <c r="Y18" s="629"/>
      <c r="Z18" s="629"/>
      <c r="AA18" s="629"/>
      <c r="AB18" s="629"/>
      <c r="AC18" s="629"/>
      <c r="AD18" s="630"/>
    </row>
    <row r="19" spans="3:30">
      <c r="C19" s="238"/>
      <c r="W19" s="245"/>
      <c r="X19" s="676"/>
      <c r="Y19" s="676"/>
      <c r="Z19" s="676"/>
      <c r="AA19" s="676"/>
      <c r="AB19" s="676"/>
      <c r="AC19" s="676"/>
      <c r="AD19" s="677"/>
    </row>
    <row r="20" spans="3:30">
      <c r="C20" s="238"/>
      <c r="W20" s="665" t="s">
        <v>992</v>
      </c>
      <c r="X20" s="666"/>
      <c r="Y20" s="666"/>
      <c r="Z20" s="666"/>
      <c r="AA20" s="666"/>
      <c r="AB20" s="666"/>
      <c r="AC20" s="666"/>
      <c r="AD20" s="667"/>
    </row>
    <row r="21" spans="3:30">
      <c r="C21" s="238"/>
      <c r="W21" s="668" t="s">
        <v>985</v>
      </c>
      <c r="X21" s="669"/>
      <c r="Y21" s="669"/>
      <c r="Z21" s="670"/>
      <c r="AA21" s="671" t="s">
        <v>986</v>
      </c>
      <c r="AB21" s="672"/>
      <c r="AC21" s="672"/>
      <c r="AD21" s="673"/>
    </row>
    <row r="22" spans="3:30">
      <c r="C22" s="238"/>
      <c r="W22" s="663"/>
      <c r="X22" s="664"/>
      <c r="Y22" s="479"/>
      <c r="Z22" s="480"/>
      <c r="AA22" s="674"/>
      <c r="AB22" s="675"/>
      <c r="AC22" s="248"/>
      <c r="AD22" s="249"/>
    </row>
    <row r="23" spans="3:30">
      <c r="C23" s="238"/>
      <c r="W23" s="663"/>
      <c r="X23" s="664"/>
      <c r="Y23" s="479"/>
      <c r="Z23" s="480"/>
      <c r="AA23" s="661"/>
      <c r="AB23" s="662"/>
      <c r="AC23" s="248"/>
      <c r="AD23" s="249"/>
    </row>
    <row r="24" spans="3:30">
      <c r="C24" s="238"/>
      <c r="W24" s="649"/>
      <c r="X24" s="650"/>
      <c r="Y24" s="479"/>
      <c r="Z24" s="480"/>
      <c r="AA24" s="659"/>
      <c r="AB24" s="660"/>
      <c r="AC24" s="248"/>
      <c r="AD24" s="249"/>
    </row>
    <row r="25" spans="3:30">
      <c r="C25" s="238"/>
      <c r="W25" s="477"/>
      <c r="X25" s="478"/>
      <c r="Y25" s="479"/>
      <c r="Z25" s="480"/>
      <c r="AA25" s="661"/>
      <c r="AB25" s="662"/>
      <c r="AC25" s="248"/>
      <c r="AD25" s="249"/>
    </row>
    <row r="26" spans="3:30">
      <c r="C26" s="238"/>
      <c r="W26" s="649"/>
      <c r="X26" s="650"/>
      <c r="Y26" s="479"/>
      <c r="Z26" s="480"/>
      <c r="AA26" s="661"/>
      <c r="AB26" s="662"/>
      <c r="AC26" s="248"/>
      <c r="AD26" s="249"/>
    </row>
    <row r="27" spans="3:30">
      <c r="C27" s="238"/>
      <c r="W27" s="649"/>
      <c r="X27" s="650"/>
      <c r="Y27" s="479"/>
      <c r="Z27" s="480"/>
      <c r="AA27" s="657"/>
      <c r="AB27" s="658"/>
      <c r="AC27" s="248"/>
      <c r="AD27" s="249"/>
    </row>
    <row r="28" spans="3:30">
      <c r="C28" s="238"/>
      <c r="W28" s="649"/>
      <c r="X28" s="650"/>
      <c r="Y28" s="479"/>
      <c r="Z28" s="480"/>
      <c r="AA28" s="657"/>
      <c r="AB28" s="658"/>
      <c r="AC28" s="248"/>
      <c r="AD28" s="249"/>
    </row>
    <row r="29" spans="3:30">
      <c r="C29" s="238"/>
      <c r="W29" s="649"/>
      <c r="X29" s="650"/>
      <c r="Y29" s="479"/>
      <c r="Z29" s="480"/>
      <c r="AA29" s="657"/>
      <c r="AB29" s="658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57"/>
      <c r="AB30" s="658"/>
      <c r="AC30" s="248"/>
      <c r="AD30" s="249"/>
    </row>
    <row r="31" spans="3:30">
      <c r="C31" s="238"/>
      <c r="U31" s="250"/>
      <c r="W31" s="649"/>
      <c r="X31" s="650"/>
      <c r="Y31" s="479"/>
      <c r="Z31" s="480"/>
      <c r="AA31" s="657"/>
      <c r="AB31" s="658"/>
      <c r="AC31" s="248"/>
      <c r="AD31" s="249"/>
    </row>
    <row r="32" spans="3:30">
      <c r="C32" s="238"/>
      <c r="U32" s="250"/>
      <c r="W32" s="663"/>
      <c r="X32" s="664"/>
      <c r="Y32" s="246"/>
      <c r="Z32" s="480"/>
      <c r="AA32" s="657"/>
      <c r="AB32" s="658"/>
      <c r="AC32" s="248"/>
      <c r="AD32" s="249"/>
    </row>
    <row r="33" spans="3:30">
      <c r="C33" s="238"/>
      <c r="W33" s="649"/>
      <c r="X33" s="650"/>
      <c r="Y33" s="479"/>
      <c r="Z33" s="480"/>
      <c r="AA33" s="651"/>
      <c r="AB33" s="651"/>
      <c r="AC33" s="248"/>
      <c r="AD33" s="249"/>
    </row>
    <row r="34" spans="3:30">
      <c r="C34" s="238"/>
      <c r="W34" s="477"/>
      <c r="X34" s="478"/>
      <c r="Y34" s="246"/>
      <c r="Z34" s="480"/>
      <c r="AA34" s="651"/>
      <c r="AB34" s="651"/>
      <c r="AC34" s="248"/>
      <c r="AD34" s="249"/>
    </row>
    <row r="35" spans="3:30">
      <c r="C35" s="238"/>
      <c r="W35" s="649"/>
      <c r="X35" s="650"/>
      <c r="Y35" s="246"/>
      <c r="Z35" s="247"/>
      <c r="AA35" s="651"/>
      <c r="AB35" s="651"/>
      <c r="AC35" s="248"/>
      <c r="AD35" s="249"/>
    </row>
    <row r="36" spans="3:30">
      <c r="C36" s="238"/>
      <c r="W36" s="649"/>
      <c r="X36" s="650"/>
      <c r="Y36" s="479"/>
      <c r="Z36" s="480"/>
      <c r="AA36" s="651"/>
      <c r="AB36" s="651"/>
      <c r="AC36" s="248"/>
      <c r="AD36" s="249"/>
    </row>
    <row r="37" spans="3:30" ht="12.75" customHeight="1">
      <c r="C37" s="238"/>
      <c r="W37" s="652"/>
      <c r="X37" s="653"/>
      <c r="Y37" s="246"/>
      <c r="Z37" s="480"/>
      <c r="AA37" s="654"/>
      <c r="AB37" s="654"/>
      <c r="AC37" s="251"/>
      <c r="AD37" s="252"/>
    </row>
    <row r="38" spans="3:30" ht="12.75" customHeight="1">
      <c r="C38" s="238"/>
      <c r="W38" s="652"/>
      <c r="X38" s="653"/>
      <c r="Y38" s="253"/>
      <c r="Z38" s="247"/>
      <c r="AA38" s="655"/>
      <c r="AB38" s="656"/>
      <c r="AC38" s="251"/>
      <c r="AD38" s="252"/>
    </row>
    <row r="39" spans="3:30" ht="12" customHeight="1">
      <c r="C39" s="238"/>
      <c r="W39" s="652"/>
      <c r="X39" s="653"/>
      <c r="Y39" s="253"/>
      <c r="Z39" s="254"/>
      <c r="AA39" s="645"/>
      <c r="AB39" s="646"/>
      <c r="AC39" s="251"/>
      <c r="AD39" s="252"/>
    </row>
    <row r="40" spans="3:30" ht="12" customHeight="1">
      <c r="C40" s="238"/>
      <c r="W40" s="641"/>
      <c r="X40" s="642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43"/>
      <c r="X41" s="644"/>
      <c r="Y41" s="257"/>
      <c r="Z41" s="258"/>
      <c r="AA41" s="645"/>
      <c r="AB41" s="646"/>
      <c r="AC41" s="251"/>
      <c r="AD41" s="252"/>
    </row>
    <row r="42" spans="3:30" ht="12" customHeight="1">
      <c r="C42" s="238"/>
      <c r="W42" s="647" t="s">
        <v>1456</v>
      </c>
      <c r="X42" s="648"/>
      <c r="Y42" s="648"/>
      <c r="Z42" s="648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26" t="s">
        <v>11</v>
      </c>
      <c r="X44" s="627"/>
      <c r="Y44" s="629"/>
      <c r="Z44" s="629"/>
      <c r="AA44" s="629"/>
      <c r="AB44" s="629"/>
      <c r="AC44" s="629"/>
      <c r="AD44" s="630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26" t="s">
        <v>984</v>
      </c>
      <c r="X45" s="627"/>
      <c r="Y45" s="629">
        <v>1</v>
      </c>
      <c r="Z45" s="629"/>
      <c r="AA45" s="629"/>
      <c r="AB45" s="629" t="s">
        <v>12</v>
      </c>
      <c r="AC45" s="629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26" t="s">
        <v>15</v>
      </c>
      <c r="X46" s="627"/>
      <c r="Y46" s="640"/>
      <c r="Z46" s="640"/>
      <c r="AA46" s="640"/>
      <c r="AB46" s="629" t="s">
        <v>16</v>
      </c>
      <c r="AC46" s="629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34" t="s">
        <v>17</v>
      </c>
      <c r="X47" s="634"/>
      <c r="Y47" s="634"/>
      <c r="Z47" s="634"/>
      <c r="AA47" s="634"/>
      <c r="AB47" s="634"/>
      <c r="AC47" s="634"/>
      <c r="AD47" s="635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36" t="str">
        <f>RAB!G6</f>
        <v>‎BNI ‎1946‎</v>
      </c>
      <c r="X48" s="636"/>
      <c r="Y48" s="636"/>
      <c r="Z48" s="636"/>
      <c r="AA48" s="636"/>
      <c r="AB48" s="636"/>
      <c r="AC48" s="636"/>
      <c r="AD48" s="637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36"/>
      <c r="X49" s="636"/>
      <c r="Y49" s="636"/>
      <c r="Z49" s="636"/>
      <c r="AA49" s="636"/>
      <c r="AB49" s="636"/>
      <c r="AC49" s="636"/>
      <c r="AD49" s="637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36"/>
      <c r="X50" s="636"/>
      <c r="Y50" s="636"/>
      <c r="Z50" s="636"/>
      <c r="AA50" s="636"/>
      <c r="AB50" s="636"/>
      <c r="AC50" s="636"/>
      <c r="AD50" s="637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38"/>
      <c r="X51" s="638"/>
      <c r="Y51" s="638"/>
      <c r="Z51" s="638"/>
      <c r="AA51" s="638"/>
      <c r="AB51" s="638"/>
      <c r="AC51" s="638"/>
      <c r="AD51" s="639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26" t="s">
        <v>18</v>
      </c>
      <c r="X52" s="627"/>
      <c r="Y52" s="629" t="s">
        <v>1618</v>
      </c>
      <c r="Z52" s="629"/>
      <c r="AA52" s="629"/>
      <c r="AB52" s="629"/>
      <c r="AC52" s="629"/>
      <c r="AD52" s="630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26" t="s">
        <v>19</v>
      </c>
      <c r="X53" s="627"/>
      <c r="Y53" s="629" t="s">
        <v>1619</v>
      </c>
      <c r="Z53" s="629"/>
      <c r="AA53" s="629"/>
      <c r="AB53" s="629"/>
      <c r="AC53" s="629"/>
      <c r="AD53" s="630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26" t="s">
        <v>20</v>
      </c>
      <c r="X54" s="627"/>
      <c r="Y54" s="628" t="s">
        <v>1620</v>
      </c>
      <c r="Z54" s="628"/>
      <c r="AA54" s="628"/>
      <c r="AB54" s="629"/>
      <c r="AC54" s="629"/>
      <c r="AD54" s="630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31" t="s">
        <v>21</v>
      </c>
      <c r="X55" s="632"/>
      <c r="Y55" s="628" t="s">
        <v>1621</v>
      </c>
      <c r="Z55" s="628"/>
      <c r="AA55" s="628"/>
      <c r="AB55" s="628"/>
      <c r="AC55" s="628"/>
      <c r="AD55" s="633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50" sqref="V50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4" t="s">
        <v>1528</v>
      </c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5"/>
      <c r="AC4" s="686"/>
      <c r="AD4" s="217"/>
      <c r="AE4" s="216"/>
      <c r="AF4" s="216"/>
    </row>
    <row r="5" spans="2:32" ht="13.5" customHeight="1">
      <c r="B5" s="215"/>
      <c r="C5" s="215"/>
      <c r="D5" s="687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9"/>
      <c r="AD5" s="217"/>
      <c r="AE5" s="216"/>
      <c r="AF5" s="216"/>
    </row>
    <row r="6" spans="2:32" ht="12.75" customHeight="1">
      <c r="B6" s="215"/>
      <c r="C6" s="215"/>
      <c r="D6" s="687"/>
      <c r="E6" s="688"/>
      <c r="F6" s="688"/>
      <c r="G6" s="688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8"/>
      <c r="AA6" s="688"/>
      <c r="AB6" s="688"/>
      <c r="AC6" s="689"/>
      <c r="AE6" s="216"/>
      <c r="AF6" s="216"/>
    </row>
    <row r="7" spans="2:32" ht="12.75" customHeight="1" thickBot="1">
      <c r="B7" s="215"/>
      <c r="C7" s="215"/>
      <c r="D7" s="690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33" sqref="U33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8" t="s">
        <v>1527</v>
      </c>
      <c r="D3" s="688"/>
      <c r="E3" s="688"/>
      <c r="F3" s="688"/>
      <c r="G3" s="688"/>
      <c r="H3" s="688"/>
      <c r="I3" s="688"/>
      <c r="J3" s="688"/>
      <c r="K3" s="688"/>
      <c r="L3" s="688"/>
      <c r="M3" s="688"/>
      <c r="N3" s="688"/>
      <c r="O3" s="688"/>
      <c r="P3" s="688"/>
      <c r="Q3" s="688"/>
      <c r="R3" s="688"/>
      <c r="S3" s="688"/>
      <c r="T3" s="688"/>
      <c r="U3" s="688"/>
      <c r="V3" s="688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88"/>
      <c r="D4" s="688"/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693" t="s">
        <v>1614</v>
      </c>
      <c r="D6" s="693"/>
      <c r="E6" s="693"/>
      <c r="F6" s="693"/>
      <c r="G6" s="693"/>
      <c r="H6" s="693"/>
      <c r="I6" s="693"/>
      <c r="J6" s="693"/>
      <c r="K6" s="693"/>
      <c r="L6" s="693"/>
      <c r="M6" s="693"/>
      <c r="W6" s="182"/>
      <c r="Y6" s="417"/>
      <c r="Z6" s="417"/>
      <c r="AA6" s="417"/>
      <c r="AB6" s="418"/>
      <c r="AC6" s="418"/>
    </row>
    <row r="7" spans="1:29" ht="18" customHeight="1">
      <c r="A7" s="181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693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2023-12-15T03:51:25Z</dcterms:modified>
</cp:coreProperties>
</file>