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SEPT\ALI KHAMDAN\"/>
    </mc:Choice>
  </mc:AlternateContent>
  <xr:revisionPtr revIDLastSave="0" documentId="13_ncr:1_{65FCDD27-8E92-4D6A-A386-A437C1F41751}" xr6:coauthVersionLast="47" xr6:coauthVersionMax="47" xr10:uidLastSave="{00000000-0000-0000-0000-000000000000}"/>
  <bookViews>
    <workbookView xWindow="-120" yWindow="-120" windowWidth="24240" windowHeight="131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9">GAMBAR!$A$1:$AD$280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RAB!$A$1:$K$367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56" i="11" l="1"/>
  <c r="F255" i="11"/>
  <c r="F254" i="11"/>
  <c r="F253" i="11"/>
  <c r="F252" i="11"/>
  <c r="F251" i="11"/>
  <c r="D248" i="11"/>
  <c r="J248" i="11" s="1"/>
  <c r="E248" i="11"/>
  <c r="G248" i="11"/>
  <c r="D249" i="11"/>
  <c r="J249" i="11" s="1"/>
  <c r="E249" i="11"/>
  <c r="G249" i="11"/>
  <c r="D250" i="11"/>
  <c r="H250" i="11" s="1"/>
  <c r="E250" i="11"/>
  <c r="G250" i="11"/>
  <c r="D251" i="11"/>
  <c r="E251" i="11"/>
  <c r="G251" i="11"/>
  <c r="D252" i="11"/>
  <c r="J252" i="11" s="1"/>
  <c r="E252" i="11"/>
  <c r="G252" i="11"/>
  <c r="D253" i="11"/>
  <c r="J253" i="11" s="1"/>
  <c r="E253" i="11"/>
  <c r="G253" i="11"/>
  <c r="D254" i="11"/>
  <c r="H254" i="11" s="1"/>
  <c r="E254" i="11"/>
  <c r="G254" i="11"/>
  <c r="D255" i="11"/>
  <c r="H255" i="11" s="1"/>
  <c r="E255" i="11"/>
  <c r="G255" i="11"/>
  <c r="D256" i="11"/>
  <c r="H256" i="11" s="1"/>
  <c r="E256" i="11"/>
  <c r="G256" i="11"/>
  <c r="D257" i="11"/>
  <c r="J257" i="11" s="1"/>
  <c r="E257" i="11"/>
  <c r="G257" i="11"/>
  <c r="D258" i="11"/>
  <c r="J258" i="11" s="1"/>
  <c r="E258" i="11"/>
  <c r="G258" i="11"/>
  <c r="D345" i="11"/>
  <c r="H345" i="11" s="1"/>
  <c r="E345" i="11"/>
  <c r="G345" i="11"/>
  <c r="D346" i="11"/>
  <c r="H346" i="11" s="1"/>
  <c r="E346" i="11"/>
  <c r="G346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D333" i="11"/>
  <c r="H333" i="11" s="1"/>
  <c r="E333" i="11"/>
  <c r="D334" i="11"/>
  <c r="J334" i="11" s="1"/>
  <c r="E334" i="11"/>
  <c r="D335" i="11"/>
  <c r="I335" i="11" s="1"/>
  <c r="E335" i="11"/>
  <c r="D336" i="11"/>
  <c r="H336" i="11" s="1"/>
  <c r="E336" i="11"/>
  <c r="D337" i="11"/>
  <c r="J337" i="11" s="1"/>
  <c r="E337" i="11"/>
  <c r="D338" i="11"/>
  <c r="I338" i="11" s="1"/>
  <c r="E338" i="11"/>
  <c r="D339" i="11"/>
  <c r="H339" i="11" s="1"/>
  <c r="E339" i="11"/>
  <c r="D340" i="11"/>
  <c r="H340" i="11" s="1"/>
  <c r="E340" i="11"/>
  <c r="D341" i="11"/>
  <c r="E341" i="11"/>
  <c r="D342" i="11"/>
  <c r="I342" i="11" s="1"/>
  <c r="E342" i="11"/>
  <c r="D343" i="11"/>
  <c r="H343" i="11" s="1"/>
  <c r="E343" i="11"/>
  <c r="D344" i="11"/>
  <c r="H344" i="11" s="1"/>
  <c r="E344" i="11"/>
  <c r="F332" i="11"/>
  <c r="F331" i="11"/>
  <c r="F330" i="11"/>
  <c r="F329" i="11"/>
  <c r="F328" i="11"/>
  <c r="F327" i="11"/>
  <c r="F326" i="11"/>
  <c r="F316" i="11"/>
  <c r="F314" i="11"/>
  <c r="F313" i="11"/>
  <c r="F312" i="11"/>
  <c r="D309" i="11"/>
  <c r="H309" i="11" s="1"/>
  <c r="E309" i="11"/>
  <c r="G309" i="11"/>
  <c r="D310" i="11"/>
  <c r="J310" i="11" s="1"/>
  <c r="E310" i="11"/>
  <c r="G310" i="11"/>
  <c r="D311" i="11"/>
  <c r="H311" i="11" s="1"/>
  <c r="E311" i="11"/>
  <c r="G311" i="11"/>
  <c r="D312" i="11"/>
  <c r="E312" i="11"/>
  <c r="G312" i="11"/>
  <c r="D313" i="11"/>
  <c r="J313" i="11" s="1"/>
  <c r="E313" i="11"/>
  <c r="G313" i="11"/>
  <c r="D314" i="11"/>
  <c r="J314" i="11" s="1"/>
  <c r="E314" i="11"/>
  <c r="G314" i="11"/>
  <c r="D315" i="11"/>
  <c r="E315" i="11"/>
  <c r="G315" i="11"/>
  <c r="D316" i="11"/>
  <c r="H316" i="11" s="1"/>
  <c r="E316" i="11"/>
  <c r="G316" i="11"/>
  <c r="D317" i="11"/>
  <c r="H317" i="11" s="1"/>
  <c r="E317" i="11"/>
  <c r="G317" i="11"/>
  <c r="F307" i="11"/>
  <c r="F306" i="11"/>
  <c r="F305" i="11"/>
  <c r="F304" i="11"/>
  <c r="F303" i="11"/>
  <c r="F302" i="11"/>
  <c r="F301" i="11"/>
  <c r="F300" i="11"/>
  <c r="F299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79" i="11"/>
  <c r="D276" i="11"/>
  <c r="H276" i="11" s="1"/>
  <c r="E276" i="11"/>
  <c r="G276" i="11"/>
  <c r="D277" i="11"/>
  <c r="J277" i="11" s="1"/>
  <c r="E277" i="11"/>
  <c r="G277" i="11"/>
  <c r="D278" i="11"/>
  <c r="H278" i="11" s="1"/>
  <c r="E278" i="11"/>
  <c r="G278" i="11"/>
  <c r="D279" i="11"/>
  <c r="J279" i="11" s="1"/>
  <c r="E279" i="11"/>
  <c r="G279" i="11"/>
  <c r="D280" i="11"/>
  <c r="J280" i="11" s="1"/>
  <c r="E280" i="11"/>
  <c r="G280" i="11"/>
  <c r="D281" i="11"/>
  <c r="J281" i="11" s="1"/>
  <c r="E281" i="11"/>
  <c r="G281" i="11"/>
  <c r="D282" i="11"/>
  <c r="J282" i="11" s="1"/>
  <c r="E282" i="11"/>
  <c r="G282" i="11"/>
  <c r="D283" i="11"/>
  <c r="J283" i="11" s="1"/>
  <c r="E283" i="11"/>
  <c r="G283" i="11"/>
  <c r="D284" i="11"/>
  <c r="J284" i="11" s="1"/>
  <c r="E284" i="11"/>
  <c r="G284" i="11"/>
  <c r="D285" i="11"/>
  <c r="J285" i="11" s="1"/>
  <c r="E285" i="11"/>
  <c r="G285" i="11"/>
  <c r="D286" i="11"/>
  <c r="J286" i="11" s="1"/>
  <c r="E286" i="11"/>
  <c r="G286" i="11"/>
  <c r="D287" i="11"/>
  <c r="H287" i="11" s="1"/>
  <c r="E287" i="11"/>
  <c r="G287" i="11"/>
  <c r="D288" i="11"/>
  <c r="J288" i="11" s="1"/>
  <c r="E288" i="11"/>
  <c r="G288" i="11"/>
  <c r="D289" i="11"/>
  <c r="J289" i="11" s="1"/>
  <c r="E289" i="11"/>
  <c r="G289" i="11"/>
  <c r="D290" i="11"/>
  <c r="H290" i="11" s="1"/>
  <c r="E290" i="11"/>
  <c r="G290" i="11"/>
  <c r="D291" i="11"/>
  <c r="J291" i="11" s="1"/>
  <c r="E291" i="11"/>
  <c r="G291" i="11"/>
  <c r="D292" i="11"/>
  <c r="J292" i="11" s="1"/>
  <c r="E292" i="11"/>
  <c r="G292" i="11"/>
  <c r="D293" i="11"/>
  <c r="J293" i="11" s="1"/>
  <c r="E293" i="11"/>
  <c r="G293" i="11"/>
  <c r="D294" i="11"/>
  <c r="J294" i="11" s="1"/>
  <c r="E294" i="11"/>
  <c r="G294" i="11"/>
  <c r="D295" i="11"/>
  <c r="H295" i="11" s="1"/>
  <c r="E295" i="11"/>
  <c r="G295" i="11"/>
  <c r="D296" i="11"/>
  <c r="I296" i="11" s="1"/>
  <c r="E296" i="11"/>
  <c r="G296" i="11"/>
  <c r="D297" i="11"/>
  <c r="J297" i="11" s="1"/>
  <c r="E297" i="11"/>
  <c r="G297" i="11"/>
  <c r="D298" i="11"/>
  <c r="H298" i="11" s="1"/>
  <c r="E298" i="11"/>
  <c r="G298" i="11"/>
  <c r="D299" i="11"/>
  <c r="J299" i="11" s="1"/>
  <c r="E299" i="11"/>
  <c r="G299" i="11"/>
  <c r="D300" i="11"/>
  <c r="J300" i="11" s="1"/>
  <c r="E300" i="11"/>
  <c r="G300" i="11"/>
  <c r="D301" i="11"/>
  <c r="J301" i="11" s="1"/>
  <c r="E301" i="11"/>
  <c r="G301" i="11"/>
  <c r="D302" i="11"/>
  <c r="H302" i="11" s="1"/>
  <c r="E302" i="11"/>
  <c r="G302" i="11"/>
  <c r="D303" i="11"/>
  <c r="H303" i="11" s="1"/>
  <c r="E303" i="11"/>
  <c r="G303" i="11"/>
  <c r="D304" i="11"/>
  <c r="J304" i="11" s="1"/>
  <c r="E304" i="11"/>
  <c r="G304" i="11"/>
  <c r="D305" i="11"/>
  <c r="J305" i="11" s="1"/>
  <c r="E305" i="11"/>
  <c r="G305" i="11"/>
  <c r="D306" i="11"/>
  <c r="H306" i="11" s="1"/>
  <c r="E306" i="11"/>
  <c r="G306" i="11"/>
  <c r="D307" i="11"/>
  <c r="E307" i="11"/>
  <c r="G307" i="11"/>
  <c r="D308" i="11"/>
  <c r="J308" i="11" s="1"/>
  <c r="E308" i="11"/>
  <c r="G308" i="11"/>
  <c r="F274" i="11"/>
  <c r="F273" i="11"/>
  <c r="F272" i="11"/>
  <c r="F271" i="11"/>
  <c r="F270" i="11"/>
  <c r="F269" i="11"/>
  <c r="F268" i="11"/>
  <c r="F267" i="11"/>
  <c r="F264" i="11"/>
  <c r="F263" i="11"/>
  <c r="F262" i="11"/>
  <c r="F261" i="11"/>
  <c r="F260" i="11"/>
  <c r="F246" i="11"/>
  <c r="F245" i="11"/>
  <c r="F244" i="11"/>
  <c r="F243" i="11"/>
  <c r="F242" i="11"/>
  <c r="F239" i="11"/>
  <c r="F237" i="11"/>
  <c r="F236" i="11"/>
  <c r="F238" i="11" s="1"/>
  <c r="D234" i="11"/>
  <c r="D235" i="11"/>
  <c r="D236" i="11"/>
  <c r="D237" i="11"/>
  <c r="D238" i="11"/>
  <c r="J341" i="11" l="1"/>
  <c r="H251" i="11"/>
  <c r="I256" i="11"/>
  <c r="J251" i="11"/>
  <c r="J255" i="11"/>
  <c r="I251" i="11"/>
  <c r="I258" i="11"/>
  <c r="H258" i="11"/>
  <c r="I257" i="11"/>
  <c r="I248" i="11"/>
  <c r="J256" i="11"/>
  <c r="J250" i="11"/>
  <c r="H257" i="11"/>
  <c r="J254" i="11"/>
  <c r="I253" i="11"/>
  <c r="H252" i="11"/>
  <c r="I250" i="11"/>
  <c r="I249" i="11"/>
  <c r="I255" i="11"/>
  <c r="I254" i="11"/>
  <c r="I252" i="11"/>
  <c r="H248" i="11"/>
  <c r="K248" i="11" s="1"/>
  <c r="H253" i="11"/>
  <c r="H249" i="11"/>
  <c r="J345" i="11"/>
  <c r="I345" i="11"/>
  <c r="J346" i="11"/>
  <c r="I346" i="11"/>
  <c r="J340" i="11"/>
  <c r="H342" i="11"/>
  <c r="I334" i="11"/>
  <c r="J344" i="11"/>
  <c r="I337" i="11"/>
  <c r="I341" i="11"/>
  <c r="H335" i="11"/>
  <c r="J333" i="11"/>
  <c r="H338" i="11"/>
  <c r="J336" i="11"/>
  <c r="I344" i="11"/>
  <c r="J343" i="11"/>
  <c r="H341" i="11"/>
  <c r="I340" i="11"/>
  <c r="J339" i="11"/>
  <c r="H337" i="11"/>
  <c r="I336" i="11"/>
  <c r="H334" i="11"/>
  <c r="I333" i="11"/>
  <c r="I343" i="11"/>
  <c r="J342" i="11"/>
  <c r="I339" i="11"/>
  <c r="J338" i="11"/>
  <c r="J335" i="11"/>
  <c r="J317" i="11"/>
  <c r="H315" i="11"/>
  <c r="J309" i="11"/>
  <c r="I313" i="11"/>
  <c r="H312" i="11"/>
  <c r="I309" i="11"/>
  <c r="I317" i="11"/>
  <c r="J316" i="11"/>
  <c r="J315" i="11"/>
  <c r="H313" i="11"/>
  <c r="J312" i="11"/>
  <c r="J311" i="11"/>
  <c r="I316" i="11"/>
  <c r="I312" i="11"/>
  <c r="I315" i="11"/>
  <c r="I314" i="11"/>
  <c r="I311" i="11"/>
  <c r="I310" i="11"/>
  <c r="H314" i="11"/>
  <c r="H310" i="11"/>
  <c r="H299" i="11"/>
  <c r="J298" i="11"/>
  <c r="I299" i="11"/>
  <c r="J307" i="11"/>
  <c r="I304" i="11"/>
  <c r="J303" i="11"/>
  <c r="I295" i="11"/>
  <c r="I291" i="11"/>
  <c r="I290" i="11"/>
  <c r="I286" i="11"/>
  <c r="I280" i="11"/>
  <c r="I303" i="11"/>
  <c r="J276" i="11"/>
  <c r="I307" i="11"/>
  <c r="H307" i="11"/>
  <c r="J306" i="11"/>
  <c r="I300" i="11"/>
  <c r="J302" i="11"/>
  <c r="J295" i="11"/>
  <c r="I294" i="11"/>
  <c r="I283" i="11"/>
  <c r="H282" i="11"/>
  <c r="I282" i="11"/>
  <c r="H280" i="11"/>
  <c r="I279" i="11"/>
  <c r="J278" i="11"/>
  <c r="I276" i="11"/>
  <c r="I306" i="11"/>
  <c r="H304" i="11"/>
  <c r="I302" i="11"/>
  <c r="H300" i="11"/>
  <c r="I298" i="11"/>
  <c r="H294" i="11"/>
  <c r="I293" i="11"/>
  <c r="H279" i="11"/>
  <c r="H288" i="11"/>
  <c r="I287" i="11"/>
  <c r="H286" i="11"/>
  <c r="I285" i="11"/>
  <c r="I284" i="11"/>
  <c r="I278" i="11"/>
  <c r="I288" i="11"/>
  <c r="H283" i="11"/>
  <c r="H291" i="11"/>
  <c r="J290" i="11"/>
  <c r="K290" i="11" s="1"/>
  <c r="J287" i="11"/>
  <c r="H292" i="11"/>
  <c r="H284" i="11"/>
  <c r="I292" i="11"/>
  <c r="J296" i="11"/>
  <c r="I289" i="11"/>
  <c r="I281" i="11"/>
  <c r="I277" i="11"/>
  <c r="K302" i="11"/>
  <c r="H296" i="11"/>
  <c r="H308" i="11"/>
  <c r="H305" i="11"/>
  <c r="H301" i="11"/>
  <c r="H297" i="11"/>
  <c r="H293" i="11"/>
  <c r="H289" i="11"/>
  <c r="H285" i="11"/>
  <c r="H281" i="11"/>
  <c r="H277" i="11"/>
  <c r="I305" i="11"/>
  <c r="I301" i="11"/>
  <c r="I297" i="11"/>
  <c r="I308" i="11"/>
  <c r="K256" i="11" l="1"/>
  <c r="K257" i="11"/>
  <c r="K345" i="11"/>
  <c r="K251" i="11"/>
  <c r="K249" i="11"/>
  <c r="K252" i="11"/>
  <c r="K255" i="11"/>
  <c r="K250" i="11"/>
  <c r="K253" i="11"/>
  <c r="K254" i="11"/>
  <c r="K258" i="11"/>
  <c r="K346" i="11"/>
  <c r="K337" i="11"/>
  <c r="K339" i="11"/>
  <c r="K317" i="11"/>
  <c r="K336" i="11"/>
  <c r="K340" i="11"/>
  <c r="K334" i="11"/>
  <c r="K342" i="11"/>
  <c r="K335" i="11"/>
  <c r="K283" i="11"/>
  <c r="K338" i="11"/>
  <c r="K343" i="11"/>
  <c r="K341" i="11"/>
  <c r="K333" i="11"/>
  <c r="K344" i="11"/>
  <c r="K292" i="11"/>
  <c r="K300" i="11"/>
  <c r="K315" i="11"/>
  <c r="K309" i="11"/>
  <c r="K310" i="11"/>
  <c r="K313" i="11"/>
  <c r="K311" i="11"/>
  <c r="K312" i="11"/>
  <c r="K285" i="11"/>
  <c r="K282" i="11"/>
  <c r="K314" i="11"/>
  <c r="K316" i="11"/>
  <c r="K298" i="11"/>
  <c r="K288" i="11"/>
  <c r="K299" i="11"/>
  <c r="K304" i="11"/>
  <c r="K295" i="11"/>
  <c r="K307" i="11"/>
  <c r="K296" i="11"/>
  <c r="K279" i="11"/>
  <c r="K303" i="11"/>
  <c r="K276" i="11"/>
  <c r="K281" i="11"/>
  <c r="K284" i="11"/>
  <c r="K286" i="11"/>
  <c r="K278" i="11"/>
  <c r="K306" i="11"/>
  <c r="K280" i="11"/>
  <c r="K291" i="11"/>
  <c r="K294" i="11"/>
  <c r="K289" i="11"/>
  <c r="K277" i="11"/>
  <c r="K293" i="11"/>
  <c r="K287" i="11"/>
  <c r="K297" i="11"/>
  <c r="K305" i="11"/>
  <c r="K308" i="11"/>
  <c r="K301" i="11"/>
  <c r="F228" i="11" l="1"/>
  <c r="F229" i="11" s="1"/>
  <c r="F227" i="11"/>
  <c r="F170" i="11"/>
  <c r="F169" i="11"/>
  <c r="F168" i="11"/>
  <c r="F167" i="11"/>
  <c r="D166" i="11"/>
  <c r="H166" i="11" s="1"/>
  <c r="E166" i="11"/>
  <c r="G166" i="11"/>
  <c r="D167" i="11"/>
  <c r="J167" i="11" s="1"/>
  <c r="E167" i="11"/>
  <c r="G167" i="11"/>
  <c r="D168" i="11"/>
  <c r="H168" i="11" s="1"/>
  <c r="E168" i="11"/>
  <c r="G168" i="11"/>
  <c r="D169" i="11"/>
  <c r="J169" i="11" s="1"/>
  <c r="E169" i="11"/>
  <c r="G169" i="11"/>
  <c r="D170" i="11"/>
  <c r="E170" i="11"/>
  <c r="G170" i="11"/>
  <c r="D171" i="11"/>
  <c r="H171" i="11" s="1"/>
  <c r="E171" i="11"/>
  <c r="G171" i="11"/>
  <c r="D172" i="11"/>
  <c r="J172" i="11" s="1"/>
  <c r="E172" i="11"/>
  <c r="G172" i="11"/>
  <c r="F214" i="11"/>
  <c r="F216" i="11" s="1"/>
  <c r="F220" i="11"/>
  <c r="F224" i="11" s="1"/>
  <c r="F212" i="11"/>
  <c r="F211" i="11"/>
  <c r="F210" i="11"/>
  <c r="F209" i="11"/>
  <c r="F208" i="11"/>
  <c r="F207" i="11"/>
  <c r="F194" i="11"/>
  <c r="F203" i="11" s="1"/>
  <c r="F182" i="11"/>
  <c r="F192" i="11"/>
  <c r="F191" i="11"/>
  <c r="F190" i="11"/>
  <c r="F189" i="11"/>
  <c r="F186" i="11"/>
  <c r="F185" i="11"/>
  <c r="F184" i="11"/>
  <c r="F183" i="11"/>
  <c r="F178" i="11"/>
  <c r="F177" i="11"/>
  <c r="F176" i="11"/>
  <c r="F175" i="11"/>
  <c r="F174" i="11"/>
  <c r="F154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D76" i="11"/>
  <c r="J76" i="11" s="1"/>
  <c r="E76" i="11"/>
  <c r="G76" i="11"/>
  <c r="D77" i="11"/>
  <c r="J77" i="11" s="1"/>
  <c r="E77" i="11"/>
  <c r="G77" i="11"/>
  <c r="D78" i="11"/>
  <c r="H78" i="11" s="1"/>
  <c r="E78" i="11"/>
  <c r="G78" i="11"/>
  <c r="D79" i="11"/>
  <c r="J79" i="11" s="1"/>
  <c r="E79" i="11"/>
  <c r="G79" i="11"/>
  <c r="D80" i="11"/>
  <c r="J80" i="11" s="1"/>
  <c r="E80" i="11"/>
  <c r="G80" i="11"/>
  <c r="D81" i="11"/>
  <c r="J81" i="11" s="1"/>
  <c r="E81" i="11"/>
  <c r="G81" i="11"/>
  <c r="D82" i="11"/>
  <c r="H82" i="11" s="1"/>
  <c r="E82" i="11"/>
  <c r="G82" i="11"/>
  <c r="D83" i="11"/>
  <c r="J83" i="11" s="1"/>
  <c r="E83" i="11"/>
  <c r="G83" i="11"/>
  <c r="D84" i="11"/>
  <c r="J84" i="11" s="1"/>
  <c r="E84" i="11"/>
  <c r="G84" i="11"/>
  <c r="D85" i="11"/>
  <c r="J85" i="11" s="1"/>
  <c r="E85" i="11"/>
  <c r="G85" i="11"/>
  <c r="D86" i="11"/>
  <c r="H86" i="11" s="1"/>
  <c r="E86" i="11"/>
  <c r="G86" i="11"/>
  <c r="D87" i="11"/>
  <c r="J87" i="11" s="1"/>
  <c r="E87" i="11"/>
  <c r="G87" i="11"/>
  <c r="D88" i="11"/>
  <c r="E88" i="11"/>
  <c r="G88" i="11"/>
  <c r="D89" i="11"/>
  <c r="J89" i="11" s="1"/>
  <c r="E89" i="11"/>
  <c r="G89" i="11"/>
  <c r="F164" i="11"/>
  <c r="F163" i="11"/>
  <c r="F162" i="11"/>
  <c r="F161" i="11"/>
  <c r="F158" i="11"/>
  <c r="F157" i="11"/>
  <c r="F156" i="11"/>
  <c r="F155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18" i="11"/>
  <c r="D15" i="11"/>
  <c r="J15" i="11" s="1"/>
  <c r="E15" i="11"/>
  <c r="G15" i="11"/>
  <c r="D16" i="11"/>
  <c r="E16" i="11"/>
  <c r="G16" i="11"/>
  <c r="D17" i="11"/>
  <c r="H17" i="11" s="1"/>
  <c r="E17" i="11"/>
  <c r="G17" i="11"/>
  <c r="D18" i="11"/>
  <c r="H18" i="11" s="1"/>
  <c r="E18" i="11"/>
  <c r="G18" i="11"/>
  <c r="D19" i="11"/>
  <c r="J19" i="11" s="1"/>
  <c r="E19" i="11"/>
  <c r="G19" i="11"/>
  <c r="D20" i="11"/>
  <c r="E20" i="11"/>
  <c r="G20" i="11"/>
  <c r="D21" i="11"/>
  <c r="H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I24" i="11" s="1"/>
  <c r="E24" i="11"/>
  <c r="G24" i="11"/>
  <c r="D25" i="11"/>
  <c r="E25" i="11"/>
  <c r="G25" i="11"/>
  <c r="D26" i="11"/>
  <c r="J26" i="11" s="1"/>
  <c r="E26" i="11"/>
  <c r="G26" i="11"/>
  <c r="D27" i="11"/>
  <c r="J27" i="11" s="1"/>
  <c r="E27" i="11"/>
  <c r="G27" i="11"/>
  <c r="D28" i="11"/>
  <c r="E28" i="11"/>
  <c r="G28" i="11"/>
  <c r="D29" i="11"/>
  <c r="H29" i="11" s="1"/>
  <c r="E29" i="11"/>
  <c r="G29" i="11"/>
  <c r="D30" i="11"/>
  <c r="E30" i="11"/>
  <c r="G30" i="11"/>
  <c r="D31" i="11"/>
  <c r="J31" i="11" s="1"/>
  <c r="E31" i="11"/>
  <c r="G31" i="11"/>
  <c r="D32" i="11"/>
  <c r="E32" i="11"/>
  <c r="G32" i="11"/>
  <c r="D33" i="11"/>
  <c r="H33" i="11" s="1"/>
  <c r="E33" i="11"/>
  <c r="G33" i="11"/>
  <c r="D34" i="11"/>
  <c r="E34" i="11"/>
  <c r="G34" i="11"/>
  <c r="D35" i="11"/>
  <c r="J35" i="11" s="1"/>
  <c r="E35" i="11"/>
  <c r="G35" i="11"/>
  <c r="D36" i="11"/>
  <c r="E36" i="11"/>
  <c r="G36" i="11"/>
  <c r="D37" i="11"/>
  <c r="H37" i="11" s="1"/>
  <c r="E37" i="11"/>
  <c r="G37" i="11"/>
  <c r="D38" i="11"/>
  <c r="J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E41" i="11"/>
  <c r="G41" i="11"/>
  <c r="D42" i="11"/>
  <c r="E42" i="11"/>
  <c r="G42" i="11"/>
  <c r="D43" i="11"/>
  <c r="J43" i="11" s="1"/>
  <c r="E43" i="11"/>
  <c r="G43" i="11"/>
  <c r="D44" i="11"/>
  <c r="E44" i="11"/>
  <c r="G44" i="11"/>
  <c r="D45" i="11"/>
  <c r="E45" i="11"/>
  <c r="G45" i="11"/>
  <c r="D46" i="11"/>
  <c r="J46" i="11" s="1"/>
  <c r="E46" i="11"/>
  <c r="G46" i="11"/>
  <c r="D47" i="11"/>
  <c r="E47" i="11"/>
  <c r="G47" i="11"/>
  <c r="D48" i="11"/>
  <c r="J48" i="11" s="1"/>
  <c r="E48" i="11"/>
  <c r="G48" i="11"/>
  <c r="D49" i="11"/>
  <c r="E49" i="11"/>
  <c r="G49" i="11"/>
  <c r="D50" i="11"/>
  <c r="E50" i="11"/>
  <c r="G50" i="11"/>
  <c r="D51" i="11"/>
  <c r="J51" i="11" s="1"/>
  <c r="E51" i="11"/>
  <c r="G51" i="11"/>
  <c r="D52" i="11"/>
  <c r="J52" i="11" s="1"/>
  <c r="E52" i="11"/>
  <c r="G52" i="11"/>
  <c r="D53" i="11"/>
  <c r="E53" i="11"/>
  <c r="G53" i="11"/>
  <c r="D54" i="11"/>
  <c r="E54" i="11"/>
  <c r="G54" i="11"/>
  <c r="D55" i="11"/>
  <c r="E55" i="11"/>
  <c r="G55" i="11"/>
  <c r="D56" i="11"/>
  <c r="E56" i="11"/>
  <c r="G56" i="11"/>
  <c r="D57" i="11"/>
  <c r="E57" i="11"/>
  <c r="G57" i="11"/>
  <c r="D58" i="11"/>
  <c r="H58" i="11" s="1"/>
  <c r="E58" i="11"/>
  <c r="G58" i="11"/>
  <c r="D59" i="11"/>
  <c r="E59" i="11"/>
  <c r="G59" i="11"/>
  <c r="D60" i="11"/>
  <c r="E60" i="11"/>
  <c r="G60" i="11"/>
  <c r="D61" i="11"/>
  <c r="E61" i="11"/>
  <c r="G61" i="11"/>
  <c r="D62" i="11"/>
  <c r="E62" i="11"/>
  <c r="G62" i="11"/>
  <c r="D63" i="11"/>
  <c r="J63" i="11" s="1"/>
  <c r="E63" i="11"/>
  <c r="G63" i="11"/>
  <c r="D64" i="11"/>
  <c r="E64" i="11"/>
  <c r="G64" i="11"/>
  <c r="D65" i="11"/>
  <c r="E65" i="11"/>
  <c r="G65" i="11"/>
  <c r="D66" i="11"/>
  <c r="H66" i="11" s="1"/>
  <c r="E66" i="11"/>
  <c r="G66" i="11"/>
  <c r="D67" i="11"/>
  <c r="E67" i="11"/>
  <c r="G67" i="11"/>
  <c r="D68" i="11"/>
  <c r="E68" i="11"/>
  <c r="G68" i="11"/>
  <c r="D69" i="11"/>
  <c r="H69" i="11" s="1"/>
  <c r="E69" i="11"/>
  <c r="G69" i="11"/>
  <c r="D70" i="11"/>
  <c r="E70" i="11"/>
  <c r="G70" i="11"/>
  <c r="D71" i="11"/>
  <c r="E71" i="11"/>
  <c r="G71" i="11"/>
  <c r="D72" i="11"/>
  <c r="E72" i="11"/>
  <c r="G72" i="11"/>
  <c r="D73" i="11"/>
  <c r="E73" i="11"/>
  <c r="G73" i="11"/>
  <c r="D74" i="11"/>
  <c r="H74" i="11" s="1"/>
  <c r="E74" i="11"/>
  <c r="G74" i="11"/>
  <c r="D75" i="11"/>
  <c r="E75" i="11"/>
  <c r="G75" i="11"/>
  <c r="D90" i="11"/>
  <c r="I90" i="11" s="1"/>
  <c r="E90" i="11"/>
  <c r="G90" i="11"/>
  <c r="D91" i="11"/>
  <c r="E91" i="11"/>
  <c r="G91" i="11"/>
  <c r="D92" i="11"/>
  <c r="J92" i="11" s="1"/>
  <c r="E92" i="11"/>
  <c r="G92" i="11"/>
  <c r="D93" i="11"/>
  <c r="I93" i="11" s="1"/>
  <c r="E93" i="11"/>
  <c r="G93" i="11"/>
  <c r="D94" i="11"/>
  <c r="J94" i="11" s="1"/>
  <c r="E94" i="11"/>
  <c r="G94" i="11"/>
  <c r="D95" i="11"/>
  <c r="E95" i="11"/>
  <c r="G95" i="11"/>
  <c r="D96" i="11"/>
  <c r="H96" i="11" s="1"/>
  <c r="E96" i="11"/>
  <c r="G96" i="11"/>
  <c r="D97" i="11"/>
  <c r="J97" i="11" s="1"/>
  <c r="E97" i="11"/>
  <c r="G97" i="11"/>
  <c r="D98" i="11"/>
  <c r="E98" i="11"/>
  <c r="G98" i="11"/>
  <c r="D99" i="11"/>
  <c r="H99" i="11" s="1"/>
  <c r="E99" i="11"/>
  <c r="G99" i="11"/>
  <c r="D100" i="11"/>
  <c r="H100" i="11" s="1"/>
  <c r="E100" i="11"/>
  <c r="G100" i="11"/>
  <c r="D101" i="11"/>
  <c r="E101" i="11"/>
  <c r="G101" i="11"/>
  <c r="D102" i="11"/>
  <c r="E102" i="11"/>
  <c r="G102" i="11"/>
  <c r="D103" i="11"/>
  <c r="E103" i="11"/>
  <c r="G103" i="11"/>
  <c r="D104" i="11"/>
  <c r="H104" i="11" s="1"/>
  <c r="E104" i="11"/>
  <c r="G104" i="11"/>
  <c r="D105" i="11"/>
  <c r="J105" i="11" s="1"/>
  <c r="E105" i="11"/>
  <c r="G105" i="11"/>
  <c r="D106" i="11"/>
  <c r="E106" i="11"/>
  <c r="G106" i="11"/>
  <c r="D107" i="11"/>
  <c r="E107" i="11"/>
  <c r="G107" i="11"/>
  <c r="D108" i="11"/>
  <c r="E108" i="11"/>
  <c r="G108" i="11"/>
  <c r="D109" i="11"/>
  <c r="E109" i="11"/>
  <c r="G109" i="11"/>
  <c r="D110" i="11"/>
  <c r="E110" i="11"/>
  <c r="G110" i="11"/>
  <c r="D111" i="11"/>
  <c r="E111" i="11"/>
  <c r="G111" i="11"/>
  <c r="D112" i="11"/>
  <c r="E112" i="11"/>
  <c r="G112" i="11"/>
  <c r="D113" i="11"/>
  <c r="I113" i="11" s="1"/>
  <c r="E113" i="11"/>
  <c r="G113" i="11"/>
  <c r="D114" i="11"/>
  <c r="J114" i="11" s="1"/>
  <c r="E114" i="11"/>
  <c r="G114" i="11"/>
  <c r="D115" i="11"/>
  <c r="E115" i="11"/>
  <c r="G115" i="11"/>
  <c r="D116" i="11"/>
  <c r="E116" i="11"/>
  <c r="G116" i="11"/>
  <c r="D117" i="11"/>
  <c r="E117" i="11"/>
  <c r="G117" i="11"/>
  <c r="D118" i="11"/>
  <c r="E118" i="11"/>
  <c r="G118" i="11"/>
  <c r="D119" i="11"/>
  <c r="E119" i="11"/>
  <c r="G119" i="11"/>
  <c r="D120" i="11"/>
  <c r="E120" i="11"/>
  <c r="G120" i="11"/>
  <c r="D121" i="11"/>
  <c r="E121" i="11"/>
  <c r="G121" i="11"/>
  <c r="D122" i="11"/>
  <c r="E122" i="11"/>
  <c r="G122" i="11"/>
  <c r="D123" i="11"/>
  <c r="J123" i="11" s="1"/>
  <c r="E123" i="11"/>
  <c r="G123" i="11"/>
  <c r="D124" i="11"/>
  <c r="J124" i="11" s="1"/>
  <c r="E124" i="11"/>
  <c r="G124" i="11"/>
  <c r="D125" i="11"/>
  <c r="E125" i="11"/>
  <c r="G125" i="11"/>
  <c r="D126" i="11"/>
  <c r="J126" i="11" s="1"/>
  <c r="E126" i="11"/>
  <c r="G126" i="11"/>
  <c r="D127" i="11"/>
  <c r="E127" i="11"/>
  <c r="G127" i="11"/>
  <c r="D128" i="11"/>
  <c r="H128" i="11" s="1"/>
  <c r="E128" i="11"/>
  <c r="G128" i="11"/>
  <c r="D129" i="11"/>
  <c r="H129" i="11" s="1"/>
  <c r="E129" i="11"/>
  <c r="G129" i="11"/>
  <c r="D130" i="11"/>
  <c r="E130" i="11"/>
  <c r="G130" i="11"/>
  <c r="D131" i="11"/>
  <c r="H131" i="11" s="1"/>
  <c r="E131" i="11"/>
  <c r="G131" i="11"/>
  <c r="D132" i="11"/>
  <c r="H132" i="11" s="1"/>
  <c r="E132" i="11"/>
  <c r="G132" i="11"/>
  <c r="D133" i="11"/>
  <c r="H133" i="11" s="1"/>
  <c r="E133" i="11"/>
  <c r="G133" i="11"/>
  <c r="D134" i="11"/>
  <c r="J134" i="11" s="1"/>
  <c r="E134" i="11"/>
  <c r="G134" i="11"/>
  <c r="D135" i="11"/>
  <c r="J135" i="11" s="1"/>
  <c r="E135" i="11"/>
  <c r="G135" i="11"/>
  <c r="D136" i="11"/>
  <c r="H136" i="11" s="1"/>
  <c r="E136" i="11"/>
  <c r="G136" i="11"/>
  <c r="D137" i="11"/>
  <c r="J137" i="11" s="1"/>
  <c r="E137" i="11"/>
  <c r="G137" i="11"/>
  <c r="D138" i="11"/>
  <c r="E138" i="11"/>
  <c r="G138" i="11"/>
  <c r="D139" i="11"/>
  <c r="J139" i="11" s="1"/>
  <c r="E139" i="11"/>
  <c r="G139" i="11"/>
  <c r="D140" i="11"/>
  <c r="E140" i="11"/>
  <c r="G140" i="11"/>
  <c r="D141" i="11"/>
  <c r="J141" i="11" s="1"/>
  <c r="E141" i="11"/>
  <c r="G141" i="11"/>
  <c r="D142" i="11"/>
  <c r="E142" i="11"/>
  <c r="G142" i="11"/>
  <c r="D143" i="11"/>
  <c r="H143" i="11" s="1"/>
  <c r="E143" i="11"/>
  <c r="G143" i="11"/>
  <c r="D144" i="11"/>
  <c r="H144" i="11" s="1"/>
  <c r="E144" i="11"/>
  <c r="G144" i="11"/>
  <c r="D145" i="11"/>
  <c r="H145" i="11" s="1"/>
  <c r="E145" i="11"/>
  <c r="G145" i="11"/>
  <c r="D146" i="11"/>
  <c r="J146" i="11" s="1"/>
  <c r="E146" i="11"/>
  <c r="G146" i="11"/>
  <c r="D147" i="11"/>
  <c r="H147" i="11" s="1"/>
  <c r="E147" i="11"/>
  <c r="G147" i="11"/>
  <c r="D148" i="11"/>
  <c r="H148" i="11" s="1"/>
  <c r="E148" i="11"/>
  <c r="G148" i="11"/>
  <c r="D149" i="11"/>
  <c r="H149" i="11" s="1"/>
  <c r="E149" i="11"/>
  <c r="G149" i="11"/>
  <c r="D150" i="11"/>
  <c r="J150" i="11" s="1"/>
  <c r="E150" i="11"/>
  <c r="G150" i="11"/>
  <c r="D151" i="11"/>
  <c r="E151" i="11"/>
  <c r="G151" i="11"/>
  <c r="D152" i="11"/>
  <c r="J152" i="11" s="1"/>
  <c r="E152" i="11"/>
  <c r="G152" i="11"/>
  <c r="D153" i="11"/>
  <c r="J153" i="11" s="1"/>
  <c r="E153" i="11"/>
  <c r="G153" i="11"/>
  <c r="D154" i="11"/>
  <c r="E154" i="11"/>
  <c r="G154" i="11"/>
  <c r="D155" i="11"/>
  <c r="E155" i="11"/>
  <c r="G155" i="11"/>
  <c r="D156" i="11"/>
  <c r="E156" i="11"/>
  <c r="G156" i="11"/>
  <c r="D157" i="11"/>
  <c r="H157" i="11" s="1"/>
  <c r="E157" i="11"/>
  <c r="G157" i="11"/>
  <c r="D158" i="11"/>
  <c r="E158" i="11"/>
  <c r="G158" i="11"/>
  <c r="D159" i="11"/>
  <c r="J159" i="11" s="1"/>
  <c r="E159" i="11"/>
  <c r="G159" i="11"/>
  <c r="D160" i="11"/>
  <c r="E160" i="11"/>
  <c r="G160" i="11"/>
  <c r="D161" i="11"/>
  <c r="H161" i="11" s="1"/>
  <c r="E161" i="11"/>
  <c r="G161" i="11"/>
  <c r="D162" i="11"/>
  <c r="J162" i="11" s="1"/>
  <c r="E162" i="11"/>
  <c r="G162" i="11"/>
  <c r="D163" i="11"/>
  <c r="H163" i="11" s="1"/>
  <c r="E163" i="11"/>
  <c r="G163" i="11"/>
  <c r="D164" i="11"/>
  <c r="H164" i="11" s="1"/>
  <c r="E164" i="11"/>
  <c r="G164" i="11"/>
  <c r="D165" i="11"/>
  <c r="J165" i="11" s="1"/>
  <c r="E165" i="11"/>
  <c r="G165" i="11"/>
  <c r="D173" i="11"/>
  <c r="J173" i="11" s="1"/>
  <c r="E173" i="11"/>
  <c r="G173" i="11"/>
  <c r="D174" i="11"/>
  <c r="E174" i="11"/>
  <c r="G174" i="11"/>
  <c r="D175" i="11"/>
  <c r="J175" i="11" s="1"/>
  <c r="E175" i="11"/>
  <c r="G175" i="11"/>
  <c r="D176" i="11"/>
  <c r="H176" i="11" s="1"/>
  <c r="E176" i="11"/>
  <c r="G176" i="11"/>
  <c r="D177" i="11"/>
  <c r="H177" i="11" s="1"/>
  <c r="E177" i="11"/>
  <c r="G177" i="11"/>
  <c r="D178" i="11"/>
  <c r="E178" i="11"/>
  <c r="G178" i="11"/>
  <c r="D179" i="11"/>
  <c r="E179" i="11"/>
  <c r="G179" i="11"/>
  <c r="D181" i="11"/>
  <c r="E181" i="11"/>
  <c r="G181" i="11"/>
  <c r="D182" i="11"/>
  <c r="E182" i="11"/>
  <c r="G182" i="11"/>
  <c r="D183" i="11"/>
  <c r="J183" i="11" s="1"/>
  <c r="E183" i="11"/>
  <c r="G183" i="11"/>
  <c r="D184" i="11"/>
  <c r="J184" i="11" s="1"/>
  <c r="E184" i="11"/>
  <c r="G184" i="11"/>
  <c r="D185" i="11"/>
  <c r="H185" i="11" s="1"/>
  <c r="E185" i="11"/>
  <c r="G185" i="11"/>
  <c r="D186" i="11"/>
  <c r="E186" i="11"/>
  <c r="G186" i="11"/>
  <c r="D187" i="11"/>
  <c r="I187" i="11" s="1"/>
  <c r="E187" i="11"/>
  <c r="G187" i="11"/>
  <c r="D188" i="11"/>
  <c r="J188" i="11" s="1"/>
  <c r="E188" i="11"/>
  <c r="G188" i="11"/>
  <c r="D189" i="11"/>
  <c r="H189" i="11" s="1"/>
  <c r="E189" i="11"/>
  <c r="G189" i="11"/>
  <c r="D190" i="11"/>
  <c r="J190" i="11" s="1"/>
  <c r="E190" i="11"/>
  <c r="G190" i="11"/>
  <c r="D191" i="11"/>
  <c r="J191" i="11" s="1"/>
  <c r="E191" i="11"/>
  <c r="G191" i="11"/>
  <c r="D192" i="11"/>
  <c r="E192" i="11"/>
  <c r="G192" i="11"/>
  <c r="D193" i="11"/>
  <c r="H193" i="11" s="1"/>
  <c r="E193" i="11"/>
  <c r="G193" i="11"/>
  <c r="D194" i="11"/>
  <c r="J194" i="11" s="1"/>
  <c r="E194" i="11"/>
  <c r="G194" i="11"/>
  <c r="D195" i="11"/>
  <c r="E195" i="11"/>
  <c r="G195" i="11"/>
  <c r="D196" i="11"/>
  <c r="J196" i="11" s="1"/>
  <c r="E196" i="11"/>
  <c r="G196" i="11"/>
  <c r="D197" i="11"/>
  <c r="H197" i="11" s="1"/>
  <c r="E197" i="11"/>
  <c r="G197" i="11"/>
  <c r="D198" i="11"/>
  <c r="H198" i="11" s="1"/>
  <c r="E198" i="11"/>
  <c r="G198" i="11"/>
  <c r="D199" i="11"/>
  <c r="E199" i="11"/>
  <c r="G199" i="11"/>
  <c r="D200" i="11"/>
  <c r="J200" i="11" s="1"/>
  <c r="E200" i="11"/>
  <c r="G200" i="11"/>
  <c r="D201" i="11"/>
  <c r="H201" i="11" s="1"/>
  <c r="E201" i="11"/>
  <c r="G201" i="11"/>
  <c r="D202" i="11"/>
  <c r="H202" i="11" s="1"/>
  <c r="E202" i="11"/>
  <c r="G202" i="11"/>
  <c r="D203" i="11"/>
  <c r="E203" i="11"/>
  <c r="G203" i="11"/>
  <c r="D204" i="11"/>
  <c r="J204" i="11" s="1"/>
  <c r="E204" i="11"/>
  <c r="G204" i="11"/>
  <c r="D205" i="11"/>
  <c r="H205" i="11" s="1"/>
  <c r="E205" i="11"/>
  <c r="G205" i="11"/>
  <c r="D206" i="11"/>
  <c r="H206" i="11" s="1"/>
  <c r="E206" i="11"/>
  <c r="G206" i="11"/>
  <c r="D207" i="11"/>
  <c r="J207" i="11" s="1"/>
  <c r="E207" i="11"/>
  <c r="G207" i="11"/>
  <c r="D208" i="11"/>
  <c r="J208" i="11" s="1"/>
  <c r="E208" i="11"/>
  <c r="G208" i="11"/>
  <c r="D209" i="11"/>
  <c r="H209" i="11" s="1"/>
  <c r="E209" i="11"/>
  <c r="G209" i="11"/>
  <c r="D210" i="11"/>
  <c r="J210" i="11" s="1"/>
  <c r="E210" i="11"/>
  <c r="G210" i="11"/>
  <c r="D211" i="11"/>
  <c r="J211" i="11" s="1"/>
  <c r="E211" i="11"/>
  <c r="G211" i="11"/>
  <c r="D212" i="11"/>
  <c r="H212" i="11" s="1"/>
  <c r="E212" i="11"/>
  <c r="G212" i="11"/>
  <c r="D213" i="11"/>
  <c r="H213" i="11" s="1"/>
  <c r="E213" i="11"/>
  <c r="G213" i="11"/>
  <c r="D214" i="11"/>
  <c r="J214" i="11" s="1"/>
  <c r="E214" i="11"/>
  <c r="G214" i="11"/>
  <c r="D215" i="11"/>
  <c r="J215" i="11" s="1"/>
  <c r="E215" i="11"/>
  <c r="G215" i="11"/>
  <c r="D216" i="11"/>
  <c r="H216" i="11" s="1"/>
  <c r="E216" i="11"/>
  <c r="G216" i="11"/>
  <c r="D217" i="11"/>
  <c r="H217" i="11" s="1"/>
  <c r="E217" i="11"/>
  <c r="G217" i="11"/>
  <c r="D218" i="11"/>
  <c r="H218" i="11" s="1"/>
  <c r="E218" i="11"/>
  <c r="G218" i="11"/>
  <c r="D219" i="11"/>
  <c r="J219" i="11" s="1"/>
  <c r="E219" i="11"/>
  <c r="G219" i="11"/>
  <c r="D220" i="11"/>
  <c r="J220" i="11" s="1"/>
  <c r="E220" i="11"/>
  <c r="G220" i="11"/>
  <c r="D221" i="11"/>
  <c r="H221" i="11" s="1"/>
  <c r="E221" i="11"/>
  <c r="G221" i="11"/>
  <c r="D222" i="11"/>
  <c r="J222" i="11" s="1"/>
  <c r="E222" i="11"/>
  <c r="G222" i="11"/>
  <c r="D223" i="11"/>
  <c r="J223" i="11" s="1"/>
  <c r="E223" i="11"/>
  <c r="G223" i="11"/>
  <c r="D224" i="11"/>
  <c r="H224" i="11" s="1"/>
  <c r="E224" i="11"/>
  <c r="G224" i="11"/>
  <c r="D225" i="11"/>
  <c r="J225" i="11" s="1"/>
  <c r="E225" i="11"/>
  <c r="G225" i="11"/>
  <c r="D226" i="11"/>
  <c r="J226" i="11" s="1"/>
  <c r="E226" i="11"/>
  <c r="G226" i="11"/>
  <c r="D227" i="11"/>
  <c r="E227" i="11"/>
  <c r="G227" i="11"/>
  <c r="J228" i="11"/>
  <c r="E228" i="11"/>
  <c r="G228" i="11"/>
  <c r="D229" i="11"/>
  <c r="H229" i="11" s="1"/>
  <c r="E229" i="11"/>
  <c r="G229" i="11"/>
  <c r="D230" i="11"/>
  <c r="J230" i="11" s="1"/>
  <c r="E230" i="11"/>
  <c r="G230" i="11"/>
  <c r="D232" i="11"/>
  <c r="H232" i="11" s="1"/>
  <c r="E232" i="11"/>
  <c r="G232" i="11"/>
  <c r="D233" i="11"/>
  <c r="H233" i="11" s="1"/>
  <c r="E233" i="11"/>
  <c r="G233" i="11"/>
  <c r="H234" i="11"/>
  <c r="E234" i="11"/>
  <c r="G234" i="11"/>
  <c r="J235" i="11"/>
  <c r="E235" i="11"/>
  <c r="G235" i="11"/>
  <c r="E236" i="11"/>
  <c r="G236" i="11"/>
  <c r="H236" i="11" s="1"/>
  <c r="H237" i="11"/>
  <c r="E237" i="11"/>
  <c r="G237" i="11"/>
  <c r="E238" i="11"/>
  <c r="G238" i="11"/>
  <c r="I238" i="11" s="1"/>
  <c r="D239" i="11"/>
  <c r="E239" i="11"/>
  <c r="G239" i="11"/>
  <c r="D240" i="11"/>
  <c r="J240" i="11" s="1"/>
  <c r="E240" i="11"/>
  <c r="G240" i="11"/>
  <c r="D241" i="11"/>
  <c r="H241" i="11" s="1"/>
  <c r="E241" i="11"/>
  <c r="G241" i="11"/>
  <c r="D242" i="11"/>
  <c r="J242" i="11" s="1"/>
  <c r="E242" i="11"/>
  <c r="G242" i="11"/>
  <c r="D243" i="11"/>
  <c r="J243" i="11" s="1"/>
  <c r="E243" i="11"/>
  <c r="G243" i="11"/>
  <c r="D244" i="11"/>
  <c r="H244" i="11" s="1"/>
  <c r="E244" i="11"/>
  <c r="G244" i="11"/>
  <c r="D245" i="11"/>
  <c r="E245" i="11"/>
  <c r="G245" i="11"/>
  <c r="D246" i="11"/>
  <c r="H246" i="11" s="1"/>
  <c r="E246" i="11"/>
  <c r="G246" i="11"/>
  <c r="D247" i="11"/>
  <c r="I247" i="11" s="1"/>
  <c r="E247" i="11"/>
  <c r="G247" i="11"/>
  <c r="D259" i="11"/>
  <c r="H259" i="11" s="1"/>
  <c r="E259" i="11"/>
  <c r="G259" i="11"/>
  <c r="D260" i="11"/>
  <c r="H260" i="11" s="1"/>
  <c r="E260" i="11"/>
  <c r="G260" i="11"/>
  <c r="D261" i="11"/>
  <c r="E261" i="11"/>
  <c r="G261" i="11"/>
  <c r="D262" i="11"/>
  <c r="H262" i="11" s="1"/>
  <c r="E262" i="11"/>
  <c r="G262" i="11"/>
  <c r="D263" i="11"/>
  <c r="H263" i="11" s="1"/>
  <c r="E263" i="11"/>
  <c r="G263" i="11"/>
  <c r="D264" i="11"/>
  <c r="H264" i="11" s="1"/>
  <c r="E264" i="11"/>
  <c r="G264" i="11"/>
  <c r="D265" i="11"/>
  <c r="I265" i="11" s="1"/>
  <c r="E265" i="11"/>
  <c r="G265" i="11"/>
  <c r="D266" i="11"/>
  <c r="H266" i="11" s="1"/>
  <c r="E266" i="11"/>
  <c r="G266" i="11"/>
  <c r="D267" i="11"/>
  <c r="H267" i="11" s="1"/>
  <c r="E267" i="11"/>
  <c r="G267" i="11"/>
  <c r="D268" i="11"/>
  <c r="H268" i="11" s="1"/>
  <c r="E268" i="11"/>
  <c r="G268" i="11"/>
  <c r="D269" i="11"/>
  <c r="E269" i="11"/>
  <c r="G269" i="11"/>
  <c r="D270" i="11"/>
  <c r="H270" i="11" s="1"/>
  <c r="E270" i="11"/>
  <c r="G270" i="11"/>
  <c r="D271" i="11"/>
  <c r="H271" i="11" s="1"/>
  <c r="E271" i="11"/>
  <c r="G271" i="11"/>
  <c r="D272" i="11"/>
  <c r="H272" i="11" s="1"/>
  <c r="E272" i="11"/>
  <c r="G272" i="11"/>
  <c r="D273" i="11"/>
  <c r="E273" i="11"/>
  <c r="G273" i="11"/>
  <c r="D274" i="11"/>
  <c r="H274" i="11" s="1"/>
  <c r="E274" i="11"/>
  <c r="G274" i="11"/>
  <c r="AM25" i="64"/>
  <c r="AM24" i="64"/>
  <c r="AM23" i="64"/>
  <c r="AM22" i="64"/>
  <c r="AM21" i="64"/>
  <c r="AI39" i="64"/>
  <c r="AI21" i="64"/>
  <c r="AI38" i="64"/>
  <c r="AI37" i="64"/>
  <c r="AI36" i="64"/>
  <c r="AI34" i="64"/>
  <c r="AI33" i="64"/>
  <c r="AI32" i="64"/>
  <c r="AI31" i="64"/>
  <c r="AI28" i="64"/>
  <c r="AI29" i="64"/>
  <c r="AI27" i="64"/>
  <c r="AI26" i="64"/>
  <c r="AI35" i="64"/>
  <c r="AI25" i="64"/>
  <c r="AI24" i="64"/>
  <c r="AI23" i="64"/>
  <c r="AI22" i="64"/>
  <c r="Y253" i="64"/>
  <c r="Y252" i="64"/>
  <c r="I273" i="11" l="1"/>
  <c r="J239" i="11"/>
  <c r="J166" i="11"/>
  <c r="J168" i="11"/>
  <c r="I169" i="11"/>
  <c r="I168" i="11"/>
  <c r="H227" i="11"/>
  <c r="F196" i="11"/>
  <c r="I196" i="11" s="1"/>
  <c r="I172" i="11"/>
  <c r="F200" i="11"/>
  <c r="I200" i="11" s="1"/>
  <c r="F221" i="11"/>
  <c r="I221" i="11" s="1"/>
  <c r="H172" i="11"/>
  <c r="J171" i="11"/>
  <c r="I166" i="11"/>
  <c r="J170" i="11"/>
  <c r="I171" i="11"/>
  <c r="I170" i="11"/>
  <c r="H169" i="11"/>
  <c r="H170" i="11"/>
  <c r="I167" i="11"/>
  <c r="H167" i="11"/>
  <c r="F217" i="11"/>
  <c r="F218" i="11"/>
  <c r="J218" i="11" s="1"/>
  <c r="F215" i="11"/>
  <c r="I215" i="11" s="1"/>
  <c r="F222" i="11"/>
  <c r="I222" i="11" s="1"/>
  <c r="F223" i="11"/>
  <c r="F197" i="11"/>
  <c r="I197" i="11" s="1"/>
  <c r="F201" i="11"/>
  <c r="I201" i="11" s="1"/>
  <c r="F198" i="11"/>
  <c r="F202" i="11"/>
  <c r="I202" i="11" s="1"/>
  <c r="F195" i="11"/>
  <c r="I195" i="11" s="1"/>
  <c r="F199" i="11"/>
  <c r="I199" i="11" s="1"/>
  <c r="J203" i="11"/>
  <c r="J192" i="11"/>
  <c r="J178" i="11"/>
  <c r="J186" i="11"/>
  <c r="H182" i="11"/>
  <c r="J78" i="11"/>
  <c r="I76" i="11"/>
  <c r="I79" i="11"/>
  <c r="I78" i="11"/>
  <c r="H76" i="11"/>
  <c r="J86" i="11"/>
  <c r="I83" i="11"/>
  <c r="J82" i="11"/>
  <c r="J88" i="11"/>
  <c r="I82" i="11"/>
  <c r="I86" i="11"/>
  <c r="I89" i="11"/>
  <c r="I87" i="11"/>
  <c r="H83" i="11"/>
  <c r="H79" i="11"/>
  <c r="I88" i="11"/>
  <c r="H87" i="11"/>
  <c r="I84" i="11"/>
  <c r="I81" i="11"/>
  <c r="I80" i="11"/>
  <c r="I77" i="11"/>
  <c r="H89" i="11"/>
  <c r="H88" i="11"/>
  <c r="H80" i="11"/>
  <c r="I85" i="11"/>
  <c r="H84" i="11"/>
  <c r="K84" i="11" s="1"/>
  <c r="H85" i="11"/>
  <c r="H81" i="11"/>
  <c r="H77" i="11"/>
  <c r="J158" i="11"/>
  <c r="I154" i="11"/>
  <c r="I155" i="11"/>
  <c r="H139" i="11"/>
  <c r="I130" i="11"/>
  <c r="I102" i="11"/>
  <c r="I98" i="11"/>
  <c r="H115" i="11"/>
  <c r="H116" i="11"/>
  <c r="I125" i="11"/>
  <c r="I107" i="11"/>
  <c r="I103" i="11"/>
  <c r="H91" i="11"/>
  <c r="I101" i="11"/>
  <c r="I70" i="11"/>
  <c r="I42" i="11"/>
  <c r="I71" i="11"/>
  <c r="I47" i="11"/>
  <c r="H41" i="11"/>
  <c r="I44" i="11"/>
  <c r="H25" i="11"/>
  <c r="J145" i="11"/>
  <c r="I145" i="11"/>
  <c r="J144" i="11"/>
  <c r="J143" i="11"/>
  <c r="J104" i="11"/>
  <c r="J100" i="11"/>
  <c r="J272" i="11"/>
  <c r="J229" i="11"/>
  <c r="I146" i="11"/>
  <c r="J268" i="11"/>
  <c r="J267" i="11"/>
  <c r="I104" i="11"/>
  <c r="J233" i="11"/>
  <c r="I194" i="11"/>
  <c r="J157" i="11"/>
  <c r="I23" i="11"/>
  <c r="I233" i="11"/>
  <c r="J232" i="11"/>
  <c r="I229" i="11"/>
  <c r="J227" i="11"/>
  <c r="J217" i="11"/>
  <c r="J212" i="11"/>
  <c r="I203" i="11"/>
  <c r="I183" i="11"/>
  <c r="I129" i="11"/>
  <c r="I94" i="11"/>
  <c r="I74" i="11"/>
  <c r="J69" i="11"/>
  <c r="J224" i="11"/>
  <c r="J164" i="11"/>
  <c r="I159" i="11"/>
  <c r="I157" i="11"/>
  <c r="J17" i="11"/>
  <c r="J274" i="11"/>
  <c r="I272" i="11"/>
  <c r="J271" i="11"/>
  <c r="J264" i="11"/>
  <c r="I191" i="11"/>
  <c r="J149" i="11"/>
  <c r="J148" i="11"/>
  <c r="H146" i="11"/>
  <c r="I92" i="11"/>
  <c r="J259" i="11"/>
  <c r="J116" i="11"/>
  <c r="J238" i="11"/>
  <c r="I224" i="11"/>
  <c r="I217" i="11"/>
  <c r="J216" i="11"/>
  <c r="I214" i="11"/>
  <c r="I208" i="11"/>
  <c r="I207" i="11"/>
  <c r="I206" i="11"/>
  <c r="J205" i="11"/>
  <c r="J198" i="11"/>
  <c r="H191" i="11"/>
  <c r="I190" i="11"/>
  <c r="J189" i="11"/>
  <c r="H183" i="11"/>
  <c r="J182" i="11"/>
  <c r="I141" i="11"/>
  <c r="I26" i="11"/>
  <c r="J25" i="11"/>
  <c r="H23" i="11"/>
  <c r="J22" i="11"/>
  <c r="J21" i="11"/>
  <c r="I15" i="11"/>
  <c r="J246" i="11"/>
  <c r="J244" i="11"/>
  <c r="I259" i="11"/>
  <c r="I246" i="11"/>
  <c r="I244" i="11"/>
  <c r="H242" i="11"/>
  <c r="J241" i="11"/>
  <c r="H238" i="11"/>
  <c r="J237" i="11"/>
  <c r="J236" i="11"/>
  <c r="I178" i="11"/>
  <c r="J177" i="11"/>
  <c r="I137" i="11"/>
  <c r="J136" i="11"/>
  <c r="J131" i="11"/>
  <c r="I116" i="11"/>
  <c r="H114" i="11"/>
  <c r="I97" i="11"/>
  <c r="I96" i="11"/>
  <c r="I52" i="11"/>
  <c r="I51" i="11"/>
  <c r="I46" i="11"/>
  <c r="J41" i="11"/>
  <c r="I242" i="11"/>
  <c r="I114" i="11"/>
  <c r="I149" i="11"/>
  <c r="I139" i="11"/>
  <c r="I105" i="11"/>
  <c r="I66" i="11"/>
  <c r="J260" i="11"/>
  <c r="J234" i="11"/>
  <c r="I225" i="11"/>
  <c r="H214" i="11"/>
  <c r="I212" i="11"/>
  <c r="I211" i="11"/>
  <c r="I210" i="11"/>
  <c r="I205" i="11"/>
  <c r="H203" i="11"/>
  <c r="J202" i="11"/>
  <c r="H194" i="11"/>
  <c r="I173" i="11"/>
  <c r="I164" i="11"/>
  <c r="J163" i="11"/>
  <c r="I162" i="11"/>
  <c r="J161" i="11"/>
  <c r="I153" i="11"/>
  <c r="I136" i="11"/>
  <c r="I135" i="11"/>
  <c r="I134" i="11"/>
  <c r="I133" i="11"/>
  <c r="I131" i="11"/>
  <c r="J129" i="11"/>
  <c r="I126" i="11"/>
  <c r="H105" i="11"/>
  <c r="H97" i="11"/>
  <c r="J96" i="11"/>
  <c r="H92" i="11"/>
  <c r="J66" i="11"/>
  <c r="I63" i="11"/>
  <c r="I58" i="11"/>
  <c r="H51" i="11"/>
  <c r="H46" i="11"/>
  <c r="I35" i="11"/>
  <c r="I19" i="11"/>
  <c r="J18" i="11"/>
  <c r="H15" i="11"/>
  <c r="I27" i="11"/>
  <c r="I267" i="11"/>
  <c r="J266" i="11"/>
  <c r="I264" i="11"/>
  <c r="J263" i="11"/>
  <c r="I219" i="11"/>
  <c r="J201" i="11"/>
  <c r="I198" i="11"/>
  <c r="I186" i="11"/>
  <c r="I150" i="11"/>
  <c r="I143" i="11"/>
  <c r="H141" i="11"/>
  <c r="H137" i="11"/>
  <c r="I123" i="11"/>
  <c r="H94" i="11"/>
  <c r="I69" i="11"/>
  <c r="I48" i="11"/>
  <c r="I43" i="11"/>
  <c r="I41" i="11"/>
  <c r="I40" i="11"/>
  <c r="I39" i="11"/>
  <c r="I38" i="11"/>
  <c r="I271" i="11"/>
  <c r="J270" i="11"/>
  <c r="I268" i="11"/>
  <c r="I263" i="11"/>
  <c r="J262" i="11"/>
  <c r="I260" i="11"/>
  <c r="I241" i="11"/>
  <c r="I227" i="11"/>
  <c r="H225" i="11"/>
  <c r="J221" i="11"/>
  <c r="I218" i="11"/>
  <c r="H210" i="11"/>
  <c r="H207" i="11"/>
  <c r="J206" i="11"/>
  <c r="I189" i="11"/>
  <c r="H186" i="11"/>
  <c r="J185" i="11"/>
  <c r="I184" i="11"/>
  <c r="H178" i="11"/>
  <c r="H173" i="11"/>
  <c r="I148" i="11"/>
  <c r="J147" i="11"/>
  <c r="I144" i="11"/>
  <c r="H134" i="11"/>
  <c r="J133" i="11"/>
  <c r="H126" i="11"/>
  <c r="H123" i="11"/>
  <c r="J74" i="11"/>
  <c r="H63" i="11"/>
  <c r="J58" i="11"/>
  <c r="H38" i="11"/>
  <c r="J37" i="11"/>
  <c r="J29" i="11"/>
  <c r="I22" i="11"/>
  <c r="I31" i="11"/>
  <c r="I21" i="11"/>
  <c r="H19" i="11"/>
  <c r="I274" i="11"/>
  <c r="I266" i="11"/>
  <c r="I236" i="11"/>
  <c r="I234" i="11"/>
  <c r="H215" i="11"/>
  <c r="H200" i="11"/>
  <c r="I192" i="11"/>
  <c r="I177" i="11"/>
  <c r="I161" i="11"/>
  <c r="H159" i="11"/>
  <c r="I158" i="11"/>
  <c r="H153" i="11"/>
  <c r="H150" i="11"/>
  <c r="J132" i="11"/>
  <c r="I100" i="11"/>
  <c r="J99" i="11"/>
  <c r="H52" i="11"/>
  <c r="H43" i="11"/>
  <c r="J33" i="11"/>
  <c r="I18" i="11"/>
  <c r="J174" i="11"/>
  <c r="H174" i="11"/>
  <c r="H160" i="11"/>
  <c r="J160" i="11"/>
  <c r="H127" i="11"/>
  <c r="J127" i="11"/>
  <c r="J119" i="11"/>
  <c r="I119" i="11"/>
  <c r="J118" i="11"/>
  <c r="H118" i="11"/>
  <c r="H117" i="11"/>
  <c r="J117" i="11"/>
  <c r="J110" i="11"/>
  <c r="I110" i="11"/>
  <c r="H109" i="11"/>
  <c r="J109" i="11"/>
  <c r="H73" i="11"/>
  <c r="I73" i="11"/>
  <c r="J68" i="11"/>
  <c r="H68" i="11"/>
  <c r="J67" i="11"/>
  <c r="H67" i="11"/>
  <c r="J64" i="11"/>
  <c r="I64" i="11"/>
  <c r="J59" i="11"/>
  <c r="H59" i="11"/>
  <c r="H53" i="11"/>
  <c r="J53" i="11"/>
  <c r="H50" i="11"/>
  <c r="J50" i="11"/>
  <c r="J30" i="11"/>
  <c r="H30" i="11"/>
  <c r="I270" i="11"/>
  <c r="I262" i="11"/>
  <c r="H245" i="11"/>
  <c r="I245" i="11"/>
  <c r="I232" i="11"/>
  <c r="H228" i="11"/>
  <c r="I228" i="11"/>
  <c r="I216" i="11"/>
  <c r="H211" i="11"/>
  <c r="J195" i="11"/>
  <c r="H195" i="11"/>
  <c r="H184" i="11"/>
  <c r="I182" i="11"/>
  <c r="I175" i="11"/>
  <c r="I174" i="11"/>
  <c r="H162" i="11"/>
  <c r="J155" i="11"/>
  <c r="H155" i="11"/>
  <c r="J151" i="11"/>
  <c r="I151" i="11"/>
  <c r="J142" i="11"/>
  <c r="I142" i="11"/>
  <c r="I127" i="11"/>
  <c r="J121" i="11"/>
  <c r="H121" i="11"/>
  <c r="H120" i="11"/>
  <c r="I120" i="11"/>
  <c r="I118" i="11"/>
  <c r="I117" i="11"/>
  <c r="H112" i="11"/>
  <c r="J112" i="11"/>
  <c r="J111" i="11"/>
  <c r="H111" i="11"/>
  <c r="I109" i="11"/>
  <c r="J73" i="11"/>
  <c r="I68" i="11"/>
  <c r="I67" i="11"/>
  <c r="H61" i="11"/>
  <c r="J61" i="11"/>
  <c r="I59" i="11"/>
  <c r="J56" i="11"/>
  <c r="I56" i="11"/>
  <c r="J55" i="11"/>
  <c r="H55" i="11"/>
  <c r="J54" i="11"/>
  <c r="H54" i="11"/>
  <c r="I50" i="11"/>
  <c r="H45" i="11"/>
  <c r="I45" i="11"/>
  <c r="J36" i="11"/>
  <c r="H36" i="11"/>
  <c r="J34" i="11"/>
  <c r="H34" i="11"/>
  <c r="I30" i="11"/>
  <c r="J245" i="11"/>
  <c r="I237" i="11"/>
  <c r="J197" i="11"/>
  <c r="H190" i="11"/>
  <c r="J187" i="11"/>
  <c r="H187" i="11"/>
  <c r="J179" i="11"/>
  <c r="I179" i="11"/>
  <c r="H165" i="11"/>
  <c r="I165" i="11"/>
  <c r="H152" i="11"/>
  <c r="I152" i="11"/>
  <c r="H125" i="11"/>
  <c r="J125" i="11"/>
  <c r="I121" i="11"/>
  <c r="J120" i="11"/>
  <c r="H113" i="11"/>
  <c r="J113" i="11"/>
  <c r="I111" i="11"/>
  <c r="J103" i="11"/>
  <c r="H103" i="11"/>
  <c r="J102" i="11"/>
  <c r="H102" i="11"/>
  <c r="H101" i="11"/>
  <c r="J101" i="11"/>
  <c r="J93" i="11"/>
  <c r="H93" i="11"/>
  <c r="J75" i="11"/>
  <c r="H75" i="11"/>
  <c r="J62" i="11"/>
  <c r="H62" i="11"/>
  <c r="H57" i="11"/>
  <c r="I57" i="11"/>
  <c r="I55" i="11"/>
  <c r="I54" i="11"/>
  <c r="J45" i="11"/>
  <c r="H42" i="11"/>
  <c r="J42" i="11"/>
  <c r="I36" i="11"/>
  <c r="I34" i="11"/>
  <c r="H240" i="11"/>
  <c r="I240" i="11"/>
  <c r="H223" i="11"/>
  <c r="I223" i="11"/>
  <c r="J199" i="11"/>
  <c r="H199" i="11"/>
  <c r="H181" i="11"/>
  <c r="J181" i="11"/>
  <c r="I132" i="11"/>
  <c r="J130" i="11"/>
  <c r="H130" i="11"/>
  <c r="J107" i="11"/>
  <c r="H107" i="11"/>
  <c r="J98" i="11"/>
  <c r="H98" i="11"/>
  <c r="I75" i="11"/>
  <c r="J72" i="11"/>
  <c r="I72" i="11"/>
  <c r="J71" i="11"/>
  <c r="H71" i="11"/>
  <c r="H70" i="11"/>
  <c r="J70" i="11"/>
  <c r="I62" i="11"/>
  <c r="J57" i="11"/>
  <c r="J47" i="11"/>
  <c r="H47" i="11"/>
  <c r="H26" i="11"/>
  <c r="H39" i="11"/>
  <c r="H35" i="11"/>
  <c r="I33" i="11"/>
  <c r="H31" i="11"/>
  <c r="I29" i="11"/>
  <c r="H27" i="11"/>
  <c r="I25" i="11"/>
  <c r="I17" i="11"/>
  <c r="J269" i="11"/>
  <c r="H269" i="11"/>
  <c r="I269" i="11"/>
  <c r="J265" i="11"/>
  <c r="H265" i="11"/>
  <c r="J261" i="11"/>
  <c r="H261" i="11"/>
  <c r="J273" i="11"/>
  <c r="H273" i="11"/>
  <c r="I261" i="11"/>
  <c r="J247" i="11"/>
  <c r="H247" i="11"/>
  <c r="H108" i="11"/>
  <c r="I108" i="11"/>
  <c r="I243" i="11"/>
  <c r="I239" i="11"/>
  <c r="I230" i="11"/>
  <c r="I226" i="11"/>
  <c r="I220" i="11"/>
  <c r="J209" i="11"/>
  <c r="J193" i="11"/>
  <c r="J138" i="11"/>
  <c r="H138" i="11"/>
  <c r="H243" i="11"/>
  <c r="H239" i="11"/>
  <c r="H235" i="11"/>
  <c r="H230" i="11"/>
  <c r="H226" i="11"/>
  <c r="H222" i="11"/>
  <c r="H220" i="11"/>
  <c r="I213" i="11"/>
  <c r="I209" i="11"/>
  <c r="K209" i="11" s="1"/>
  <c r="H204" i="11"/>
  <c r="I193" i="11"/>
  <c r="H188" i="11"/>
  <c r="I176" i="11"/>
  <c r="H156" i="11"/>
  <c r="I156" i="11"/>
  <c r="H151" i="11"/>
  <c r="I138" i="11"/>
  <c r="I128" i="11"/>
  <c r="J122" i="11"/>
  <c r="H122" i="11"/>
  <c r="I115" i="11"/>
  <c r="H110" i="11"/>
  <c r="J108" i="11"/>
  <c r="I91" i="11"/>
  <c r="H65" i="11"/>
  <c r="I65" i="11"/>
  <c r="H56" i="11"/>
  <c r="J20" i="11"/>
  <c r="H20" i="11"/>
  <c r="J16" i="11"/>
  <c r="H16" i="11"/>
  <c r="I16" i="11"/>
  <c r="H208" i="11"/>
  <c r="H192" i="11"/>
  <c r="I181" i="11"/>
  <c r="H175" i="11"/>
  <c r="I163" i="11"/>
  <c r="H158" i="11"/>
  <c r="J156" i="11"/>
  <c r="H140" i="11"/>
  <c r="I140" i="11"/>
  <c r="H135" i="11"/>
  <c r="I122" i="11"/>
  <c r="I112" i="11"/>
  <c r="J106" i="11"/>
  <c r="H106" i="11"/>
  <c r="I99" i="11"/>
  <c r="H95" i="11"/>
  <c r="I95" i="11"/>
  <c r="J65" i="11"/>
  <c r="J60" i="11"/>
  <c r="H60" i="11"/>
  <c r="H49" i="11"/>
  <c r="I49" i="11"/>
  <c r="H40" i="11"/>
  <c r="I20" i="11"/>
  <c r="I235" i="11"/>
  <c r="J213" i="11"/>
  <c r="I204" i="11"/>
  <c r="I188" i="11"/>
  <c r="J176" i="11"/>
  <c r="J128" i="11"/>
  <c r="J115" i="11"/>
  <c r="J91" i="11"/>
  <c r="J90" i="11"/>
  <c r="H90" i="11"/>
  <c r="H219" i="11"/>
  <c r="H196" i="11"/>
  <c r="I185" i="11"/>
  <c r="H179" i="11"/>
  <c r="I160" i="11"/>
  <c r="J154" i="11"/>
  <c r="H154" i="11"/>
  <c r="I147" i="11"/>
  <c r="H142" i="11"/>
  <c r="J140" i="11"/>
  <c r="H124" i="11"/>
  <c r="I124" i="11"/>
  <c r="H119" i="11"/>
  <c r="I106" i="11"/>
  <c r="J95" i="11"/>
  <c r="H72" i="11"/>
  <c r="I61" i="11"/>
  <c r="I60" i="11"/>
  <c r="J49" i="11"/>
  <c r="J44" i="11"/>
  <c r="H44" i="11"/>
  <c r="J32" i="11"/>
  <c r="H32" i="11"/>
  <c r="I32" i="11"/>
  <c r="J28" i="11"/>
  <c r="H28" i="11"/>
  <c r="H64" i="11"/>
  <c r="I53" i="11"/>
  <c r="H48" i="11"/>
  <c r="I37" i="11"/>
  <c r="I28" i="11"/>
  <c r="J24" i="11"/>
  <c r="H24" i="11"/>
  <c r="K31" i="11" l="1"/>
  <c r="K233" i="11"/>
  <c r="K168" i="11"/>
  <c r="K166" i="11"/>
  <c r="K169" i="11"/>
  <c r="K171" i="11"/>
  <c r="K172" i="11"/>
  <c r="K167" i="11"/>
  <c r="K170" i="11"/>
  <c r="K183" i="11"/>
  <c r="K210" i="11"/>
  <c r="K217" i="11"/>
  <c r="K266" i="11"/>
  <c r="K139" i="11"/>
  <c r="K153" i="11"/>
  <c r="K78" i="11"/>
  <c r="K76" i="11"/>
  <c r="K88" i="11"/>
  <c r="K83" i="11"/>
  <c r="K86" i="11"/>
  <c r="K87" i="11"/>
  <c r="K89" i="11"/>
  <c r="K82" i="11"/>
  <c r="K80" i="11"/>
  <c r="K79" i="11"/>
  <c r="K81" i="11"/>
  <c r="K85" i="11"/>
  <c r="K77" i="11"/>
  <c r="K177" i="11"/>
  <c r="K69" i="11"/>
  <c r="K165" i="11"/>
  <c r="K137" i="11"/>
  <c r="K144" i="11"/>
  <c r="K41" i="11"/>
  <c r="K94" i="11"/>
  <c r="K141" i="11"/>
  <c r="K92" i="11"/>
  <c r="K143" i="11"/>
  <c r="K194" i="11"/>
  <c r="K116" i="11"/>
  <c r="K145" i="11"/>
  <c r="K147" i="11"/>
  <c r="K100" i="11"/>
  <c r="K133" i="11"/>
  <c r="K221" i="11"/>
  <c r="K40" i="11"/>
  <c r="K246" i="11"/>
  <c r="K23" i="11"/>
  <c r="K52" i="11"/>
  <c r="K218" i="11"/>
  <c r="K268" i="11"/>
  <c r="K224" i="11"/>
  <c r="K25" i="11"/>
  <c r="K15" i="11"/>
  <c r="K105" i="11"/>
  <c r="K272" i="11"/>
  <c r="K27" i="11"/>
  <c r="K35" i="11"/>
  <c r="K63" i="11"/>
  <c r="K148" i="11"/>
  <c r="K271" i="11"/>
  <c r="K198" i="11"/>
  <c r="K267" i="11"/>
  <c r="K51" i="11"/>
  <c r="K208" i="11"/>
  <c r="K17" i="11"/>
  <c r="K237" i="11"/>
  <c r="K123" i="11"/>
  <c r="K46" i="11"/>
  <c r="K212" i="11"/>
  <c r="K129" i="11"/>
  <c r="K196" i="11"/>
  <c r="K182" i="11"/>
  <c r="K232" i="11"/>
  <c r="K19" i="11"/>
  <c r="K207" i="11"/>
  <c r="K225" i="11"/>
  <c r="K229" i="11"/>
  <c r="K151" i="11"/>
  <c r="K104" i="11"/>
  <c r="K98" i="11"/>
  <c r="K66" i="11"/>
  <c r="K154" i="11"/>
  <c r="K175" i="11"/>
  <c r="K193" i="11"/>
  <c r="K72" i="11"/>
  <c r="K33" i="11"/>
  <c r="K162" i="11"/>
  <c r="K216" i="11"/>
  <c r="K43" i="11"/>
  <c r="K38" i="11"/>
  <c r="K264" i="11"/>
  <c r="K97" i="11"/>
  <c r="K136" i="11"/>
  <c r="K135" i="11"/>
  <c r="K158" i="11"/>
  <c r="K192" i="11"/>
  <c r="K247" i="11"/>
  <c r="K200" i="11"/>
  <c r="K236" i="11"/>
  <c r="K58" i="11"/>
  <c r="K164" i="11"/>
  <c r="K73" i="11"/>
  <c r="K18" i="11"/>
  <c r="K22" i="11"/>
  <c r="K126" i="11"/>
  <c r="K206" i="11"/>
  <c r="K186" i="11"/>
  <c r="K203" i="11"/>
  <c r="K189" i="11"/>
  <c r="K259" i="11"/>
  <c r="K149" i="11"/>
  <c r="K157" i="11"/>
  <c r="K159" i="11"/>
  <c r="K191" i="11"/>
  <c r="K146" i="11"/>
  <c r="K161" i="11"/>
  <c r="K274" i="11"/>
  <c r="K240" i="11"/>
  <c r="K21" i="11"/>
  <c r="K74" i="11"/>
  <c r="K227" i="11"/>
  <c r="K205" i="11"/>
  <c r="K214" i="11"/>
  <c r="K96" i="11"/>
  <c r="K241" i="11"/>
  <c r="K244" i="11"/>
  <c r="K238" i="11"/>
  <c r="K119" i="11"/>
  <c r="K226" i="11"/>
  <c r="K53" i="11"/>
  <c r="K26" i="11"/>
  <c r="K107" i="11"/>
  <c r="K57" i="11"/>
  <c r="K103" i="11"/>
  <c r="K260" i="11"/>
  <c r="K270" i="11"/>
  <c r="K202" i="11"/>
  <c r="K197" i="11"/>
  <c r="K184" i="11"/>
  <c r="K215" i="11"/>
  <c r="K29" i="11"/>
  <c r="K242" i="11"/>
  <c r="K111" i="11"/>
  <c r="K155" i="11"/>
  <c r="K195" i="11"/>
  <c r="K134" i="11"/>
  <c r="K173" i="11"/>
  <c r="K131" i="11"/>
  <c r="K234" i="11"/>
  <c r="K114" i="11"/>
  <c r="K219" i="11"/>
  <c r="K99" i="11"/>
  <c r="K181" i="11"/>
  <c r="K265" i="11"/>
  <c r="K47" i="11"/>
  <c r="K71" i="11"/>
  <c r="K190" i="11"/>
  <c r="K178" i="11"/>
  <c r="K142" i="11"/>
  <c r="K179" i="11"/>
  <c r="K201" i="11"/>
  <c r="K56" i="11"/>
  <c r="K230" i="11"/>
  <c r="K39" i="11"/>
  <c r="K150" i="11"/>
  <c r="K263" i="11"/>
  <c r="K64" i="11"/>
  <c r="K61" i="11"/>
  <c r="K185" i="11"/>
  <c r="K163" i="11"/>
  <c r="K45" i="11"/>
  <c r="K211" i="11"/>
  <c r="K262" i="11"/>
  <c r="K127" i="11"/>
  <c r="K48" i="11"/>
  <c r="K112" i="11"/>
  <c r="K132" i="11"/>
  <c r="K93" i="11"/>
  <c r="K102" i="11"/>
  <c r="K110" i="11"/>
  <c r="K220" i="11"/>
  <c r="K152" i="11"/>
  <c r="K37" i="11"/>
  <c r="K16" i="11"/>
  <c r="K222" i="11"/>
  <c r="K239" i="11"/>
  <c r="K70" i="11"/>
  <c r="K101" i="11"/>
  <c r="K113" i="11"/>
  <c r="K125" i="11"/>
  <c r="K160" i="11"/>
  <c r="K243" i="11"/>
  <c r="K187" i="11"/>
  <c r="K44" i="11"/>
  <c r="K90" i="11"/>
  <c r="K273" i="11"/>
  <c r="K130" i="11"/>
  <c r="K199" i="11"/>
  <c r="K223" i="11"/>
  <c r="K42" i="11"/>
  <c r="K55" i="11"/>
  <c r="K245" i="11"/>
  <c r="K109" i="11"/>
  <c r="K91" i="11"/>
  <c r="K115" i="11"/>
  <c r="K128" i="11"/>
  <c r="K75" i="11"/>
  <c r="K36" i="11"/>
  <c r="K59" i="11"/>
  <c r="K67" i="11"/>
  <c r="K118" i="11"/>
  <c r="K176" i="11"/>
  <c r="K120" i="11"/>
  <c r="K50" i="11"/>
  <c r="K174" i="11"/>
  <c r="K213" i="11"/>
  <c r="K62" i="11"/>
  <c r="K34" i="11"/>
  <c r="K54" i="11"/>
  <c r="K121" i="11"/>
  <c r="K228" i="11"/>
  <c r="K30" i="11"/>
  <c r="K68" i="11"/>
  <c r="K117" i="11"/>
  <c r="K124" i="11"/>
  <c r="K49" i="11"/>
  <c r="K106" i="11"/>
  <c r="K65" i="11"/>
  <c r="K122" i="11"/>
  <c r="K108" i="11"/>
  <c r="K24" i="11"/>
  <c r="K32" i="11"/>
  <c r="K60" i="11"/>
  <c r="K235" i="11"/>
  <c r="K28" i="11"/>
  <c r="K95" i="11"/>
  <c r="K204" i="11"/>
  <c r="K261" i="11"/>
  <c r="K269" i="11"/>
  <c r="K140" i="11"/>
  <c r="K20" i="11"/>
  <c r="K156" i="11"/>
  <c r="K188" i="11"/>
  <c r="K138" i="11"/>
  <c r="W271" i="64" l="1"/>
  <c r="E230" i="64"/>
  <c r="E175" i="64"/>
  <c r="E119" i="64"/>
  <c r="W104" i="64"/>
  <c r="E63" i="64"/>
  <c r="E7" i="64" l="1"/>
  <c r="W160" i="64"/>
  <c r="G6" i="11" l="1"/>
  <c r="G325" i="11" l="1"/>
  <c r="G326" i="11"/>
  <c r="G327" i="11"/>
  <c r="G328" i="11"/>
  <c r="G329" i="11"/>
  <c r="G330" i="11"/>
  <c r="G331" i="11"/>
  <c r="G332" i="11"/>
  <c r="D325" i="11"/>
  <c r="J325" i="11" s="1"/>
  <c r="E325" i="11"/>
  <c r="D326" i="11"/>
  <c r="E326" i="11"/>
  <c r="D327" i="11"/>
  <c r="H327" i="11" s="1"/>
  <c r="E327" i="11"/>
  <c r="D328" i="11"/>
  <c r="H328" i="11" s="1"/>
  <c r="E328" i="11"/>
  <c r="D329" i="11"/>
  <c r="J329" i="11" s="1"/>
  <c r="E329" i="11"/>
  <c r="D330" i="11"/>
  <c r="E330" i="11"/>
  <c r="D331" i="11"/>
  <c r="H331" i="11" s="1"/>
  <c r="E331" i="11"/>
  <c r="D332" i="11"/>
  <c r="H332" i="11" s="1"/>
  <c r="E332" i="11"/>
  <c r="G275" i="11"/>
  <c r="D275" i="11"/>
  <c r="J275" i="11" s="1"/>
  <c r="E275" i="11"/>
  <c r="G324" i="11"/>
  <c r="D324" i="11"/>
  <c r="J324" i="11" s="1"/>
  <c r="E324" i="11"/>
  <c r="F323" i="11"/>
  <c r="F322" i="11"/>
  <c r="F321" i="11"/>
  <c r="F320" i="11"/>
  <c r="F319" i="11"/>
  <c r="D318" i="11"/>
  <c r="J318" i="11" s="1"/>
  <c r="E318" i="11"/>
  <c r="G318" i="11"/>
  <c r="D319" i="11"/>
  <c r="J319" i="11" s="1"/>
  <c r="E319" i="11"/>
  <c r="G319" i="11"/>
  <c r="D320" i="11"/>
  <c r="H320" i="11" s="1"/>
  <c r="E320" i="11"/>
  <c r="G320" i="11"/>
  <c r="D321" i="11"/>
  <c r="J321" i="11" s="1"/>
  <c r="E321" i="11"/>
  <c r="G321" i="11"/>
  <c r="D322" i="11"/>
  <c r="H322" i="11" s="1"/>
  <c r="E322" i="11"/>
  <c r="G322" i="11"/>
  <c r="D323" i="11"/>
  <c r="E323" i="11"/>
  <c r="G323" i="11"/>
  <c r="I330" i="11" l="1"/>
  <c r="I326" i="11"/>
  <c r="J332" i="11"/>
  <c r="I325" i="11"/>
  <c r="I329" i="11"/>
  <c r="H326" i="11"/>
  <c r="H330" i="11"/>
  <c r="J328" i="11"/>
  <c r="I332" i="11"/>
  <c r="J331" i="11"/>
  <c r="H329" i="11"/>
  <c r="I328" i="11"/>
  <c r="J327" i="11"/>
  <c r="H325" i="11"/>
  <c r="I331" i="11"/>
  <c r="J330" i="11"/>
  <c r="I327" i="11"/>
  <c r="J326" i="11"/>
  <c r="I275" i="11"/>
  <c r="H275" i="11"/>
  <c r="I324" i="11"/>
  <c r="H324" i="11"/>
  <c r="I322" i="11"/>
  <c r="I318" i="11"/>
  <c r="J323" i="11"/>
  <c r="I323" i="11"/>
  <c r="J322" i="11"/>
  <c r="I321" i="11"/>
  <c r="J320" i="11"/>
  <c r="H318" i="11"/>
  <c r="H321" i="11"/>
  <c r="I320" i="11"/>
  <c r="I319" i="11"/>
  <c r="H323" i="11"/>
  <c r="H319" i="11"/>
  <c r="K332" i="11" l="1"/>
  <c r="K326" i="11"/>
  <c r="K329" i="11"/>
  <c r="K327" i="11"/>
  <c r="K325" i="11"/>
  <c r="K330" i="11"/>
  <c r="K331" i="11"/>
  <c r="K328" i="11"/>
  <c r="K275" i="11"/>
  <c r="K324" i="11"/>
  <c r="K318" i="11"/>
  <c r="K319" i="11"/>
  <c r="K321" i="11"/>
  <c r="K322" i="11"/>
  <c r="K323" i="11"/>
  <c r="K320" i="11"/>
  <c r="D14" i="11" l="1"/>
  <c r="J14" i="11" s="1"/>
  <c r="J347" i="11" s="1"/>
  <c r="E14" i="11"/>
  <c r="G14" i="11"/>
  <c r="K19" i="60"/>
  <c r="D19" i="60"/>
  <c r="H14" i="11" l="1"/>
  <c r="H347" i="11" s="1"/>
  <c r="I14" i="11"/>
  <c r="I347" i="11" s="1"/>
  <c r="K14" i="11" l="1"/>
  <c r="K347" i="11" s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34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47" i="11"/>
  <c r="D348" i="11"/>
  <c r="H348" i="11" s="1"/>
  <c r="E34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348" i="11"/>
  <c r="W216" i="64" s="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5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4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48" i="11"/>
  <c r="I34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348" i="11"/>
  <c r="K350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50" i="11"/>
  <c r="H351" i="11" s="1"/>
  <c r="I350" i="11"/>
  <c r="I351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37" i="29" l="1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352" i="11"/>
  <c r="I35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351" i="11" l="1"/>
  <c r="K352" i="11" s="1"/>
  <c r="B35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350" i="11"/>
  <c r="J35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5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7" i="41" l="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<sst xmlns="http://schemas.openxmlformats.org/spreadsheetml/2006/main" count="5263" uniqueCount="1676">
  <si>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</si>
  <si>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</si>
  <si>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</si>
  <si>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</si>
  <si>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</si>
  <si>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</si>
  <si>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</si>
  <si>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</si>
  <si>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</si>
  <si>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</si>
  <si>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</si>
  <si>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</si>
  <si>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</si>
  <si>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</si>
  <si>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</si>
  <si>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</si>
  <si>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</si>
  <si>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</si>
  <si>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</si>
  <si>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</si>
  <si>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</si>
  <si>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</si>
  <si>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</si>
  <si>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</si>
  <si>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</si>
  <si>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</si>
  <si>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</si>
  <si>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</si>
  <si>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</si>
  <si>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</si>
  <si>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</si>
  <si>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</si>
  <si>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</si>
  <si>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</si>
  <si>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</si>
  <si>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</si>
  <si>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</si>
  <si>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</si>
  <si>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</si>
  <si>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</si>
  <si>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</si>
  <si>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</si>
  <si>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</si>
  <si>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</si>
  <si>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</si>
  <si>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</si>
  <si>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</si>
  <si>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</si>
  <si>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</si>
  <si>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</si>
  <si>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</si>
  <si>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</si>
  <si>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</si>
  <si>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</si>
  <si>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</si>
  <si>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</si>
  <si>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</si>
  <si>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</si>
  <si>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</si>
  <si>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</si>
  <si>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</si>
  <si>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</si>
  <si>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</si>
  <si>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</si>
  <si>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</si>
  <si>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</si>
  <si>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</si>
  <si>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</si>
  <si>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</si>
  <si>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</si>
  <si>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</si>
  <si>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</si>
  <si>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</si>
  <si>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</si>
  <si>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</si>
  <si>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</si>
  <si>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</si>
  <si>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</si>
  <si>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</si>
  <si>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</si>
  <si>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</si>
  <si>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</si>
  <si>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</si>
  <si>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</si>
  <si>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</si>
  <si>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</si>
  <si>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</si>
  <si>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</si>
  <si>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</si>
  <si>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</si>
  <si>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</si>
  <si>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</si>
  <si>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</si>
  <si>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</si>
  <si>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</si>
  <si>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</si>
  <si>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</si>
  <si>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</si>
  <si>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</si>
  <si>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</si>
  <si>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</si>
  <si>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</si>
  <si>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</si>
  <si>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</si>
  <si>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</si>
  <si>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</si>
  <si>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</si>
  <si>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</si>
  <si>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</si>
  <si>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</si>
  <si>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</si>
  <si>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</si>
  <si>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</si>
  <si>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</si>
  <si>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</si>
  <si>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</si>
  <si>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</si>
  <si>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</si>
  <si>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</si>
  <si>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</si>
  <si>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</si>
  <si>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</si>
  <si>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</si>
  <si>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</si>
  <si>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</si>
  <si>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</si>
  <si>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</si>
  <si>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</si>
  <si>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</si>
  <si>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</si>
  <si>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</si>
  <si>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</si>
  <si>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</si>
  <si>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</si>
  <si>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</si>
  <si>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</si>
  <si>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</si>
  <si>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</si>
  <si>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</si>
  <si>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</si>
  <si>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</si>
  <si>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</si>
  <si>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</si>
  <si>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</si>
  <si>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</si>
  <si>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</si>
  <si>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</si>
  <si>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</si>
  <si>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</si>
  <si>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</si>
  <si>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</si>
  <si>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</si>
  <si>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</si>
  <si>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</si>
  <si>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</si>
  <si>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</si>
  <si>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</si>
  <si>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</si>
  <si>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</si>
  <si>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</si>
  <si>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</si>
  <si>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</si>
  <si>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</si>
  <si>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</si>
  <si>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</si>
  <si>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</si>
  <si>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</si>
  <si>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</si>
  <si>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</si>
  <si>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</si>
  <si>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</si>
  <si>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</si>
  <si>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</si>
  <si>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</si>
  <si>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</si>
  <si>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</si>
  <si>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</si>
  <si>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</si>
  <si>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</si>
  <si>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</si>
  <si>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</si>
  <si>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</si>
  <si>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</si>
  <si>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</si>
  <si>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</si>
  <si>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</si>
  <si>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</si>
  <si>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</si>
  <si>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</si>
  <si>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</si>
  <si>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</si>
  <si>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</si>
  <si>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</si>
  <si>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</si>
  <si>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</si>
  <si>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</si>
  <si>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</si>
  <si>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</si>
  <si>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</si>
  <si>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</si>
  <si>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</si>
  <si>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</si>
  <si>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</si>
  <si>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</si>
  <si>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</si>
  <si>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</si>
  <si>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</si>
  <si>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</si>
  <si>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</si>
  <si>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</si>
  <si>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</si>
  <si>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</si>
  <si>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</si>
  <si>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</si>
  <si>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</si>
  <si>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</si>
  <si>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</si>
  <si>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</si>
  <si>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</si>
  <si>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</si>
  <si>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</si>
  <si>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</si>
  <si>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</si>
  <si>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</si>
  <si>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</si>
  <si>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</si>
  <si>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</si>
  <si>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</si>
  <si>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</si>
  <si>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</si>
  <si>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</si>
  <si>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</si>
  <si>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</si>
  <si>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</si>
  <si>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</si>
  <si>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</si>
  <si>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</si>
  <si>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</si>
  <si>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</si>
  <si>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</si>
  <si>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</si>
  <si>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</si>
  <si>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</si>
  <si>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</si>
  <si>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</si>
  <si>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</si>
  <si>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</si>
  <si>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</si>
  <si>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</si>
  <si>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</si>
  <si>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</si>
  <si>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</si>
  <si>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</si>
  <si>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</si>
  <si>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</si>
  <si>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</si>
  <si>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</si>
  <si>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</si>
  <si>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</si>
  <si>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</si>
  <si>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</si>
  <si>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</si>
  <si>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</si>
  <si>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</si>
  <si>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</si>
  <si>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</si>
  <si>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</si>
  <si>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</si>
  <si>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</si>
  <si>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</si>
  <si>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</si>
  <si>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</si>
  <si>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</si>
  <si>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</si>
  <si>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</si>
  <si>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</si>
  <si>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</si>
  <si>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</si>
  <si>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</si>
  <si>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</si>
  <si>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</si>
  <si>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</si>
  <si>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</si>
  <si>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</si>
  <si>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</si>
  <si>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</si>
  <si>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</si>
  <si>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</si>
  <si>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</si>
  <si>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</si>
  <si>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</si>
  <si>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</si>
  <si>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</si>
  <si>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</si>
  <si>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</si>
  <si>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</si>
  <si>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</si>
  <si>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</si>
  <si>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</si>
  <si>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</si>
  <si>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</si>
  <si>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</si>
  <si>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</si>
  <si>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</si>
  <si>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</si>
  <si>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</si>
  <si>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</si>
  <si>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</si>
  <si>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</si>
  <si>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</si>
  <si>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</si>
  <si>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</si>
  <si>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</si>
  <si>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</si>
  <si>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</si>
  <si>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</si>
  <si>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</si>
  <si>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</si>
  <si>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</si>
  <si>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</si>
  <si>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</si>
  <si>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</si>
  <si>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</si>
  <si>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</si>
  <si>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</si>
  <si>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</si>
  <si>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</si>
  <si>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</si>
  <si>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</si>
  <si>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</si>
  <si>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</si>
  <si>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</si>
  <si>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</si>
  <si>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</si>
  <si>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</si>
  <si>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</si>
  <si>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</si>
  <si>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</si>
  <si>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</si>
  <si>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</si>
  <si>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</si>
  <si>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</si>
  <si>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</si>
  <si>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</si>
  <si>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</si>
  <si>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</si>
  <si>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</si>
  <si>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</si>
  <si>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</si>
  <si>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</si>
  <si>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</si>
  <si>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</si>
  <si>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</si>
  <si>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</si>
  <si>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</si>
  <si>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</si>
  <si>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</si>
  <si>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</si>
  <si>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</si>
  <si>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</si>
  <si>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</si>
  <si>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</si>
  <si>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</si>
  <si>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</si>
  <si>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</si>
  <si>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</si>
  <si>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</si>
  <si>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</si>
  <si>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</si>
  <si>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</si>
  <si>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</si>
  <si>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</si>
  <si>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</si>
  <si>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</si>
  <si>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</si>
  <si>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</si>
  <si>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</si>
  <si>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</si>
  <si>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</si>
  <si>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</si>
  <si>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</si>
  <si>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</si>
  <si>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</si>
  <si>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</si>
  <si>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</si>
  <si>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</si>
  <si>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</si>
  <si>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</si>
  <si>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</si>
  <si>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</si>
  <si>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</si>
  <si>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</si>
  <si>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</si>
  <si>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</si>
  <si>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</si>
  <si>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</si>
  <si>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</si>
  <si>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</si>
  <si>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</si>
  <si>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</si>
  <si>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</si>
  <si>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</si>
  <si>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</si>
  <si>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</si>
  <si>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</si>
  <si>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</si>
  <si>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</si>
  <si>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</si>
  <si>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</si>
  <si>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</si>
  <si>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</si>
  <si>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</si>
  <si>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</si>
  <si>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</si>
  <si>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</si>
  <si>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</si>
  <si>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</si>
  <si>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</si>
  <si>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</si>
  <si>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</si>
  <si>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</si>
  <si>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</si>
  <si>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</si>
  <si>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</si>
  <si>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</si>
  <si>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</si>
  <si>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</si>
  <si>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</si>
  <si>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</si>
  <si>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</si>
  <si>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</si>
  <si>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</si>
  <si>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</si>
  <si>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</si>
  <si>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</si>
  <si>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</si>
  <si>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</si>
  <si>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</si>
  <si>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</si>
  <si>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</si>
  <si>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</si>
  <si>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</si>
  <si>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</si>
  <si>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</si>
  <si>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</si>
  <si>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</si>
  <si>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</si>
  <si>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</si>
  <si>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</si>
  <si>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</si>
  <si>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</si>
  <si>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</si>
  <si>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</si>
  <si>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</si>
  <si>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</si>
  <si>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</si>
  <si>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</si>
  <si>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</si>
  <si>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</si>
  <si>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</si>
  <si>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</si>
  <si>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</si>
  <si>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</si>
  <si>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</si>
  <si>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</si>
  <si>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</si>
  <si>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</si>
  <si>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</si>
  <si>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</si>
  <si>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</si>
  <si>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</si>
  <si>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</si>
  <si>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</si>
  <si>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</si>
  <si>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</si>
  <si>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</si>
  <si>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</si>
  <si>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</si>
  <si>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</si>
  <si>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</si>
  <si>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</si>
  <si>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</si>
  <si>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</si>
  <si>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</si>
  <si>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</si>
  <si>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</si>
  <si>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</si>
  <si>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</si>
  <si>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</si>
  <si>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</si>
  <si>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</si>
  <si>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</si>
  <si>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</si>
  <si>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</si>
  <si>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</si>
  <si>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</si>
  <si>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</si>
  <si>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</si>
  <si>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</si>
  <si>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</si>
  <si>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</si>
  <si>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</si>
  <si>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</si>
  <si>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</si>
  <si>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</si>
  <si>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</si>
  <si>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</si>
  <si>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</si>
  <si>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</si>
  <si>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</si>
  <si>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</si>
  <si>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</si>
  <si>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</si>
  <si>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</si>
  <si>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</si>
  <si>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</si>
  <si>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</si>
  <si>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</si>
  <si>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</si>
  <si>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</si>
  <si>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</si>
  <si>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</si>
  <si>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</si>
  <si>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</si>
  <si>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</si>
  <si>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</si>
  <si>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</si>
  <si>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</si>
  <si>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</si>
  <si>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</si>
  <si>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</si>
  <si>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</si>
  <si>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</si>
  <si>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</si>
  <si>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</si>
  <si>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</si>
  <si>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</si>
  <si>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</si>
  <si>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</si>
  <si>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</si>
  <si>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</si>
  <si>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</si>
  <si>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</si>
  <si>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</si>
  <si>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</si>
  <si>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</si>
  <si>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</si>
  <si>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</si>
  <si>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</si>
  <si>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</si>
  <si>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</si>
  <si>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</si>
  <si>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</si>
  <si>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</si>
  <si>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</si>
  <si>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</si>
  <si>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</si>
  <si>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</si>
  <si>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</si>
  <si>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</si>
  <si>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</si>
  <si>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</si>
  <si>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</si>
  <si>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</si>
  <si>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</si>
  <si>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</si>
  <si>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</si>
  <si>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</si>
  <si>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</si>
  <si>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</si>
  <si>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</si>
  <si>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</si>
  <si>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</si>
  <si>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</si>
  <si>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</si>
  <si>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</si>
  <si>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</si>
  <si>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</si>
  <si>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</si>
  <si>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</si>
  <si>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</si>
  <si>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</si>
  <si>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</si>
  <si>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</si>
  <si>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</si>
  <si>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</si>
  <si>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</si>
  <si>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</si>
  <si>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</si>
  <si>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</si>
  <si>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</si>
  <si>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</si>
  <si>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</si>
  <si>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</si>
  <si>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</si>
  <si>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</si>
  <si>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</si>
  <si>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</si>
  <si>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</si>
  <si>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</si>
  <si>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</si>
  <si>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</si>
  <si>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</si>
  <si>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</si>
  <si>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</si>
  <si>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</si>
  <si>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</si>
  <si>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</si>
  <si>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</si>
  <si>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</si>
  <si>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</si>
  <si>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</si>
  <si>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</si>
  <si>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</si>
  <si>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</si>
  <si>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</si>
  <si>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</si>
  <si>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</si>
  <si>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</si>
  <si>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</si>
  <si>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</si>
  <si>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</si>
  <si>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</si>
  <si>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</si>
  <si>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</si>
  <si>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</si>
  <si>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</si>
  <si>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</si>
  <si>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</si>
  <si>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</si>
  <si>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</si>
  <si>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</si>
  <si>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</si>
  <si>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</si>
  <si>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</si>
  <si>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</si>
  <si>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</si>
  <si>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</si>
  <si>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</si>
  <si>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</si>
  <si>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</si>
  <si>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</si>
  <si>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</si>
  <si>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</si>
  <si>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</si>
  <si>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</si>
  <si>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</si>
  <si>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</si>
  <si>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</si>
  <si>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</si>
  <si>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</si>
  <si>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</si>
  <si>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</si>
  <si>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</si>
  <si>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</si>
  <si>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</si>
  <si>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</si>
  <si>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</si>
  <si>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</si>
  <si>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</si>
  <si>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</si>
  <si>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</si>
  <si>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</si>
  <si>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</si>
  <si>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</si>
  <si>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</si>
  <si>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</si>
  <si>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</si>
  <si>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</si>
  <si>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</si>
  <si>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</si>
  <si>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</si>
  <si>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</si>
  <si>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</si>
  <si>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</si>
  <si>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</si>
  <si>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</si>
  <si>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</si>
  <si>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</si>
  <si>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</si>
  <si>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</si>
  <si>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</si>
  <si>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</si>
  <si>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</si>
  <si>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</si>
  <si>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</si>
  <si>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</si>
  <si>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</si>
  <si>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</si>
  <si>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</si>
  <si>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</si>
  <si>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</si>
  <si>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</si>
  <si>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</si>
  <si>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</si>
  <si>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</si>
  <si>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</si>
  <si>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</si>
  <si>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</si>
  <si>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</si>
  <si>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</si>
  <si>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</si>
  <si>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</si>
  <si>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</si>
  <si>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</si>
  <si>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</si>
  <si>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</si>
  <si>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</si>
  <si>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</si>
  <si>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</si>
  <si>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</si>
  <si>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</si>
  <si>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</si>
  <si>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</si>
  <si>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</si>
  <si>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</si>
  <si>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</si>
  <si>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</si>
  <si>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</si>
  <si>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</si>
  <si>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</si>
  <si>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</si>
  <si>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</si>
  <si>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</si>
  <si>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</si>
  <si>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</si>
  <si>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</si>
  <si>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</si>
  <si>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</si>
  <si>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</si>
  <si>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</si>
  <si>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</si>
  <si>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</si>
  <si>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</si>
  <si>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</si>
  <si>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</si>
  <si>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</si>
  <si>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</si>
  <si>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</si>
  <si>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</si>
  <si>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</si>
  <si>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</si>
  <si>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</si>
  <si>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</si>
  <si>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</si>
  <si>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</si>
  <si>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</si>
  <si>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</si>
  <si>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</si>
  <si>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</si>
  <si>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</si>
  <si>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</si>
  <si>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</si>
  <si>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</si>
  <si>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</si>
  <si>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</si>
  <si>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</si>
  <si>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</si>
  <si>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</si>
  <si>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</si>
  <si>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</si>
  <si>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</si>
  <si>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</si>
  <si>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</si>
  <si>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</si>
  <si>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</si>
  <si>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</si>
  <si>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</si>
  <si>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</si>
  <si>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</si>
  <si>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</si>
  <si>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</si>
  <si>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</si>
  <si>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</si>
  <si>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</si>
  <si>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</si>
  <si>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</si>
  <si>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</si>
  <si>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</si>
  <si>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</si>
  <si>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</si>
  <si>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</si>
  <si>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</si>
  <si>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</si>
  <si>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</si>
  <si>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</si>
  <si>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</si>
  <si>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</si>
  <si>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</si>
  <si>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</si>
  <si>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</si>
  <si>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</si>
  <si>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</si>
  <si>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</si>
  <si>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</si>
  <si>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</si>
  <si>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</si>
  <si>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</si>
  <si>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</si>
  <si>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</si>
  <si>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</si>
  <si>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</si>
  <si>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</si>
  <si>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</si>
  <si>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</si>
  <si>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</si>
  <si>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</si>
  <si>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</si>
  <si>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</si>
  <si>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</si>
  <si>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</si>
  <si>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</si>
  <si>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</si>
  <si>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</si>
  <si>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</si>
  <si>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</si>
  <si>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</si>
  <si>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</si>
  <si>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</si>
  <si>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</si>
  <si>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</si>
  <si>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</si>
  <si>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</si>
  <si>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</si>
  <si>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</si>
  <si>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</si>
  <si>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</si>
  <si>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</si>
  <si>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</si>
  <si>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</si>
  <si>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</si>
  <si>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</si>
  <si>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</si>
  <si>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</si>
  <si>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</si>
  <si>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</si>
  <si>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</si>
  <si>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</si>
  <si>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</si>
  <si>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</si>
  <si>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</si>
  <si>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</si>
  <si>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</si>
  <si>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</si>
  <si>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</si>
  <si>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</si>
  <si>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</si>
  <si>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</si>
  <si>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</si>
  <si>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</si>
  <si>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</si>
  <si>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</si>
  <si>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</si>
  <si>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</si>
  <si>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</si>
  <si>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</si>
  <si>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</si>
  <si>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</si>
  <si>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</si>
  <si>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</si>
  <si>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</si>
  <si>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</si>
  <si>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</si>
  <si>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</si>
  <si>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</si>
  <si>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</si>
  <si>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</si>
  <si>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</si>
  <si>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</si>
  <si>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</si>
  <si>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</si>
  <si>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</si>
  <si>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</si>
  <si>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</si>
  <si>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</si>
  <si>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</si>
  <si>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</si>
  <si>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</si>
  <si>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</si>
  <si>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</si>
  <si>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</si>
  <si>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</si>
  <si>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</si>
  <si>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</si>
  <si>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</si>
  <si>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</si>
  <si>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</si>
  <si>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</si>
  <si>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</si>
  <si>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</si>
  <si>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</si>
  <si>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</si>
  <si>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</si>
  <si>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</si>
  <si>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</si>
  <si>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</si>
  <si>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</si>
  <si>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</si>
  <si>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</si>
  <si>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</si>
  <si>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</si>
  <si>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</si>
  <si>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</si>
  <si>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</si>
  <si>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</si>
  <si>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</si>
  <si>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</si>
  <si>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</si>
  <si>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</si>
  <si>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</si>
  <si>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</si>
  <si>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</si>
  <si>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</si>
  <si>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</si>
  <si>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</si>
  <si>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</si>
  <si>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</si>
  <si>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</si>
  <si>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</si>
  <si>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</si>
  <si>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</si>
  <si>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</si>
  <si>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</si>
  <si>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</si>
  <si>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</si>
  <si>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</si>
  <si>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</si>
  <si>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</si>
  <si>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</si>
  <si>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</si>
  <si>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</si>
  <si>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</si>
  <si>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</si>
  <si>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</si>
  <si>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</si>
  <si>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</si>
  <si>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</si>
  <si>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</si>
  <si>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</si>
  <si>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</si>
  <si>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</si>
  <si>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</si>
  <si>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</si>
  <si>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</si>
  <si>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</si>
  <si>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</si>
  <si>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</si>
  <si>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</si>
  <si>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</si>
  <si>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</si>
  <si>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</si>
  <si>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</si>
  <si>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</si>
  <si>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</si>
  <si>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</si>
  <si>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</si>
  <si>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</si>
  <si>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</si>
  <si>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</si>
  <si>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</si>
  <si>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</si>
  <si>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</si>
  <si>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</si>
  <si>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</si>
  <si>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</si>
  <si>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</si>
  <si>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</si>
  <si>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</si>
  <si>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</si>
  <si>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</si>
  <si>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</si>
  <si>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</si>
  <si>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</si>
  <si>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</si>
  <si>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</si>
  <si>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</si>
  <si>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</si>
  <si>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</si>
  <si>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</si>
  <si>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</si>
  <si>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</si>
  <si>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</si>
  <si>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</si>
  <si>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</si>
  <si>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</si>
  <si>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</si>
  <si>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</si>
  <si>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</si>
  <si>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</si>
  <si>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</si>
  <si>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</si>
  <si>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</si>
  <si>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</si>
  <si>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</si>
  <si>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</si>
  <si>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</si>
  <si>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</si>
  <si>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</si>
  <si>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</si>
  <si>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</si>
  <si>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</si>
  <si>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</si>
  <si>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</si>
  <si>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</si>
  <si>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</si>
  <si>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</si>
  <si>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</si>
  <si>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</si>
  <si>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</si>
  <si>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</si>
  <si>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</si>
  <si>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</si>
  <si>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</si>
  <si>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</si>
  <si>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</si>
  <si>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</si>
  <si>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</si>
  <si>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</si>
  <si>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</si>
  <si>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</si>
  <si>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</si>
  <si>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</si>
  <si>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</si>
  <si>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</si>
  <si>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</si>
  <si>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</si>
  <si>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</si>
  <si>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</si>
  <si>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</si>
  <si>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</si>
  <si>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</si>
  <si>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</si>
  <si>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</si>
  <si>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</si>
  <si>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</si>
  <si>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</si>
  <si>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</si>
  <si>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</si>
  <si>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</si>
  <si>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</si>
  <si>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</si>
  <si>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</si>
  <si>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</si>
  <si>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</si>
  <si>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</si>
  <si>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</si>
  <si>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</si>
  <si>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</si>
  <si>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</si>
  <si>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</si>
  <si>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</si>
  <si>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</si>
  <si>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</si>
  <si>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</si>
  <si>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</si>
  <si>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</si>
  <si>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</si>
  <si>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</si>
  <si>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</si>
  <si>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</si>
  <si>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</si>
  <si>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</si>
  <si>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</si>
  <si>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</si>
  <si>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</si>
  <si>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</si>
  <si>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</si>
  <si>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</si>
  <si>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</si>
  <si>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</si>
  <si>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</si>
  <si>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</si>
  <si>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</si>
  <si>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</si>
  <si>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</si>
  <si>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</si>
  <si>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</si>
  <si>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</si>
  <si>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</si>
  <si>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</si>
  <si>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</si>
  <si>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</si>
  <si>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</si>
  <si>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</si>
  <si>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</si>
  <si>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</si>
  <si>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</si>
  <si>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</si>
  <si>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</si>
  <si>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</si>
  <si>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</si>
  <si>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</si>
  <si>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</si>
  <si>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</si>
  <si>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</si>
  <si>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</si>
  <si>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</si>
  <si>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</si>
  <si>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</si>
  <si>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</si>
  <si>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</si>
  <si>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</si>
  <si>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</si>
  <si>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</si>
  <si>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</si>
  <si>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</si>
  <si>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</si>
  <si>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</si>
  <si>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</si>
  <si>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</si>
  <si>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</si>
  <si>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</si>
  <si>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</si>
  <si>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</si>
  <si>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</si>
  <si>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</si>
  <si>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</si>
  <si>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</si>
  <si>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</si>
  <si>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</si>
  <si>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</si>
  <si>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</si>
  <si>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</si>
  <si>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</si>
  <si>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</si>
  <si>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</si>
  <si>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</si>
  <si>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</si>
  <si>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</si>
  <si>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</si>
  <si>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</si>
  <si>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</si>
  <si>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</si>
  <si>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</si>
  <si>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</si>
  <si>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</si>
  <si>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</si>
  <si>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</si>
  <si>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</si>
  <si>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</si>
  <si>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</si>
  <si>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</si>
  <si>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</si>
  <si>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</si>
  <si>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</si>
  <si>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</si>
  <si>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</si>
  <si>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</si>
  <si>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</si>
  <si>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</si>
  <si>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</si>
  <si>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</si>
  <si>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</si>
  <si>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</si>
  <si>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</si>
  <si>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</si>
  <si>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</si>
  <si>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</si>
  <si>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</si>
  <si>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</si>
  <si>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</si>
  <si>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</si>
  <si>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</si>
  <si>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</si>
  <si>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</si>
  <si>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</si>
  <si>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</si>
  <si>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</si>
  <si>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</si>
  <si>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</si>
  <si>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</si>
  <si>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</si>
  <si>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</si>
  <si>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</si>
  <si>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</si>
  <si>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</si>
  <si>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</si>
  <si>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</si>
  <si>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</si>
  <si>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</si>
  <si>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</si>
  <si>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</si>
  <si>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</si>
  <si>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</si>
  <si>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</si>
  <si>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</si>
  <si>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</si>
  <si>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</si>
  <si>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</si>
  <si>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</si>
  <si>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</si>
  <si>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</si>
  <si>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</si>
  <si>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</si>
  <si>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</si>
  <si>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</si>
  <si>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</si>
  <si>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</si>
  <si>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</si>
  <si>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</si>
  <si>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</si>
  <si>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</si>
  <si>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</si>
  <si>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</si>
  <si>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</si>
  <si>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</si>
  <si>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</si>
  <si>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</si>
  <si>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</si>
  <si>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</si>
  <si>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</si>
  <si>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</si>
  <si>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</si>
  <si>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</si>
  <si>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</si>
  <si>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</si>
  <si>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</si>
  <si>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</si>
  <si>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</si>
  <si>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</si>
  <si>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</si>
  <si>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</si>
  <si>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</si>
  <si>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</si>
  <si>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</si>
  <si>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</si>
  <si>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</si>
  <si>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</si>
  <si>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</si>
  <si>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</si>
  <si>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</si>
  <si>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</si>
  <si>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</si>
  <si>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</si>
  <si>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</si>
  <si>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</si>
  <si>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</si>
  <si>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</si>
  <si>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</si>
  <si>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</si>
  <si>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</si>
  <si>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</si>
  <si>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</si>
  <si>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</si>
  <si>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</si>
  <si>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</si>
  <si>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</si>
  <si>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</si>
  <si>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</si>
  <si>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</si>
  <si>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</si>
  <si>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</si>
  <si>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</si>
  <si>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</si>
  <si>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</si>
  <si>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</si>
  <si>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</si>
  <si>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</si>
  <si>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</si>
  <si>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</si>
  <si>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</si>
  <si>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</si>
  <si>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</si>
  <si>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</si>
  <si>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</si>
  <si>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</si>
  <si>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</si>
  <si>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</si>
  <si>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</si>
  <si>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</si>
  <si>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</si>
  <si>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</si>
  <si>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</si>
  <si>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</si>
  <si>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</si>
  <si>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</si>
  <si>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</si>
  <si>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</si>
  <si>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</si>
  <si>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</si>
  <si>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</si>
  <si>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</si>
  <si>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</si>
  <si>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</si>
  <si>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</si>
  <si>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</si>
  <si>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</si>
  <si>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</si>
  <si>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</si>
  <si>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</si>
  <si>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</si>
  <si>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</si>
  <si>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</si>
  <si>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</si>
  <si>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</si>
  <si>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</si>
  <si>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</si>
  <si>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</si>
  <si>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</si>
  <si>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</si>
  <si>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</si>
  <si>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</si>
  <si>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</si>
  <si>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</si>
  <si>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</si>
  <si>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</si>
  <si>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</si>
  <si>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</si>
  <si>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</si>
  <si>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</si>
  <si>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</si>
  <si>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</si>
  <si>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</si>
  <si>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</si>
  <si>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</si>
  <si>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</si>
  <si>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</si>
  <si>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</si>
  <si>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</si>
  <si>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</si>
  <si>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</si>
  <si>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</si>
  <si>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</si>
  <si>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</si>
  <si>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</si>
  <si>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</si>
  <si>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</si>
  <si>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</si>
  <si>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</si>
  <si>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</si>
  <si>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</si>
  <si>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</si>
  <si>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</si>
  <si>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</si>
  <si>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</si>
  <si>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</si>
  <si>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</si>
  <si>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</si>
  <si>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</si>
  <si>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</si>
  <si>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</si>
  <si>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</si>
  <si>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</si>
  <si>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</si>
  <si>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</si>
  <si>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</si>
  <si>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</si>
  <si>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</si>
  <si>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</si>
  <si>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</si>
  <si>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</si>
  <si>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</si>
  <si>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</si>
  <si>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</si>
  <si>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</si>
  <si>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</si>
  <si>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</si>
  <si>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</si>
  <si>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</si>
  <si>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</si>
  <si>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</si>
  <si>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</si>
  <si>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</si>
  <si>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</si>
  <si>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</si>
  <si>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</si>
  <si>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</si>
  <si>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</si>
  <si>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</si>
  <si>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</si>
  <si>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</si>
  <si>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</si>
  <si>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</si>
  <si>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</si>
  <si>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</si>
  <si>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</si>
  <si>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</si>
  <si>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</si>
  <si>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</si>
  <si>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</si>
  <si>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</si>
  <si>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</si>
  <si>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</si>
  <si>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</si>
  <si>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</si>
  <si>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</si>
  <si>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</si>
  <si>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</si>
  <si>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</si>
  <si>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</si>
  <si>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</si>
  <si>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</si>
  <si>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</si>
  <si>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</si>
  <si>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</si>
  <si>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</si>
  <si>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</si>
  <si>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</si>
  <si>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</si>
  <si>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</si>
  <si>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</si>
  <si>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</si>
  <si>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</si>
  <si>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</si>
  <si>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</si>
  <si>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</si>
  <si>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</si>
  <si>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</si>
  <si>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</si>
  <si>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</si>
  <si>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</si>
  <si>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</si>
  <si>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</si>
  <si>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</si>
  <si>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</si>
  <si>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</si>
  <si>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</si>
  <si>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</si>
  <si>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</si>
  <si>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</si>
  <si>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</si>
  <si>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</si>
  <si>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</si>
  <si>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</si>
  <si>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</si>
  <si>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</si>
  <si>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</si>
  <si>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</si>
  <si>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</si>
  <si>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</si>
  <si>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</si>
  <si>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</si>
  <si>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</si>
  <si>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</si>
  <si>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</si>
  <si>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</si>
  <si>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</si>
  <si>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</si>
  <si>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</si>
  <si>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</si>
  <si>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</si>
  <si>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</si>
  <si>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</si>
  <si>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</si>
  <si>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</si>
  <si>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</si>
  <si>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</si>
  <si>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</si>
  <si>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</si>
  <si>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</si>
  <si>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</si>
  <si>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</si>
  <si>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</si>
  <si>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</si>
  <si>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</si>
  <si>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</si>
  <si>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</si>
  <si>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</si>
  <si>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</si>
  <si>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</si>
  <si>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</si>
  <si>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</si>
  <si>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</si>
  <si>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</si>
  <si>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</si>
  <si>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</si>
  <si>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</si>
  <si>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</si>
  <si>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</si>
  <si>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</si>
  <si>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</si>
  <si>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</si>
  <si>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</si>
  <si>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</si>
  <si>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</si>
  <si>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</si>
  <si>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</si>
  <si>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</si>
  <si>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</si>
  <si>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</si>
  <si>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</si>
  <si>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</si>
  <si>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</si>
  <si>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</si>
  <si>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</si>
  <si>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</si>
  <si>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</si>
  <si>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</si>
  <si>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</si>
  <si>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</si>
  <si>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</si>
  <si>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</si>
  <si>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</si>
  <si>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</si>
  <si>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</si>
  <si>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</si>
  <si>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</si>
  <si>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</si>
  <si>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</si>
  <si>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</si>
  <si>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</si>
  <si>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</si>
  <si>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</si>
  <si>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</si>
  <si>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</si>
  <si>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</si>
  <si>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</si>
  <si>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</si>
  <si>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</si>
  <si>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</si>
  <si>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</si>
  <si>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</si>
  <si>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</si>
  <si>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</si>
  <si>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</si>
  <si>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</si>
  <si>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</si>
  <si>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</si>
  <si>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</si>
  <si>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</si>
  <si>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</si>
  <si>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</si>
  <si>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</si>
  <si>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</si>
  <si>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</si>
  <si>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</si>
  <si>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</si>
  <si>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</si>
  <si>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</si>
  <si>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</si>
  <si>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</si>
  <si>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</si>
  <si>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</si>
  <si>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</si>
  <si>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</si>
  <si>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</si>
  <si>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</si>
  <si>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</si>
  <si>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</si>
  <si>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</si>
  <si>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</si>
  <si>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</si>
  <si>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</si>
  <si>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</si>
  <si>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</si>
  <si>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</si>
  <si>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</si>
  <si>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</si>
  <si>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</si>
  <si>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</si>
  <si>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</si>
  <si>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</si>
  <si>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</si>
  <si>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</si>
  <si>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</si>
  <si>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</si>
  <si>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</si>
  <si>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</si>
  <si>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</si>
  <si>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</si>
  <si>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</si>
  <si>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</si>
  <si>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</si>
  <si>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</si>
  <si>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</si>
  <si>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</si>
  <si>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</si>
  <si>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</si>
  <si>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</si>
  <si>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</si>
  <si>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</si>
  <si>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</si>
  <si>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</si>
  <si>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</si>
  <si>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</si>
  <si>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</si>
  <si>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</si>
  <si>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</si>
  <si>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</si>
  <si>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</si>
  <si>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</si>
  <si>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</si>
  <si>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</si>
  <si>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</si>
  <si>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</si>
  <si>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</si>
  <si>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</si>
  <si>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</si>
  <si>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</si>
  <si>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</si>
  <si>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</si>
  <si>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</si>
  <si>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</si>
  <si>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</si>
  <si>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</si>
  <si>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</si>
  <si>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</si>
  <si>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</si>
  <si>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</si>
  <si>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</si>
  <si>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</si>
  <si>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</si>
  <si>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</si>
  <si>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</si>
  <si>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</si>
  <si>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</si>
  <si>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</si>
  <si>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</si>
  <si>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</si>
  <si>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</si>
  <si>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</si>
  <si>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</si>
  <si>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</si>
  <si>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KONSTRUKSI TRAFO</t>
  </si>
  <si>
    <t>PEKERJAAN PEMASANGAN APP</t>
  </si>
  <si>
    <t>CM2-11</t>
  </si>
  <si>
    <t>KONDUKTOR</t>
  </si>
  <si>
    <t>KOORDINAT : -6.944185, 110.498228</t>
  </si>
  <si>
    <t xml:space="preserve">AGR ALI KHAMDAN </t>
  </si>
  <si>
    <t>I2</t>
  </si>
  <si>
    <t>T1-180/36/1</t>
  </si>
  <si>
    <t>PWI 06</t>
  </si>
  <si>
    <t xml:space="preserve"> </t>
  </si>
  <si>
    <t>C12-350</t>
  </si>
  <si>
    <t>CC1-A</t>
  </si>
  <si>
    <t>CC2-1</t>
  </si>
  <si>
    <t>CC8</t>
  </si>
  <si>
    <t>CC10</t>
  </si>
  <si>
    <t>CM5-8</t>
  </si>
  <si>
    <t>CM5-5</t>
  </si>
  <si>
    <t>CM5-6</t>
  </si>
  <si>
    <t>CE1-3</t>
  </si>
  <si>
    <t>F1-3</t>
  </si>
  <si>
    <t>CM2-12A</t>
  </si>
  <si>
    <t>CA1</t>
  </si>
  <si>
    <t>CAT :</t>
  </si>
  <si>
    <t>FCO  JAR 1 PHASE DI PINDAH KE TRAFO 1P</t>
  </si>
  <si>
    <t>C11-200</t>
  </si>
  <si>
    <t>P12C-2</t>
  </si>
  <si>
    <t>C12-200</t>
  </si>
  <si>
    <t>CC2A</t>
  </si>
  <si>
    <t>CM2-12</t>
  </si>
  <si>
    <t>CM5-9</t>
  </si>
  <si>
    <t>CC8A</t>
  </si>
  <si>
    <t>CA5</t>
  </si>
  <si>
    <t>CJ5</t>
  </si>
  <si>
    <t>CJ6</t>
  </si>
  <si>
    <t>S9-100</t>
  </si>
  <si>
    <t>SJ5</t>
  </si>
  <si>
    <t>SJ6</t>
  </si>
  <si>
    <t>S11-100</t>
  </si>
  <si>
    <t>CC7</t>
  </si>
  <si>
    <t>CG-313</t>
  </si>
  <si>
    <t>TRF 100 KVA</t>
  </si>
  <si>
    <t>PEMASANGAN KONSTRUKSI JTM</t>
  </si>
  <si>
    <t>CC2-A</t>
  </si>
  <si>
    <t>CC8-A</t>
  </si>
  <si>
    <t>P12S-2</t>
  </si>
  <si>
    <t>CC1-1</t>
  </si>
  <si>
    <t>Pemasangan ABSW</t>
  </si>
  <si>
    <t>PROTEKSI</t>
  </si>
  <si>
    <t>SWICHING</t>
  </si>
  <si>
    <t>CM2-11M</t>
  </si>
  <si>
    <t>Stainless Steel Strap 20 X 0.7 mm</t>
  </si>
  <si>
    <t>SCHOOR</t>
  </si>
  <si>
    <t>ATB</t>
  </si>
  <si>
    <t>PENJUMPERAN</t>
  </si>
  <si>
    <t>KONTRUKSI JTR UNDER BUILD</t>
  </si>
  <si>
    <t>Trafo 3 Fasa 100 KVA 2 Tiang (G313)</t>
  </si>
  <si>
    <t xml:space="preserve">Jumper Wire : </t>
  </si>
  <si>
    <t>Daya 105.000 VA</t>
  </si>
  <si>
    <t>Pemasangan APP Di Tiang</t>
  </si>
  <si>
    <t>PEKERJAAN LAIN-LAIN</t>
  </si>
  <si>
    <t>TAPPING 1 PHASE</t>
  </si>
  <si>
    <t>CA5'</t>
  </si>
  <si>
    <t>BALEROMO 01/02 DEMPET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</si>
</sst>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7" fillId="0" borderId="0"/>
    <xf numFmtId="41" fontId="22" fillId="0" borderId="0" applyFont="0" applyFill="0" applyBorder="0" applyAlignment="0" applyProtection="0"/>
    <xf numFmtId="0" fontId="7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" fillId="0" borderId="0"/>
    <xf numFmtId="0" fontId="16" fillId="0" borderId="0"/>
    <xf numFmtId="0" fontId="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95"/>
    <xf numFmtId="0" fontId="89" fillId="0" borderId="96"/>
    <xf numFmtId="43" fontId="22" fillId="0" borderId="0" applyFont="0" applyFill="0" applyBorder="0" applyAlignment="0" applyProtection="0"/>
    <xf numFmtId="0" fontId="37" fillId="20" borderId="103" applyNumberFormat="0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7" fillId="21" borderId="99" applyNumberFormat="0" applyAlignment="0" applyProtection="0"/>
    <xf numFmtId="0" fontId="33" fillId="7" borderId="107" applyNumberFormat="0" applyAlignment="0" applyProtection="0"/>
    <xf numFmtId="0" fontId="39" fillId="0" borderId="104" applyNumberFormat="0" applyFill="0" applyAlignment="0" applyProtection="0"/>
    <xf numFmtId="0" fontId="6" fillId="0" borderId="0"/>
    <xf numFmtId="0" fontId="6" fillId="0" borderId="0"/>
    <xf numFmtId="0" fontId="88" fillId="0" borderId="106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6" fillId="0" borderId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43" fontId="6" fillId="0" borderId="0" applyFont="0" applyFill="0" applyBorder="0" applyAlignment="0" applyProtection="0"/>
    <xf numFmtId="0" fontId="79" fillId="23" borderId="105"/>
    <xf numFmtId="0" fontId="79" fillId="0" borderId="105"/>
    <xf numFmtId="0" fontId="79" fillId="0" borderId="100"/>
    <xf numFmtId="0" fontId="79" fillId="0" borderId="100"/>
    <xf numFmtId="0" fontId="74" fillId="0" borderId="105"/>
    <xf numFmtId="0" fontId="74" fillId="0" borderId="105"/>
    <xf numFmtId="0" fontId="74" fillId="0" borderId="111"/>
    <xf numFmtId="0" fontId="74" fillId="0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6" fillId="0" borderId="0"/>
    <xf numFmtId="0" fontId="6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3" applyNumberFormat="0" applyAlignment="0" applyProtection="0"/>
    <xf numFmtId="0" fontId="22" fillId="27" borderId="102" applyNumberFormat="0" applyFont="0" applyAlignment="0" applyProtection="0"/>
    <xf numFmtId="0" fontId="33" fillId="7" borderId="101" applyNumberFormat="0" applyAlignment="0" applyProtection="0"/>
    <xf numFmtId="0" fontId="26" fillId="20" borderId="101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2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4" fillId="0" borderId="111"/>
    <xf numFmtId="0" fontId="74" fillId="0" borderId="111"/>
    <xf numFmtId="0" fontId="79" fillId="0" borderId="100"/>
    <xf numFmtId="0" fontId="79" fillId="0" borderId="100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9" fontId="22" fillId="0" borderId="0" applyFont="0" applyFill="0" applyBorder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13"/>
    <xf numFmtId="0" fontId="88" fillId="0" borderId="113"/>
    <xf numFmtId="0" fontId="89" fillId="0" borderId="114"/>
    <xf numFmtId="0" fontId="89" fillId="0" borderId="114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1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74" fillId="0" borderId="140"/>
    <xf numFmtId="0" fontId="33" fillId="7" borderId="10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16" fillId="27" borderId="125" applyNumberFormat="0" applyFont="0" applyAlignment="0" applyProtection="0"/>
    <xf numFmtId="0" fontId="3" fillId="0" borderId="0"/>
    <xf numFmtId="0" fontId="33" fillId="7" borderId="117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26" fillId="20" borderId="136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" fillId="0" borderId="0"/>
    <xf numFmtId="194" fontId="43" fillId="28" borderId="125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2" fillId="0" borderId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6" fillId="20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22" fillId="27" borderId="125" applyNumberFormat="0" applyFont="0" applyAlignment="0" applyProtection="0"/>
    <xf numFmtId="0" fontId="37" fillId="20" borderId="126" applyNumberFormat="0" applyAlignment="0" applyProtection="0"/>
    <xf numFmtId="0" fontId="88" fillId="0" borderId="123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43" fontId="22" fillId="0" borderId="0" applyFont="0" applyFill="0" applyBorder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79" fillId="23" borderId="134"/>
    <xf numFmtId="0" fontId="79" fillId="0" borderId="134"/>
    <xf numFmtId="0" fontId="74" fillId="0" borderId="134"/>
    <xf numFmtId="0" fontId="74" fillId="0" borderId="134"/>
    <xf numFmtId="43" fontId="3" fillId="0" borderId="0" applyFont="0" applyFill="0" applyBorder="0" applyAlignment="0" applyProtection="0"/>
    <xf numFmtId="0" fontId="74" fillId="0" borderId="140"/>
    <xf numFmtId="0" fontId="74" fillId="0" borderId="128"/>
    <xf numFmtId="0" fontId="74" fillId="0" borderId="128"/>
    <xf numFmtId="0" fontId="79" fillId="0" borderId="140"/>
    <xf numFmtId="0" fontId="79" fillId="23" borderId="140"/>
    <xf numFmtId="0" fontId="79" fillId="0" borderId="128"/>
    <xf numFmtId="0" fontId="74" fillId="0" borderId="118"/>
    <xf numFmtId="0" fontId="74" fillId="0" borderId="118"/>
    <xf numFmtId="0" fontId="74" fillId="0" borderId="118"/>
    <xf numFmtId="0" fontId="74" fillId="0" borderId="118"/>
    <xf numFmtId="0" fontId="79" fillId="23" borderId="128"/>
    <xf numFmtId="0" fontId="79" fillId="0" borderId="118"/>
    <xf numFmtId="0" fontId="79" fillId="0" borderId="118"/>
    <xf numFmtId="0" fontId="79" fillId="23" borderId="118"/>
    <xf numFmtId="0" fontId="79" fillId="23" borderId="118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2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33" fillId="7" borderId="117" applyNumberFormat="0" applyAlignment="0" applyProtection="0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6" applyNumberFormat="0" applyAlignment="0" applyProtection="0"/>
    <xf numFmtId="0" fontId="88" fillId="0" borderId="115"/>
    <xf numFmtId="0" fontId="89" fillId="0" borderId="116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17" applyNumberFormat="0" applyAlignment="0" applyProtection="0"/>
    <xf numFmtId="0" fontId="22" fillId="27" borderId="137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0" borderId="0"/>
    <xf numFmtId="194" fontId="43" fillId="28" borderId="125" applyAlignment="0" applyProtection="0"/>
    <xf numFmtId="0" fontId="22" fillId="0" borderId="0"/>
    <xf numFmtId="0" fontId="33" fillId="7" borderId="136" applyNumberFormat="0" applyAlignment="0" applyProtection="0"/>
    <xf numFmtId="0" fontId="33" fillId="7" borderId="136" applyNumberForma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3" fillId="0" borderId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3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37" fillId="20" borderId="132" applyNumberFormat="0" applyAlignment="0" applyProtection="0"/>
    <xf numFmtId="0" fontId="22" fillId="27" borderId="131" applyNumberFormat="0" applyFont="0" applyAlignment="0" applyProtection="0"/>
    <xf numFmtId="0" fontId="88" fillId="0" borderId="129"/>
    <xf numFmtId="0" fontId="3" fillId="0" borderId="0"/>
    <xf numFmtId="0" fontId="26" fillId="20" borderId="13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88" fillId="0" borderId="122"/>
    <xf numFmtId="0" fontId="88" fillId="0" borderId="122"/>
    <xf numFmtId="0" fontId="16" fillId="27" borderId="137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0" fontId="33" fillId="7" borderId="124" applyNumberFormat="0" applyAlignment="0" applyProtection="0"/>
    <xf numFmtId="0" fontId="39" fillId="0" borderId="127" applyNumberFormat="0" applyFill="0" applyAlignment="0" applyProtection="0"/>
    <xf numFmtId="0" fontId="26" fillId="20" borderId="136" applyNumberFormat="0" applyAlignment="0" applyProtection="0"/>
    <xf numFmtId="0" fontId="33" fillId="7" borderId="107" applyNumberFormat="0" applyAlignment="0" applyProtection="0"/>
    <xf numFmtId="0" fontId="88" fillId="0" borderId="115"/>
    <xf numFmtId="0" fontId="22" fillId="27" borderId="137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37" fillId="20" borderId="126" applyNumberFormat="0" applyAlignment="0" applyProtection="0"/>
    <xf numFmtId="0" fontId="22" fillId="27" borderId="137" applyNumberFormat="0" applyFont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33" applyNumberFormat="0" applyFill="0" applyAlignment="0" applyProtection="0"/>
    <xf numFmtId="0" fontId="33" fillId="7" borderId="130" applyNumberFormat="0" applyAlignment="0" applyProtection="0"/>
    <xf numFmtId="0" fontId="39" fillId="0" borderId="127" applyNumberFormat="0" applyFill="0" applyAlignment="0" applyProtection="0"/>
    <xf numFmtId="0" fontId="16" fillId="27" borderId="137" applyNumberFormat="0" applyFont="0" applyAlignment="0" applyProtection="0"/>
    <xf numFmtId="0" fontId="22" fillId="0" borderId="0"/>
    <xf numFmtId="0" fontId="22" fillId="0" borderId="0"/>
    <xf numFmtId="0" fontId="22" fillId="0" borderId="0"/>
    <xf numFmtId="0" fontId="3" fillId="0" borderId="0"/>
    <xf numFmtId="0" fontId="39" fillId="0" borderId="127" applyNumberFormat="0" applyFill="0" applyAlignment="0" applyProtection="0"/>
    <xf numFmtId="43" fontId="11" fillId="0" borderId="0" applyFont="0" applyFill="0" applyBorder="0" applyAlignment="0" applyProtection="0"/>
    <xf numFmtId="0" fontId="3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9" fillId="0" borderId="139" applyNumberFormat="0" applyFill="0" applyAlignment="0" applyProtection="0"/>
    <xf numFmtId="0" fontId="37" fillId="20" borderId="138" applyNumberFormat="0" applyAlignment="0" applyProtection="0"/>
    <xf numFmtId="0" fontId="22" fillId="27" borderId="137" applyNumberFormat="0" applyFont="0" applyAlignment="0" applyProtection="0"/>
    <xf numFmtId="0" fontId="88" fillId="0" borderId="135"/>
    <xf numFmtId="0" fontId="33" fillId="7" borderId="136" applyNumberFormat="0" applyAlignment="0" applyProtection="0"/>
    <xf numFmtId="0" fontId="26" fillId="20" borderId="136" applyNumberFormat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1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88" fillId="0" borderId="141"/>
    <xf numFmtId="0" fontId="33" fillId="7" borderId="136" applyNumberFormat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22" fillId="0" borderId="0"/>
  </cellStyleXfs>
  <cellXfs count="712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8" xfId="0" applyFont="1" applyFill="1" applyBorder="1" applyAlignment="1">
      <alignment horizontal="center" vertical="center"/>
    </xf>
    <xf numFmtId="0" fontId="120" fillId="33" borderId="69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9" xfId="2670" applyFont="1" applyFill="1" applyBorder="1" applyAlignment="1">
      <alignment horizontal="left" vertical="center"/>
    </xf>
    <xf numFmtId="0" fontId="161" fillId="39" borderId="80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4" xfId="2670" applyFont="1" applyFill="1" applyBorder="1" applyAlignment="1">
      <alignment horizontal="left" vertical="center"/>
    </xf>
    <xf numFmtId="0" fontId="161" fillId="39" borderId="85" xfId="2670" applyFont="1" applyFill="1" applyBorder="1" applyAlignment="1">
      <alignment horizontal="center" vertical="center"/>
    </xf>
    <xf numFmtId="167" fontId="142" fillId="40" borderId="81" xfId="2672" applyFont="1" applyFill="1" applyBorder="1" applyAlignment="1" applyProtection="1">
      <alignment horizontal="right" vertical="center" wrapText="1"/>
      <protection locked="0"/>
    </xf>
    <xf numFmtId="167" fontId="142" fillId="40" borderId="83" xfId="2672" applyFont="1" applyFill="1" applyBorder="1" applyAlignment="1" applyProtection="1">
      <alignment horizontal="right" vertical="center"/>
      <protection locked="0"/>
    </xf>
    <xf numFmtId="169" fontId="142" fillId="40" borderId="83" xfId="2672" applyNumberFormat="1" applyFont="1" applyFill="1" applyBorder="1" applyAlignment="1" applyProtection="1">
      <alignment horizontal="right" vertical="center"/>
      <protection locked="0"/>
    </xf>
    <xf numFmtId="169" fontId="142" fillId="40" borderId="86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0" xfId="2673" applyFont="1" applyFill="1" applyBorder="1" applyAlignment="1">
      <alignment vertical="center" wrapText="1"/>
    </xf>
    <xf numFmtId="0" fontId="148" fillId="43" borderId="90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4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93" fillId="0" borderId="40" xfId="1450" applyFont="1" applyBorder="1" applyAlignment="1">
      <alignment horizontal="center" vertical="center"/>
    </xf>
    <xf numFmtId="0" fontId="93" fillId="0" borderId="47" xfId="1450" applyFont="1" applyBorder="1" applyAlignment="1">
      <alignment horizontal="center" vertical="center"/>
    </xf>
    <xf numFmtId="0" fontId="44" fillId="0" borderId="20" xfId="1615" applyFont="1" applyBorder="1" applyAlignment="1">
      <alignment horizontal="center" vertical="center"/>
    </xf>
    <xf numFmtId="0" fontId="44" fillId="0" borderId="21" xfId="1615" applyFont="1" applyBorder="1" applyAlignment="1">
      <alignment horizontal="left" vertical="center" wrapText="1"/>
    </xf>
    <xf numFmtId="0" fontId="115" fillId="0" borderId="20" xfId="1653" applyFont="1" applyBorder="1" applyAlignment="1">
      <alignment horizontal="center" vertical="center"/>
    </xf>
    <xf numFmtId="0" fontId="176" fillId="0" borderId="20" xfId="1653" applyFont="1" applyBorder="1" applyAlignment="1">
      <alignment horizontal="center" vertical="center"/>
    </xf>
    <xf numFmtId="0" fontId="176" fillId="0" borderId="21" xfId="1653" applyFont="1" applyBorder="1" applyAlignment="1">
      <alignment vertical="center" wrapText="1"/>
    </xf>
    <xf numFmtId="0" fontId="22" fillId="0" borderId="21" xfId="1451" applyBorder="1" applyAlignment="1">
      <alignment horizontal="left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16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5" fillId="0" borderId="21" xfId="1450" applyFont="1" applyBorder="1" applyAlignment="1">
      <alignment vertical="center" wrapText="1"/>
    </xf>
    <xf numFmtId="0" fontId="177" fillId="0" borderId="21" xfId="1614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77" fillId="0" borderId="20" xfId="1614" applyFont="1" applyBorder="1" applyAlignment="1">
      <alignment horizontal="center" vertical="center"/>
    </xf>
    <xf numFmtId="0" fontId="112" fillId="0" borderId="21" xfId="1614" applyBorder="1" applyAlignment="1">
      <alignment horizontal="center" vertical="center"/>
    </xf>
    <xf numFmtId="0" fontId="2" fillId="0" borderId="21" xfId="1599" applyFont="1" applyBorder="1" applyAlignment="1">
      <alignment vertical="center" wrapText="1"/>
    </xf>
    <xf numFmtId="0" fontId="44" fillId="48" borderId="21" xfId="1451" applyFont="1" applyFill="1" applyBorder="1" applyAlignment="1">
      <alignment horizontal="left" vertical="center" wrapText="1"/>
    </xf>
    <xf numFmtId="0" fontId="11" fillId="0" borderId="21" xfId="1614" applyFont="1" applyBorder="1" applyAlignment="1">
      <alignment horizontal="center" vertical="center" wrapText="1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151" fillId="48" borderId="21" xfId="1614" applyFont="1" applyFill="1" applyBorder="1" applyAlignment="1">
      <alignment horizontal="center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2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3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1" xfId="2673" applyNumberFormat="1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65" fillId="41" borderId="88" xfId="2673" applyFont="1" applyFill="1" applyBorder="1" applyAlignment="1">
      <alignment horizontal="center" vertical="center" wrapText="1"/>
    </xf>
    <xf numFmtId="0" fontId="165" fillId="41" borderId="89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0" fontId="165" fillId="42" borderId="88" xfId="2673" applyFont="1" applyFill="1" applyBorder="1" applyAlignment="1">
      <alignment horizontal="center" vertical="center" wrapText="1"/>
    </xf>
    <xf numFmtId="0" fontId="165" fillId="42" borderId="89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1" xfId="2673" applyNumberFormat="1" applyFont="1" applyFill="1" applyBorder="1" applyAlignment="1">
      <alignment horizontal="center" vertical="center" wrapText="1"/>
    </xf>
    <xf numFmtId="0" fontId="10" fillId="34" borderId="76" xfId="2670" applyFill="1" applyBorder="1" applyAlignment="1">
      <alignment horizontal="center" vertical="center"/>
    </xf>
    <xf numFmtId="0" fontId="140" fillId="0" borderId="77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15" fontId="116" fillId="33" borderId="3" xfId="0" applyNumberFormat="1" applyFont="1" applyFill="1" applyBorder="1" applyAlignment="1">
      <alignment horizontal="center"/>
    </xf>
    <xf numFmtId="0" fontId="120" fillId="33" borderId="72" xfId="0" applyFont="1" applyFill="1" applyBorder="1" applyAlignment="1">
      <alignment horizontal="left" vertical="center"/>
    </xf>
    <xf numFmtId="0" fontId="120" fillId="33" borderId="73" xfId="0" applyFont="1" applyFill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59" xfId="0" applyFont="1" applyFill="1" applyBorder="1" applyAlignment="1">
      <alignment horizontal="left" vertical="center"/>
    </xf>
    <xf numFmtId="0" fontId="93" fillId="33" borderId="40" xfId="0" applyFont="1" applyFill="1" applyBorder="1" applyAlignment="1">
      <alignment horizontal="left" vertical="center"/>
    </xf>
    <xf numFmtId="0" fontId="121" fillId="33" borderId="74" xfId="0" applyFont="1" applyFill="1" applyBorder="1" applyAlignment="1">
      <alignment horizontal="center" vertical="center" wrapText="1"/>
    </xf>
    <xf numFmtId="0" fontId="121" fillId="33" borderId="75" xfId="0" applyFont="1" applyFill="1" applyBorder="1" applyAlignment="1">
      <alignment horizontal="center" vertical="center" wrapText="1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0" borderId="60" xfId="1450" applyFont="1" applyBorder="1" applyAlignment="1">
      <alignment horizontal="left" vertical="center"/>
    </xf>
    <xf numFmtId="0" fontId="93" fillId="0" borderId="61" xfId="1450" applyFont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9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8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8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362</xdr:row>
      <xdr:rowOff>81642</xdr:rowOff>
    </xdr:from>
    <xdr:to>
      <xdr:col>12</xdr:col>
      <xdr:colOff>41108</xdr:colOff>
      <xdr:row>365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D73720E7-A420-4542-B169-8235A252EC25}"/>
            </a:ext>
          </a:extLst>
        </xdr:cNvPr>
        <xdr:cNvGrpSpPr/>
      </xdr:nvGrpSpPr>
      <xdr:grpSpPr>
        <a:xfrm>
          <a:off x="16265917" y="1020838"/>
          <a:ext cx="1370097" cy="2340587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060D6BD9-5867-48B6-A58F-14F6B7242CA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42E06FCA-F10D-4B75-8F4D-C30574A5C02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74666ABA-1610-4B8A-B267-2928592C5081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191">
              <a:extLst>
                <a:ext uri="{FF2B5EF4-FFF2-40B4-BE49-F238E27FC236}">
                  <a16:creationId xmlns:a16="http://schemas.microsoft.com/office/drawing/2014/main" id="{40B04D93-B0CD-4C8A-ACCE-583AA61D45C5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AB13FFD3-55F1-44AB-B64B-810D0F3763F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33" name="Group 14">
            <a:extLst>
              <a:ext uri="{FF2B5EF4-FFF2-40B4-BE49-F238E27FC236}">
                <a16:creationId xmlns:a16="http://schemas.microsoft.com/office/drawing/2014/main" id="{9DFBB569-95A6-4E03-8661-F903AD9F0FB6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EBB5BC96-D2C8-40AB-A288-998E50E3E9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10699C66-1696-454E-AE13-14EC74788CCD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516C53E-FE28-4CE5-A4D4-B072165A2448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F076118B-6F21-4E64-9C92-DE4D9316EF4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B91A31F-77CD-47E5-87F7-18DE94BC809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16DED4B0-A7C7-4DFF-8113-9C2EFAD207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76289E5-8205-4203-BECE-51010B9FEA1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B8142599-3DDE-45A6-8925-862C6B3BF3F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63D48E4-10BE-40A8-8A2E-3258EE9F73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FBE62B-8402-440A-B6FA-D911E36F4BA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6B13B81D-9F57-4E80-86CD-5CFCDB6F360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F1FC6061-B7D8-446B-87EF-A335A61E0A3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EEB5C5B7-133E-45E8-8BD2-36F808F2949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8BA487D9-57A9-44F1-95CA-4632A139793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7209C2-33B5-43A0-97EE-64F51174C4D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FF1CF2-D55B-4A6B-9378-747A93166DB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7FBF3ED9-7102-40DA-99CF-07C5F2CE456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B2996898-91A6-4687-872C-44CCF54C92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46997BEE-8ED5-4F0F-84DC-C0EEB70A5C4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A64C4F3F-0B38-4085-9379-83CCEBB85C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A9386DA-8BC6-4561-8C99-5E8150D598F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2284A60-DB47-4B3B-812F-3F276FE9839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D484FEF-846A-4886-A2A9-C34A3595516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50B8706F-1611-465A-9017-B05D6F0F565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FF809A73-3871-4A54-B568-5DF3376B0A1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AF68E3A1-82EF-44EB-BDB7-9F71B3E1566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FA29D1AC-6C7D-44BB-8AE8-B81263A5A2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986E1F61-5B4A-4779-BBD9-716503E9BCB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D2C01037-6692-4A0B-8889-4DC4AE5878C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85" name="TextBox 57">
              <a:extLst>
                <a:ext uri="{FF2B5EF4-FFF2-40B4-BE49-F238E27FC236}">
                  <a16:creationId xmlns:a16="http://schemas.microsoft.com/office/drawing/2014/main" id="{45C15052-E9A5-4A29-ABBB-7BC66A5305C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D5799933-5BE9-427B-BC78-4A207E9D9EA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E7269166-BD74-45A5-AC39-4D58AFF5514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55">
              <a:extLst>
                <a:ext uri="{FF2B5EF4-FFF2-40B4-BE49-F238E27FC236}">
                  <a16:creationId xmlns:a16="http://schemas.microsoft.com/office/drawing/2014/main" id="{58CC291B-E0FE-48F8-85AD-9FE92164E28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77C1087C-B131-4FA0-BFBF-966BF37EE59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AB3204E-6196-4E3A-B5CC-9C1D17E65A8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79375664-6CF1-4749-AFB2-250D081640C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27801470-D547-4D43-B1A9-E1EC6395B26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85103410-B2CE-4917-AF98-0AAAB2C258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3D35312B-EDC3-4582-A38D-8C538B6AC2A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1230CD84-7776-4949-900C-0F3B09CC83B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08A678EA-F12A-4470-A2ED-71BD3651D41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EF179D51-64FC-436F-B3D7-BBC10406267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1ABB7655-D247-41CD-B740-E24F6993B8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B1D40DF5-1138-41B9-83E5-E026FC119CF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8C57DF26-95DC-43FC-8994-E523B9FC760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1EAC5480-2A20-4098-B430-00A9E2568F8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6914BCE-597C-4E0E-9DFE-6027837CDC24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3D1F9EB9-8128-4037-BC32-01C860EDA10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58946337-4900-43CD-BDEF-C8C69ACA1456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35F2B468-B7D8-431F-A0C1-74EF8F85750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CD702929-88EF-41D0-B0F3-78C0A4304FD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7CAED516-EE76-4E9A-97F7-700914DB67C9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59CB8EE0-22C9-4393-94F5-01C632D35EC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DF49387A-E4CE-484C-86F7-B97CDFA65DD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775F4FD0-F247-4B3F-AD0A-E24594F75FA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C1EC8CD-94D7-4457-A0FD-8C87DCE6276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20</xdr:col>
      <xdr:colOff>31241</xdr:colOff>
      <xdr:row>58</xdr:row>
      <xdr:rowOff>136535</xdr:rowOff>
    </xdr:from>
    <xdr:ext cx="1050653" cy="862868"/>
    <xdr:pic>
      <xdr:nvPicPr>
        <xdr:cNvPr id="213" name="Picture 212">
          <a:extLst>
            <a:ext uri="{FF2B5EF4-FFF2-40B4-BE49-F238E27FC236}">
              <a16:creationId xmlns:a16="http://schemas.microsoft.com/office/drawing/2014/main" id="{BC9BE244-F549-455E-A748-CE6376D1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13202955" y="11757035"/>
          <a:ext cx="1050653" cy="862868"/>
        </a:xfrm>
        <a:prstGeom prst="rect">
          <a:avLst/>
        </a:prstGeom>
      </xdr:spPr>
    </xdr:pic>
    <xdr:clientData/>
  </xdr:oneCellAnchor>
  <xdr:twoCellAnchor>
    <xdr:from>
      <xdr:col>26</xdr:col>
      <xdr:colOff>87024</xdr:colOff>
      <xdr:row>61</xdr:row>
      <xdr:rowOff>41124</xdr:rowOff>
    </xdr:from>
    <xdr:to>
      <xdr:col>29</xdr:col>
      <xdr:colOff>259693</xdr:colOff>
      <xdr:row>72</xdr:row>
      <xdr:rowOff>136532</xdr:rowOff>
    </xdr:to>
    <xdr:grpSp>
      <xdr:nvGrpSpPr>
        <xdr:cNvPr id="214" name="Group 213">
          <a:extLst>
            <a:ext uri="{FF2B5EF4-FFF2-40B4-BE49-F238E27FC236}">
              <a16:creationId xmlns:a16="http://schemas.microsoft.com/office/drawing/2014/main" id="{5432319D-ED50-470A-89BC-0B4312B49F51}"/>
            </a:ext>
          </a:extLst>
        </xdr:cNvPr>
        <xdr:cNvGrpSpPr/>
      </xdr:nvGrpSpPr>
      <xdr:grpSpPr>
        <a:xfrm>
          <a:off x="16265917" y="12450838"/>
          <a:ext cx="1370097" cy="2340587"/>
          <a:chOff x="9713886" y="808452"/>
          <a:chExt cx="1342558" cy="1766630"/>
        </a:xfrm>
      </xdr:grpSpPr>
      <xdr:grpSp>
        <xdr:nvGrpSpPr>
          <xdr:cNvPr id="215" name="Group 13">
            <a:extLst>
              <a:ext uri="{FF2B5EF4-FFF2-40B4-BE49-F238E27FC236}">
                <a16:creationId xmlns:a16="http://schemas.microsoft.com/office/drawing/2014/main" id="{AA544D8F-1FDE-AF56-83F8-FE90972FF374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74" name="Oval 1">
              <a:extLst>
                <a:ext uri="{FF2B5EF4-FFF2-40B4-BE49-F238E27FC236}">
                  <a16:creationId xmlns:a16="http://schemas.microsoft.com/office/drawing/2014/main" id="{47760D67-E4D9-D654-7A50-59E95A1E530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275" name="Straight Connector 3">
              <a:extLst>
                <a:ext uri="{FF2B5EF4-FFF2-40B4-BE49-F238E27FC236}">
                  <a16:creationId xmlns:a16="http://schemas.microsoft.com/office/drawing/2014/main" id="{3834F286-D2DE-3D1F-DD31-196ECDC871B1}"/>
                </a:ext>
              </a:extLst>
            </xdr:cNvPr>
            <xdr:cNvCxnSpPr>
              <a:stCxn id="231" idx="1"/>
              <a:endCxn id="23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6" name="Straight Connector 275">
              <a:extLst>
                <a:ext uri="{FF2B5EF4-FFF2-40B4-BE49-F238E27FC236}">
                  <a16:creationId xmlns:a16="http://schemas.microsoft.com/office/drawing/2014/main" id="{73A0FB51-CF3A-0D7E-046E-FCB070F2158B}"/>
                </a:ext>
              </a:extLst>
            </xdr:cNvPr>
            <xdr:cNvCxnSpPr>
              <a:stCxn id="231" idx="3"/>
              <a:endCxn id="23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16" name="Oval 215">
            <a:extLst>
              <a:ext uri="{FF2B5EF4-FFF2-40B4-BE49-F238E27FC236}">
                <a16:creationId xmlns:a16="http://schemas.microsoft.com/office/drawing/2014/main" id="{E3F08406-5E84-528B-A96E-FD0F651B2658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217" name="Group 14">
            <a:extLst>
              <a:ext uri="{FF2B5EF4-FFF2-40B4-BE49-F238E27FC236}">
                <a16:creationId xmlns:a16="http://schemas.microsoft.com/office/drawing/2014/main" id="{AD063EE3-DFAF-1B93-4E17-C4C6456AC946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71" name="Oval 270">
              <a:extLst>
                <a:ext uri="{FF2B5EF4-FFF2-40B4-BE49-F238E27FC236}">
                  <a16:creationId xmlns:a16="http://schemas.microsoft.com/office/drawing/2014/main" id="{CF787F4E-FF38-61BB-92D7-B6E4091F1DD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272" name="Straight Connector 271">
              <a:extLst>
                <a:ext uri="{FF2B5EF4-FFF2-40B4-BE49-F238E27FC236}">
                  <a16:creationId xmlns:a16="http://schemas.microsoft.com/office/drawing/2014/main" id="{F4F66816-02EB-1434-C2BC-862DB6CCF9F6}"/>
                </a:ext>
              </a:extLst>
            </xdr:cNvPr>
            <xdr:cNvCxnSpPr>
              <a:stCxn id="271" idx="1"/>
              <a:endCxn id="27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3EC5901A-7CA5-A82F-3528-174977E7EC18}"/>
                </a:ext>
              </a:extLst>
            </xdr:cNvPr>
            <xdr:cNvCxnSpPr>
              <a:stCxn id="271" idx="3"/>
              <a:endCxn id="27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18" name="Oval 217">
            <a:extLst>
              <a:ext uri="{FF2B5EF4-FFF2-40B4-BE49-F238E27FC236}">
                <a16:creationId xmlns:a16="http://schemas.microsoft.com/office/drawing/2014/main" id="{6CE6440F-74AB-B2A9-C92D-73A038F80075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BA8088BD-7F30-3A4F-118F-10D62CF72CE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0BB99040-FEAB-D863-0FFA-AFA3E9D9E67E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E49EB826-CE9C-6DA5-069E-3DCDF3A2D287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785EB1D3-2362-1C1F-97B4-4D5C77946708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FAEAD79A-C3A4-DDBD-5AA0-1D1284C186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4A430F74-173B-AF95-F1A5-8848D3F1DE3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0CD52DF8-CC99-54DB-8F73-415B4CE7A664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35FBB99E-9EBD-F73E-1448-D7049C3FEA17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C9BDC59B-2278-1297-6AAE-AF94D52BA36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DC94BA78-42E7-B958-5A7E-061E40C5CDA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229C163C-90D3-4CB5-02B1-676A7E21723E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1834FCED-2E19-D8F5-A76A-B34C9187A76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50">
            <a:extLst>
              <a:ext uri="{FF2B5EF4-FFF2-40B4-BE49-F238E27FC236}">
                <a16:creationId xmlns:a16="http://schemas.microsoft.com/office/drawing/2014/main" id="{D4B4BA9F-CA6D-6C94-5CA9-5083FF7D58C1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A6D283A3-2F3C-1A14-19B9-BAEA2DD12B29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52">
            <a:extLst>
              <a:ext uri="{FF2B5EF4-FFF2-40B4-BE49-F238E27FC236}">
                <a16:creationId xmlns:a16="http://schemas.microsoft.com/office/drawing/2014/main" id="{47F60C24-76C8-0BEC-2BB8-1711E7F94548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FE69C9B-3ADA-3614-2962-C55DA0A24C0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44014D95-99FC-42C3-57D6-CC6C94371E1A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0F56523A-C983-8E74-C9C0-34BA639EC6EE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707EF4EB-1277-C2E7-CBEC-E0D2D3EDDC1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CD83D813-DF44-44D8-F560-1E58AD44B61C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EF57D7B6-C5A8-40B5-5ECE-DD7AA82300C3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D316840E-4B7D-FD98-32D7-1D45D059615E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1" name="Isosceles Triangle 240">
            <a:extLst>
              <a:ext uri="{FF2B5EF4-FFF2-40B4-BE49-F238E27FC236}">
                <a16:creationId xmlns:a16="http://schemas.microsoft.com/office/drawing/2014/main" id="{5A17B5BD-1DD9-8255-12D6-9FE5C6DCE6F8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242" name="Isosceles Triangle 241">
            <a:extLst>
              <a:ext uri="{FF2B5EF4-FFF2-40B4-BE49-F238E27FC236}">
                <a16:creationId xmlns:a16="http://schemas.microsoft.com/office/drawing/2014/main" id="{8C19AEBC-E64E-BC77-DC57-550E637EF98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243" name="Group 73">
            <a:extLst>
              <a:ext uri="{FF2B5EF4-FFF2-40B4-BE49-F238E27FC236}">
                <a16:creationId xmlns:a16="http://schemas.microsoft.com/office/drawing/2014/main" id="{56B3F9C9-F0FB-273F-9BB8-F181DFE80B31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69" name="TextBox 57">
              <a:extLst>
                <a:ext uri="{FF2B5EF4-FFF2-40B4-BE49-F238E27FC236}">
                  <a16:creationId xmlns:a16="http://schemas.microsoft.com/office/drawing/2014/main" id="{24DDF26F-A34A-2866-CFC7-8A7672296ED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70" name="Straight Connector 269">
              <a:extLst>
                <a:ext uri="{FF2B5EF4-FFF2-40B4-BE49-F238E27FC236}">
                  <a16:creationId xmlns:a16="http://schemas.microsoft.com/office/drawing/2014/main" id="{5BFDD213-9F00-DCDF-CF97-FC1BEF380C88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44" name="Group 74">
            <a:extLst>
              <a:ext uri="{FF2B5EF4-FFF2-40B4-BE49-F238E27FC236}">
                <a16:creationId xmlns:a16="http://schemas.microsoft.com/office/drawing/2014/main" id="{749DA9FE-48A5-5A47-BC65-95B1B5A2DC95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67" name="TextBox 55">
              <a:extLst>
                <a:ext uri="{FF2B5EF4-FFF2-40B4-BE49-F238E27FC236}">
                  <a16:creationId xmlns:a16="http://schemas.microsoft.com/office/drawing/2014/main" id="{2223C1D6-7FE2-4B29-D3A0-F041AEEE10E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68" name="Straight Connector 267">
              <a:extLst>
                <a:ext uri="{FF2B5EF4-FFF2-40B4-BE49-F238E27FC236}">
                  <a16:creationId xmlns:a16="http://schemas.microsoft.com/office/drawing/2014/main" id="{872C1265-801C-8FF6-7819-AA970AC7C82F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45" name="Group 89">
            <a:extLst>
              <a:ext uri="{FF2B5EF4-FFF2-40B4-BE49-F238E27FC236}">
                <a16:creationId xmlns:a16="http://schemas.microsoft.com/office/drawing/2014/main" id="{A347CD76-0E77-7B89-C098-3B4A041A34A6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63" name="Straight Connector 262">
              <a:extLst>
                <a:ext uri="{FF2B5EF4-FFF2-40B4-BE49-F238E27FC236}">
                  <a16:creationId xmlns:a16="http://schemas.microsoft.com/office/drawing/2014/main" id="{180E7AC1-761A-8E0C-7284-6A6B0042DE5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4" name="Straight Connector 79">
              <a:extLst>
                <a:ext uri="{FF2B5EF4-FFF2-40B4-BE49-F238E27FC236}">
                  <a16:creationId xmlns:a16="http://schemas.microsoft.com/office/drawing/2014/main" id="{C071E06D-4F75-9012-5ED6-CC2B42539F4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5" name="Straight Connector 80">
              <a:extLst>
                <a:ext uri="{FF2B5EF4-FFF2-40B4-BE49-F238E27FC236}">
                  <a16:creationId xmlns:a16="http://schemas.microsoft.com/office/drawing/2014/main" id="{0AAC524A-51C8-96A1-A545-F0C0428ABBB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6" name="Straight Connector 88">
              <a:extLst>
                <a:ext uri="{FF2B5EF4-FFF2-40B4-BE49-F238E27FC236}">
                  <a16:creationId xmlns:a16="http://schemas.microsoft.com/office/drawing/2014/main" id="{2B6227D0-9A92-EF07-AB19-D1278B1E428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46" name="Group 90">
            <a:extLst>
              <a:ext uri="{FF2B5EF4-FFF2-40B4-BE49-F238E27FC236}">
                <a16:creationId xmlns:a16="http://schemas.microsoft.com/office/drawing/2014/main" id="{0B73D7F6-7F6D-9449-4CCF-CA58E452B572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59" name="Straight Connector 258">
              <a:extLst>
                <a:ext uri="{FF2B5EF4-FFF2-40B4-BE49-F238E27FC236}">
                  <a16:creationId xmlns:a16="http://schemas.microsoft.com/office/drawing/2014/main" id="{36541A85-47B7-D555-D9DB-42681ACD9C6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Straight Connector 259">
              <a:extLst>
                <a:ext uri="{FF2B5EF4-FFF2-40B4-BE49-F238E27FC236}">
                  <a16:creationId xmlns:a16="http://schemas.microsoft.com/office/drawing/2014/main" id="{D39B124F-6A11-1839-585F-852167F1EC1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1" name="Straight Connector 260">
              <a:extLst>
                <a:ext uri="{FF2B5EF4-FFF2-40B4-BE49-F238E27FC236}">
                  <a16:creationId xmlns:a16="http://schemas.microsoft.com/office/drawing/2014/main" id="{B13B4C9A-6DAB-C0CD-4263-701F57E08B1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2" name="Straight Connector 261">
              <a:extLst>
                <a:ext uri="{FF2B5EF4-FFF2-40B4-BE49-F238E27FC236}">
                  <a16:creationId xmlns:a16="http://schemas.microsoft.com/office/drawing/2014/main" id="{5BE966DE-EC5D-163B-659D-60F2F358640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A51299D5-5325-E88C-33FB-EBCAD97DB3FA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221EAD08-AD53-FFBB-3A84-3C06FC79F13B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Arrow Connector 248">
            <a:extLst>
              <a:ext uri="{FF2B5EF4-FFF2-40B4-BE49-F238E27FC236}">
                <a16:creationId xmlns:a16="http://schemas.microsoft.com/office/drawing/2014/main" id="{FFD7C277-7A52-1CE5-B7A4-6ABAFF34362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Arrow Connector 249">
            <a:extLst>
              <a:ext uri="{FF2B5EF4-FFF2-40B4-BE49-F238E27FC236}">
                <a16:creationId xmlns:a16="http://schemas.microsoft.com/office/drawing/2014/main" id="{F50A38D9-4422-2099-0839-50FED96F494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51" name="Group 155">
            <a:extLst>
              <a:ext uri="{FF2B5EF4-FFF2-40B4-BE49-F238E27FC236}">
                <a16:creationId xmlns:a16="http://schemas.microsoft.com/office/drawing/2014/main" id="{6CC9AA77-B711-E220-0BBC-6C4C343BBFAD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56" name="Isosceles Triangle 255">
              <a:extLst>
                <a:ext uri="{FF2B5EF4-FFF2-40B4-BE49-F238E27FC236}">
                  <a16:creationId xmlns:a16="http://schemas.microsoft.com/office/drawing/2014/main" id="{055FE31F-107C-0F4B-C5F9-72852637D0AB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257" name="Isosceles Triangle 256">
              <a:extLst>
                <a:ext uri="{FF2B5EF4-FFF2-40B4-BE49-F238E27FC236}">
                  <a16:creationId xmlns:a16="http://schemas.microsoft.com/office/drawing/2014/main" id="{7A7F51F9-FE57-C4A3-C06A-8B39DB5372D4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258" name="Isosceles Triangle 257">
              <a:extLst>
                <a:ext uri="{FF2B5EF4-FFF2-40B4-BE49-F238E27FC236}">
                  <a16:creationId xmlns:a16="http://schemas.microsoft.com/office/drawing/2014/main" id="{8421F17E-5D24-CEB4-9154-B3991080AF45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252" name="Group 134">
            <a:extLst>
              <a:ext uri="{FF2B5EF4-FFF2-40B4-BE49-F238E27FC236}">
                <a16:creationId xmlns:a16="http://schemas.microsoft.com/office/drawing/2014/main" id="{DE12293D-E84C-51E0-7692-24969E9EE3F2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53" name="Isosceles Triangle 252">
              <a:extLst>
                <a:ext uri="{FF2B5EF4-FFF2-40B4-BE49-F238E27FC236}">
                  <a16:creationId xmlns:a16="http://schemas.microsoft.com/office/drawing/2014/main" id="{8B9652CB-C0FC-1A85-89A6-25163210412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254" name="Isosceles Triangle 253">
              <a:extLst>
                <a:ext uri="{FF2B5EF4-FFF2-40B4-BE49-F238E27FC236}">
                  <a16:creationId xmlns:a16="http://schemas.microsoft.com/office/drawing/2014/main" id="{045C26B2-9CD3-5780-F04E-0046B189624B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255" name="Isosceles Triangle 254">
              <a:extLst>
                <a:ext uri="{FF2B5EF4-FFF2-40B4-BE49-F238E27FC236}">
                  <a16:creationId xmlns:a16="http://schemas.microsoft.com/office/drawing/2014/main" id="{62969312-F21A-0DE6-A6B6-60E1B6EDF695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162381</xdr:colOff>
      <xdr:row>114</xdr:row>
      <xdr:rowOff>9474</xdr:rowOff>
    </xdr:from>
    <xdr:ext cx="847521" cy="696042"/>
    <xdr:pic>
      <xdr:nvPicPr>
        <xdr:cNvPr id="277" name="Picture 276">
          <a:extLst>
            <a:ext uri="{FF2B5EF4-FFF2-40B4-BE49-F238E27FC236}">
              <a16:creationId xmlns:a16="http://schemas.microsoft.com/office/drawing/2014/main" id="{863FAC85-494D-4DE8-8D89-AA56DF659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38738" y="336045"/>
          <a:ext cx="847521" cy="696042"/>
        </a:xfrm>
        <a:prstGeom prst="rect">
          <a:avLst/>
        </a:prstGeom>
      </xdr:spPr>
    </xdr:pic>
    <xdr:clientData/>
  </xdr:oneCellAnchor>
  <xdr:twoCellAnchor>
    <xdr:from>
      <xdr:col>26</xdr:col>
      <xdr:colOff>87024</xdr:colOff>
      <xdr:row>117</xdr:row>
      <xdr:rowOff>41124</xdr:rowOff>
    </xdr:from>
    <xdr:to>
      <xdr:col>29</xdr:col>
      <xdr:colOff>259693</xdr:colOff>
      <xdr:row>128</xdr:row>
      <xdr:rowOff>136532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48838DE2-0CAD-40AB-8BF5-C15C7383DCFC}"/>
            </a:ext>
          </a:extLst>
        </xdr:cNvPr>
        <xdr:cNvGrpSpPr/>
      </xdr:nvGrpSpPr>
      <xdr:grpSpPr>
        <a:xfrm>
          <a:off x="16265917" y="23880838"/>
          <a:ext cx="1370097" cy="2340587"/>
          <a:chOff x="9713886" y="808452"/>
          <a:chExt cx="1342558" cy="1766630"/>
        </a:xfrm>
      </xdr:grpSpPr>
      <xdr:grpSp>
        <xdr:nvGrpSpPr>
          <xdr:cNvPr id="279" name="Group 13">
            <a:extLst>
              <a:ext uri="{FF2B5EF4-FFF2-40B4-BE49-F238E27FC236}">
                <a16:creationId xmlns:a16="http://schemas.microsoft.com/office/drawing/2014/main" id="{3D1A989B-40F2-061C-E906-C2EB20E99D33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63" name="Oval 1">
              <a:extLst>
                <a:ext uri="{FF2B5EF4-FFF2-40B4-BE49-F238E27FC236}">
                  <a16:creationId xmlns:a16="http://schemas.microsoft.com/office/drawing/2014/main" id="{EEB07D4A-9388-D6BB-5376-4A57CD5488A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364" name="Straight Connector 3">
              <a:extLst>
                <a:ext uri="{FF2B5EF4-FFF2-40B4-BE49-F238E27FC236}">
                  <a16:creationId xmlns:a16="http://schemas.microsoft.com/office/drawing/2014/main" id="{6E0A53A1-F48D-6BAD-3FA0-CF17108AB927}"/>
                </a:ext>
              </a:extLst>
            </xdr:cNvPr>
            <xdr:cNvCxnSpPr>
              <a:stCxn id="304" idx="1"/>
              <a:endCxn id="30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5" name="Straight Connector 364">
              <a:extLst>
                <a:ext uri="{FF2B5EF4-FFF2-40B4-BE49-F238E27FC236}">
                  <a16:creationId xmlns:a16="http://schemas.microsoft.com/office/drawing/2014/main" id="{4D97E12D-86C9-0A2C-782D-F7A65D5A97D2}"/>
                </a:ext>
              </a:extLst>
            </xdr:cNvPr>
            <xdr:cNvCxnSpPr>
              <a:stCxn id="304" idx="3"/>
              <a:endCxn id="30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80" name="Oval 279">
            <a:extLst>
              <a:ext uri="{FF2B5EF4-FFF2-40B4-BE49-F238E27FC236}">
                <a16:creationId xmlns:a16="http://schemas.microsoft.com/office/drawing/2014/main" id="{FEABB89F-647B-F83F-35CA-AC744614DBF5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281" name="Group 14">
            <a:extLst>
              <a:ext uri="{FF2B5EF4-FFF2-40B4-BE49-F238E27FC236}">
                <a16:creationId xmlns:a16="http://schemas.microsoft.com/office/drawing/2014/main" id="{06AE7B9F-757A-67DE-539E-D467E7F8B73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60" name="Oval 359">
              <a:extLst>
                <a:ext uri="{FF2B5EF4-FFF2-40B4-BE49-F238E27FC236}">
                  <a16:creationId xmlns:a16="http://schemas.microsoft.com/office/drawing/2014/main" id="{B464928E-214A-58F0-2B1E-22C4660AFDD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361" name="Straight Connector 360">
              <a:extLst>
                <a:ext uri="{FF2B5EF4-FFF2-40B4-BE49-F238E27FC236}">
                  <a16:creationId xmlns:a16="http://schemas.microsoft.com/office/drawing/2014/main" id="{2932DF24-769D-9C3A-381E-B56F67BD4AD5}"/>
                </a:ext>
              </a:extLst>
            </xdr:cNvPr>
            <xdr:cNvCxnSpPr>
              <a:stCxn id="360" idx="1"/>
              <a:endCxn id="3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2" name="Straight Connector 361">
              <a:extLst>
                <a:ext uri="{FF2B5EF4-FFF2-40B4-BE49-F238E27FC236}">
                  <a16:creationId xmlns:a16="http://schemas.microsoft.com/office/drawing/2014/main" id="{9A475004-F28C-251C-5596-B604AF61792F}"/>
                </a:ext>
              </a:extLst>
            </xdr:cNvPr>
            <xdr:cNvCxnSpPr>
              <a:stCxn id="360" idx="3"/>
              <a:endCxn id="3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82" name="Oval 281">
            <a:extLst>
              <a:ext uri="{FF2B5EF4-FFF2-40B4-BE49-F238E27FC236}">
                <a16:creationId xmlns:a16="http://schemas.microsoft.com/office/drawing/2014/main" id="{56203164-472D-33D9-7AA3-3E29CF0A977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6149968D-DB17-D4B0-0F01-C5D066E279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0CFFBB1F-E8CF-65B1-10DC-821ED6082718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B1793580-DCEB-7E65-886C-29AD9C27B412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286">
            <a:extLst>
              <a:ext uri="{FF2B5EF4-FFF2-40B4-BE49-F238E27FC236}">
                <a16:creationId xmlns:a16="http://schemas.microsoft.com/office/drawing/2014/main" id="{544F3B54-F057-BAF9-B6AE-00305A2E105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5F517EE7-961D-D120-0F3D-5B6DF7FEC6D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FD3EA9F0-02CE-6EA5-D81B-6EE625836DB9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B89F270A-34D1-089C-F75E-6AD9126BCD03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294">
            <a:extLst>
              <a:ext uri="{FF2B5EF4-FFF2-40B4-BE49-F238E27FC236}">
                <a16:creationId xmlns:a16="http://schemas.microsoft.com/office/drawing/2014/main" id="{F59591CA-89F3-D533-611E-D470AE864598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8E584D74-0204-8E98-5A64-D463860F7314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522059D0-E357-FFCA-FFC5-A7CB1BD5525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12CEEAF9-BDC1-C064-CCBE-4DA5C9BE8E55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E9F3C5C6-4B88-1488-73ED-FCBF6C1D0337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50">
            <a:extLst>
              <a:ext uri="{FF2B5EF4-FFF2-40B4-BE49-F238E27FC236}">
                <a16:creationId xmlns:a16="http://schemas.microsoft.com/office/drawing/2014/main" id="{0B891497-F6AF-DDED-8EFB-2CD1BEF0527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2514F3A8-C77F-BAF1-F8A7-9173C67FD73E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Connector 52">
            <a:extLst>
              <a:ext uri="{FF2B5EF4-FFF2-40B4-BE49-F238E27FC236}">
                <a16:creationId xmlns:a16="http://schemas.microsoft.com/office/drawing/2014/main" id="{CD233C7E-8B55-0810-5D38-E8CF6ACA91D8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E928C1C7-F0F9-91E0-72AA-C6570BF859E2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C6F1541A-E548-211A-9AB7-2CCFBADD395A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BA12C8B9-E696-C632-89AD-90F1C4760AA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C032E4D4-8E10-1936-E098-A24E47A76E0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C56A5A63-3B02-2580-2C4A-96DB41F8ED31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31050087-B614-1FF8-0045-88D7A64F19C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323">
            <a:extLst>
              <a:ext uri="{FF2B5EF4-FFF2-40B4-BE49-F238E27FC236}">
                <a16:creationId xmlns:a16="http://schemas.microsoft.com/office/drawing/2014/main" id="{7486584C-316B-7E02-E112-B7BCF22C72FD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6" name="Isosceles Triangle 325">
            <a:extLst>
              <a:ext uri="{FF2B5EF4-FFF2-40B4-BE49-F238E27FC236}">
                <a16:creationId xmlns:a16="http://schemas.microsoft.com/office/drawing/2014/main" id="{7462BF56-0002-4310-1006-89586863A3D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327" name="Isosceles Triangle 326">
            <a:extLst>
              <a:ext uri="{FF2B5EF4-FFF2-40B4-BE49-F238E27FC236}">
                <a16:creationId xmlns:a16="http://schemas.microsoft.com/office/drawing/2014/main" id="{300F7EFA-0E44-2101-A9D0-B7017C870F0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328" name="Group 73">
            <a:extLst>
              <a:ext uri="{FF2B5EF4-FFF2-40B4-BE49-F238E27FC236}">
                <a16:creationId xmlns:a16="http://schemas.microsoft.com/office/drawing/2014/main" id="{4A708836-F68E-FCFF-8317-3E10EB7E812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358" name="TextBox 57">
              <a:extLst>
                <a:ext uri="{FF2B5EF4-FFF2-40B4-BE49-F238E27FC236}">
                  <a16:creationId xmlns:a16="http://schemas.microsoft.com/office/drawing/2014/main" id="{CC2E3926-4269-A24C-8EC6-29E457F84A2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59" name="Straight Connector 358">
              <a:extLst>
                <a:ext uri="{FF2B5EF4-FFF2-40B4-BE49-F238E27FC236}">
                  <a16:creationId xmlns:a16="http://schemas.microsoft.com/office/drawing/2014/main" id="{45495A4B-9649-BE11-EEA4-A200ED22727F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29" name="Group 74">
            <a:extLst>
              <a:ext uri="{FF2B5EF4-FFF2-40B4-BE49-F238E27FC236}">
                <a16:creationId xmlns:a16="http://schemas.microsoft.com/office/drawing/2014/main" id="{8AD3D332-A2FC-BF63-8B04-B635B5DAA0A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56" name="TextBox 55">
              <a:extLst>
                <a:ext uri="{FF2B5EF4-FFF2-40B4-BE49-F238E27FC236}">
                  <a16:creationId xmlns:a16="http://schemas.microsoft.com/office/drawing/2014/main" id="{E648FBA7-2EC2-3078-137A-EAA5F696363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57" name="Straight Connector 356">
              <a:extLst>
                <a:ext uri="{FF2B5EF4-FFF2-40B4-BE49-F238E27FC236}">
                  <a16:creationId xmlns:a16="http://schemas.microsoft.com/office/drawing/2014/main" id="{23C91BC5-A1BF-DF1E-0F9B-83FC6F278CFF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0" name="Group 89">
            <a:extLst>
              <a:ext uri="{FF2B5EF4-FFF2-40B4-BE49-F238E27FC236}">
                <a16:creationId xmlns:a16="http://schemas.microsoft.com/office/drawing/2014/main" id="{745272F3-C14C-A405-4903-C865B5EA099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52" name="Straight Connector 351">
              <a:extLst>
                <a:ext uri="{FF2B5EF4-FFF2-40B4-BE49-F238E27FC236}">
                  <a16:creationId xmlns:a16="http://schemas.microsoft.com/office/drawing/2014/main" id="{C9F3EBEE-4D4A-ABE5-D722-51228DB3A70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3" name="Straight Connector 79">
              <a:extLst>
                <a:ext uri="{FF2B5EF4-FFF2-40B4-BE49-F238E27FC236}">
                  <a16:creationId xmlns:a16="http://schemas.microsoft.com/office/drawing/2014/main" id="{31E83722-3423-23A1-E40A-AF2BB537F8B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4" name="Straight Connector 80">
              <a:extLst>
                <a:ext uri="{FF2B5EF4-FFF2-40B4-BE49-F238E27FC236}">
                  <a16:creationId xmlns:a16="http://schemas.microsoft.com/office/drawing/2014/main" id="{3206EC4D-35D6-1517-51D7-EA674942427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5" name="Straight Connector 88">
              <a:extLst>
                <a:ext uri="{FF2B5EF4-FFF2-40B4-BE49-F238E27FC236}">
                  <a16:creationId xmlns:a16="http://schemas.microsoft.com/office/drawing/2014/main" id="{F61A8980-C280-D896-CE40-2ED670C3404A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1" name="Group 90">
            <a:extLst>
              <a:ext uri="{FF2B5EF4-FFF2-40B4-BE49-F238E27FC236}">
                <a16:creationId xmlns:a16="http://schemas.microsoft.com/office/drawing/2014/main" id="{615C1F1F-46E6-CC1F-A7D3-A81DD51816DA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48" name="Straight Connector 347">
              <a:extLst>
                <a:ext uri="{FF2B5EF4-FFF2-40B4-BE49-F238E27FC236}">
                  <a16:creationId xmlns:a16="http://schemas.microsoft.com/office/drawing/2014/main" id="{D641638D-B52C-827E-F037-A0C4125E6CC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9" name="Straight Connector 348">
              <a:extLst>
                <a:ext uri="{FF2B5EF4-FFF2-40B4-BE49-F238E27FC236}">
                  <a16:creationId xmlns:a16="http://schemas.microsoft.com/office/drawing/2014/main" id="{96B3DD50-8204-3DFA-22B1-97CCAAD6CB4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0" name="Straight Connector 349">
              <a:extLst>
                <a:ext uri="{FF2B5EF4-FFF2-40B4-BE49-F238E27FC236}">
                  <a16:creationId xmlns:a16="http://schemas.microsoft.com/office/drawing/2014/main" id="{D63DD100-67F4-FB44-DBB4-D6A1D052005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1" name="Straight Connector 350">
              <a:extLst>
                <a:ext uri="{FF2B5EF4-FFF2-40B4-BE49-F238E27FC236}">
                  <a16:creationId xmlns:a16="http://schemas.microsoft.com/office/drawing/2014/main" id="{39DEA345-2DA4-08EB-A7A8-150F5E16BA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5A6C0818-2DED-4DF3-12D3-8C4A797E07E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7" name="Straight Connector 336">
            <a:extLst>
              <a:ext uri="{FF2B5EF4-FFF2-40B4-BE49-F238E27FC236}">
                <a16:creationId xmlns:a16="http://schemas.microsoft.com/office/drawing/2014/main" id="{67E46E90-5ADE-43C4-BE8F-3E90DA34C44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8" name="Straight Arrow Connector 337">
            <a:extLst>
              <a:ext uri="{FF2B5EF4-FFF2-40B4-BE49-F238E27FC236}">
                <a16:creationId xmlns:a16="http://schemas.microsoft.com/office/drawing/2014/main" id="{FE2A899C-B454-F266-765B-6A183212922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9" name="Straight Arrow Connector 338">
            <a:extLst>
              <a:ext uri="{FF2B5EF4-FFF2-40B4-BE49-F238E27FC236}">
                <a16:creationId xmlns:a16="http://schemas.microsoft.com/office/drawing/2014/main" id="{329B6A8E-5182-2573-F581-42219FC49D2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40" name="Group 155">
            <a:extLst>
              <a:ext uri="{FF2B5EF4-FFF2-40B4-BE49-F238E27FC236}">
                <a16:creationId xmlns:a16="http://schemas.microsoft.com/office/drawing/2014/main" id="{13E7F75A-4541-8A73-37AD-E8974CA181F4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345" name="Isosceles Triangle 344">
              <a:extLst>
                <a:ext uri="{FF2B5EF4-FFF2-40B4-BE49-F238E27FC236}">
                  <a16:creationId xmlns:a16="http://schemas.microsoft.com/office/drawing/2014/main" id="{63D60CBB-117D-76C3-9359-260385445502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346" name="Isosceles Triangle 345">
              <a:extLst>
                <a:ext uri="{FF2B5EF4-FFF2-40B4-BE49-F238E27FC236}">
                  <a16:creationId xmlns:a16="http://schemas.microsoft.com/office/drawing/2014/main" id="{F4AF876E-679C-2140-7C8A-38951340D117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347" name="Isosceles Triangle 346">
              <a:extLst>
                <a:ext uri="{FF2B5EF4-FFF2-40B4-BE49-F238E27FC236}">
                  <a16:creationId xmlns:a16="http://schemas.microsoft.com/office/drawing/2014/main" id="{9C6631CB-D09E-27CE-C11C-6D5D736FC885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341" name="Group 134">
            <a:extLst>
              <a:ext uri="{FF2B5EF4-FFF2-40B4-BE49-F238E27FC236}">
                <a16:creationId xmlns:a16="http://schemas.microsoft.com/office/drawing/2014/main" id="{A3E847B0-5773-AE47-865E-1C85071A4B36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42" name="Isosceles Triangle 341">
              <a:extLst>
                <a:ext uri="{FF2B5EF4-FFF2-40B4-BE49-F238E27FC236}">
                  <a16:creationId xmlns:a16="http://schemas.microsoft.com/office/drawing/2014/main" id="{EDC8CECB-88F2-F55C-02FC-C6937E19E9F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343" name="Isosceles Triangle 342">
              <a:extLst>
                <a:ext uri="{FF2B5EF4-FFF2-40B4-BE49-F238E27FC236}">
                  <a16:creationId xmlns:a16="http://schemas.microsoft.com/office/drawing/2014/main" id="{389DAE5D-0572-CAA2-B2D8-5A58A600DFD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344" name="Isosceles Triangle 343">
              <a:extLst>
                <a:ext uri="{FF2B5EF4-FFF2-40B4-BE49-F238E27FC236}">
                  <a16:creationId xmlns:a16="http://schemas.microsoft.com/office/drawing/2014/main" id="{FE4D242C-A558-6FDA-2DFE-74E44140C1C4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162381</xdr:colOff>
      <xdr:row>170</xdr:row>
      <xdr:rowOff>9474</xdr:rowOff>
    </xdr:from>
    <xdr:ext cx="847521" cy="696042"/>
    <xdr:pic>
      <xdr:nvPicPr>
        <xdr:cNvPr id="366" name="Picture 365">
          <a:extLst>
            <a:ext uri="{FF2B5EF4-FFF2-40B4-BE49-F238E27FC236}">
              <a16:creationId xmlns:a16="http://schemas.microsoft.com/office/drawing/2014/main" id="{639F601C-EA7B-4041-B32C-14DD525A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38738" y="336045"/>
          <a:ext cx="847521" cy="696042"/>
        </a:xfrm>
        <a:prstGeom prst="rect">
          <a:avLst/>
        </a:prstGeom>
      </xdr:spPr>
    </xdr:pic>
    <xdr:clientData/>
  </xdr:oneCellAnchor>
  <xdr:twoCellAnchor>
    <xdr:from>
      <xdr:col>26</xdr:col>
      <xdr:colOff>87024</xdr:colOff>
      <xdr:row>173</xdr:row>
      <xdr:rowOff>41124</xdr:rowOff>
    </xdr:from>
    <xdr:to>
      <xdr:col>29</xdr:col>
      <xdr:colOff>259693</xdr:colOff>
      <xdr:row>184</xdr:row>
      <xdr:rowOff>136532</xdr:rowOff>
    </xdr:to>
    <xdr:grpSp>
      <xdr:nvGrpSpPr>
        <xdr:cNvPr id="367" name="Group 366">
          <a:extLst>
            <a:ext uri="{FF2B5EF4-FFF2-40B4-BE49-F238E27FC236}">
              <a16:creationId xmlns:a16="http://schemas.microsoft.com/office/drawing/2014/main" id="{329C9BDA-297C-4083-A569-E87B307C41CE}"/>
            </a:ext>
          </a:extLst>
        </xdr:cNvPr>
        <xdr:cNvGrpSpPr/>
      </xdr:nvGrpSpPr>
      <xdr:grpSpPr>
        <a:xfrm>
          <a:off x="16265917" y="35310838"/>
          <a:ext cx="1370097" cy="2340587"/>
          <a:chOff x="9713886" y="808452"/>
          <a:chExt cx="1342558" cy="1766630"/>
        </a:xfrm>
      </xdr:grpSpPr>
      <xdr:grpSp>
        <xdr:nvGrpSpPr>
          <xdr:cNvPr id="368" name="Group 13">
            <a:extLst>
              <a:ext uri="{FF2B5EF4-FFF2-40B4-BE49-F238E27FC236}">
                <a16:creationId xmlns:a16="http://schemas.microsoft.com/office/drawing/2014/main" id="{65956AE4-136C-36A3-EB9F-D2685B6362C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427" name="Oval 1">
              <a:extLst>
                <a:ext uri="{FF2B5EF4-FFF2-40B4-BE49-F238E27FC236}">
                  <a16:creationId xmlns:a16="http://schemas.microsoft.com/office/drawing/2014/main" id="{AF976E8C-54A8-2E1D-4954-5033DA204D5C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428" name="Straight Connector 3">
              <a:extLst>
                <a:ext uri="{FF2B5EF4-FFF2-40B4-BE49-F238E27FC236}">
                  <a16:creationId xmlns:a16="http://schemas.microsoft.com/office/drawing/2014/main" id="{A1F65BDC-0D19-BC8F-16A0-1A1AED2C70FF}"/>
                </a:ext>
              </a:extLst>
            </xdr:cNvPr>
            <xdr:cNvCxnSpPr>
              <a:stCxn id="384" idx="1"/>
              <a:endCxn id="38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9" name="Straight Connector 428">
              <a:extLst>
                <a:ext uri="{FF2B5EF4-FFF2-40B4-BE49-F238E27FC236}">
                  <a16:creationId xmlns:a16="http://schemas.microsoft.com/office/drawing/2014/main" id="{82973AB5-13F8-8246-3EE6-EC8A8AEFDEF1}"/>
                </a:ext>
              </a:extLst>
            </xdr:cNvPr>
            <xdr:cNvCxnSpPr>
              <a:stCxn id="384" idx="3"/>
              <a:endCxn id="38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69" name="Oval 368">
            <a:extLst>
              <a:ext uri="{FF2B5EF4-FFF2-40B4-BE49-F238E27FC236}">
                <a16:creationId xmlns:a16="http://schemas.microsoft.com/office/drawing/2014/main" id="{656A5453-3BBB-07A4-6335-81478BD4BD7E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370" name="Group 14">
            <a:extLst>
              <a:ext uri="{FF2B5EF4-FFF2-40B4-BE49-F238E27FC236}">
                <a16:creationId xmlns:a16="http://schemas.microsoft.com/office/drawing/2014/main" id="{373D4F1A-8E74-F218-2466-F8864F2ADAF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424" name="Oval 423">
              <a:extLst>
                <a:ext uri="{FF2B5EF4-FFF2-40B4-BE49-F238E27FC236}">
                  <a16:creationId xmlns:a16="http://schemas.microsoft.com/office/drawing/2014/main" id="{1E1FCFE7-C983-1F67-5CA6-90D1E33C7E49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425" name="Straight Connector 424">
              <a:extLst>
                <a:ext uri="{FF2B5EF4-FFF2-40B4-BE49-F238E27FC236}">
                  <a16:creationId xmlns:a16="http://schemas.microsoft.com/office/drawing/2014/main" id="{668B6EFA-026D-5FB5-72EF-3C7A21D750BC}"/>
                </a:ext>
              </a:extLst>
            </xdr:cNvPr>
            <xdr:cNvCxnSpPr>
              <a:stCxn id="424" idx="1"/>
              <a:endCxn id="42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6" name="Straight Connector 425">
              <a:extLst>
                <a:ext uri="{FF2B5EF4-FFF2-40B4-BE49-F238E27FC236}">
                  <a16:creationId xmlns:a16="http://schemas.microsoft.com/office/drawing/2014/main" id="{E8473CA0-8D37-C7A2-8697-2D587F09841E}"/>
                </a:ext>
              </a:extLst>
            </xdr:cNvPr>
            <xdr:cNvCxnSpPr>
              <a:stCxn id="424" idx="3"/>
              <a:endCxn id="42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71" name="Oval 370">
            <a:extLst>
              <a:ext uri="{FF2B5EF4-FFF2-40B4-BE49-F238E27FC236}">
                <a16:creationId xmlns:a16="http://schemas.microsoft.com/office/drawing/2014/main" id="{B3254C57-2C87-114D-5B74-D0A2F2F26E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0501CC5-7C42-C37A-58AE-60D15078AC42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Connector 372">
            <a:extLst>
              <a:ext uri="{FF2B5EF4-FFF2-40B4-BE49-F238E27FC236}">
                <a16:creationId xmlns:a16="http://schemas.microsoft.com/office/drawing/2014/main" id="{C5124053-FA0F-09E6-5E4E-2B3E9999C672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Connector 373">
            <a:extLst>
              <a:ext uri="{FF2B5EF4-FFF2-40B4-BE49-F238E27FC236}">
                <a16:creationId xmlns:a16="http://schemas.microsoft.com/office/drawing/2014/main" id="{B6A71DF8-C970-F4F2-ADA7-01BF8E8425E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5" name="Straight Connector 374">
            <a:extLst>
              <a:ext uri="{FF2B5EF4-FFF2-40B4-BE49-F238E27FC236}">
                <a16:creationId xmlns:a16="http://schemas.microsoft.com/office/drawing/2014/main" id="{3C78BA15-3C64-12D4-96A9-F9910CA37FCE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6" name="Straight Connector 375">
            <a:extLst>
              <a:ext uri="{FF2B5EF4-FFF2-40B4-BE49-F238E27FC236}">
                <a16:creationId xmlns:a16="http://schemas.microsoft.com/office/drawing/2014/main" id="{F1FA211C-8BCA-0EEA-5581-C672AFA230F3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7" name="Straight Connector 376">
            <a:extLst>
              <a:ext uri="{FF2B5EF4-FFF2-40B4-BE49-F238E27FC236}">
                <a16:creationId xmlns:a16="http://schemas.microsoft.com/office/drawing/2014/main" id="{3143528E-78A0-7667-7CDF-60928737EAA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8" name="Straight Connector 377">
            <a:extLst>
              <a:ext uri="{FF2B5EF4-FFF2-40B4-BE49-F238E27FC236}">
                <a16:creationId xmlns:a16="http://schemas.microsoft.com/office/drawing/2014/main" id="{07AB9FA4-DFC7-083D-C51C-407E4926DDD9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9" name="Straight Connector 378">
            <a:extLst>
              <a:ext uri="{FF2B5EF4-FFF2-40B4-BE49-F238E27FC236}">
                <a16:creationId xmlns:a16="http://schemas.microsoft.com/office/drawing/2014/main" id="{736B9D49-6AFC-91EF-F341-28F6B544860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0" name="Straight Connector 379">
            <a:extLst>
              <a:ext uri="{FF2B5EF4-FFF2-40B4-BE49-F238E27FC236}">
                <a16:creationId xmlns:a16="http://schemas.microsoft.com/office/drawing/2014/main" id="{A2DA4426-C1AE-AE21-98A2-3772A9722C2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Connector 380">
            <a:extLst>
              <a:ext uri="{FF2B5EF4-FFF2-40B4-BE49-F238E27FC236}">
                <a16:creationId xmlns:a16="http://schemas.microsoft.com/office/drawing/2014/main" id="{DC098A19-F78B-32AA-4E40-54DB2840ADF7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2" name="Straight Connector 381">
            <a:extLst>
              <a:ext uri="{FF2B5EF4-FFF2-40B4-BE49-F238E27FC236}">
                <a16:creationId xmlns:a16="http://schemas.microsoft.com/office/drawing/2014/main" id="{58712EA9-DAF0-FB92-02E9-B5722D7C0CF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3" name="Straight Connector 382">
            <a:extLst>
              <a:ext uri="{FF2B5EF4-FFF2-40B4-BE49-F238E27FC236}">
                <a16:creationId xmlns:a16="http://schemas.microsoft.com/office/drawing/2014/main" id="{97CCC51D-CC80-97C9-9F3F-E8CFE90FA65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4" name="Straight Connector 50">
            <a:extLst>
              <a:ext uri="{FF2B5EF4-FFF2-40B4-BE49-F238E27FC236}">
                <a16:creationId xmlns:a16="http://schemas.microsoft.com/office/drawing/2014/main" id="{DC5F0577-8ABB-0322-4BEF-6E20000CF6B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89053C3F-9F25-FF23-772A-700846A2A59E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52">
            <a:extLst>
              <a:ext uri="{FF2B5EF4-FFF2-40B4-BE49-F238E27FC236}">
                <a16:creationId xmlns:a16="http://schemas.microsoft.com/office/drawing/2014/main" id="{B5746E53-95A4-8F40-31AF-C1E52161626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Straight Connector 386">
            <a:extLst>
              <a:ext uri="{FF2B5EF4-FFF2-40B4-BE49-F238E27FC236}">
                <a16:creationId xmlns:a16="http://schemas.microsoft.com/office/drawing/2014/main" id="{8B1CBA43-EBF2-68AC-5040-457517FF9056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8" name="Straight Connector 387">
            <a:extLst>
              <a:ext uri="{FF2B5EF4-FFF2-40B4-BE49-F238E27FC236}">
                <a16:creationId xmlns:a16="http://schemas.microsoft.com/office/drawing/2014/main" id="{01C22E05-B56D-2449-212B-299EF0DF30AC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9" name="Straight Connector 388">
            <a:extLst>
              <a:ext uri="{FF2B5EF4-FFF2-40B4-BE49-F238E27FC236}">
                <a16:creationId xmlns:a16="http://schemas.microsoft.com/office/drawing/2014/main" id="{E3093597-6573-D31D-81F2-1B72C62668FF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Straight Connector 389">
            <a:extLst>
              <a:ext uri="{FF2B5EF4-FFF2-40B4-BE49-F238E27FC236}">
                <a16:creationId xmlns:a16="http://schemas.microsoft.com/office/drawing/2014/main" id="{FFC52DDA-C3F0-A940-2D73-FD6739F7DB8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1" name="Straight Connector 390">
            <a:extLst>
              <a:ext uri="{FF2B5EF4-FFF2-40B4-BE49-F238E27FC236}">
                <a16:creationId xmlns:a16="http://schemas.microsoft.com/office/drawing/2014/main" id="{347097A0-67A2-E8F2-4767-F57A28976A8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id="{08B0EE35-CD8E-74A9-41E2-BD9218DA4FAE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Straight Connector 392">
            <a:extLst>
              <a:ext uri="{FF2B5EF4-FFF2-40B4-BE49-F238E27FC236}">
                <a16:creationId xmlns:a16="http://schemas.microsoft.com/office/drawing/2014/main" id="{F38EC841-9E48-07F5-8AF0-12BC93EE703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4" name="Isosceles Triangle 393">
            <a:extLst>
              <a:ext uri="{FF2B5EF4-FFF2-40B4-BE49-F238E27FC236}">
                <a16:creationId xmlns:a16="http://schemas.microsoft.com/office/drawing/2014/main" id="{FEEABDC4-F4AE-0F25-D4DF-0061165A8678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395" name="Isosceles Triangle 394">
            <a:extLst>
              <a:ext uri="{FF2B5EF4-FFF2-40B4-BE49-F238E27FC236}">
                <a16:creationId xmlns:a16="http://schemas.microsoft.com/office/drawing/2014/main" id="{43C553FB-C5DA-0370-12E8-95BEAD3E649D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396" name="Group 73">
            <a:extLst>
              <a:ext uri="{FF2B5EF4-FFF2-40B4-BE49-F238E27FC236}">
                <a16:creationId xmlns:a16="http://schemas.microsoft.com/office/drawing/2014/main" id="{092546B7-1738-184D-5833-AD896B992106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422" name="TextBox 57">
              <a:extLst>
                <a:ext uri="{FF2B5EF4-FFF2-40B4-BE49-F238E27FC236}">
                  <a16:creationId xmlns:a16="http://schemas.microsoft.com/office/drawing/2014/main" id="{B3E01937-CF4D-37A4-8F82-CB040B4E02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423" name="Straight Connector 422">
              <a:extLst>
                <a:ext uri="{FF2B5EF4-FFF2-40B4-BE49-F238E27FC236}">
                  <a16:creationId xmlns:a16="http://schemas.microsoft.com/office/drawing/2014/main" id="{ED9E3856-501B-6950-37CD-91532909A25F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7" name="Group 74">
            <a:extLst>
              <a:ext uri="{FF2B5EF4-FFF2-40B4-BE49-F238E27FC236}">
                <a16:creationId xmlns:a16="http://schemas.microsoft.com/office/drawing/2014/main" id="{9434AA81-B26E-47CC-BC8B-6366D844C62C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420" name="TextBox 55">
              <a:extLst>
                <a:ext uri="{FF2B5EF4-FFF2-40B4-BE49-F238E27FC236}">
                  <a16:creationId xmlns:a16="http://schemas.microsoft.com/office/drawing/2014/main" id="{454DC94C-8EAE-3F4C-51F6-D7CEEE3C4A5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421" name="Straight Connector 420">
              <a:extLst>
                <a:ext uri="{FF2B5EF4-FFF2-40B4-BE49-F238E27FC236}">
                  <a16:creationId xmlns:a16="http://schemas.microsoft.com/office/drawing/2014/main" id="{EC5BE147-DCA6-97BC-2BC5-8942796C1A6A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8" name="Group 89">
            <a:extLst>
              <a:ext uri="{FF2B5EF4-FFF2-40B4-BE49-F238E27FC236}">
                <a16:creationId xmlns:a16="http://schemas.microsoft.com/office/drawing/2014/main" id="{20A444C4-AF32-E94B-DF0F-EE28780BEB3D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416" name="Straight Connector 415">
              <a:extLst>
                <a:ext uri="{FF2B5EF4-FFF2-40B4-BE49-F238E27FC236}">
                  <a16:creationId xmlns:a16="http://schemas.microsoft.com/office/drawing/2014/main" id="{BA76BB64-1195-D644-D701-7365CADAE39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7" name="Straight Connector 79">
              <a:extLst>
                <a:ext uri="{FF2B5EF4-FFF2-40B4-BE49-F238E27FC236}">
                  <a16:creationId xmlns:a16="http://schemas.microsoft.com/office/drawing/2014/main" id="{8CA8AF6C-5133-B9EF-B063-00264773B2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8" name="Straight Connector 80">
              <a:extLst>
                <a:ext uri="{FF2B5EF4-FFF2-40B4-BE49-F238E27FC236}">
                  <a16:creationId xmlns:a16="http://schemas.microsoft.com/office/drawing/2014/main" id="{E2928F38-0F60-5823-8F56-1FD7B49F9075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9" name="Straight Connector 88">
              <a:extLst>
                <a:ext uri="{FF2B5EF4-FFF2-40B4-BE49-F238E27FC236}">
                  <a16:creationId xmlns:a16="http://schemas.microsoft.com/office/drawing/2014/main" id="{83DA2675-DF11-0DB0-B183-EF5F16A7064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9" name="Group 90">
            <a:extLst>
              <a:ext uri="{FF2B5EF4-FFF2-40B4-BE49-F238E27FC236}">
                <a16:creationId xmlns:a16="http://schemas.microsoft.com/office/drawing/2014/main" id="{EE773D15-29F1-7959-5CEE-6E11BD4A9E18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12" name="Straight Connector 411">
              <a:extLst>
                <a:ext uri="{FF2B5EF4-FFF2-40B4-BE49-F238E27FC236}">
                  <a16:creationId xmlns:a16="http://schemas.microsoft.com/office/drawing/2014/main" id="{14C6C896-21B8-08E3-BF00-EB0DF667861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3" name="Straight Connector 412">
              <a:extLst>
                <a:ext uri="{FF2B5EF4-FFF2-40B4-BE49-F238E27FC236}">
                  <a16:creationId xmlns:a16="http://schemas.microsoft.com/office/drawing/2014/main" id="{61C10298-D142-216D-C72A-B7CBCBCC997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4" name="Straight Connector 413">
              <a:extLst>
                <a:ext uri="{FF2B5EF4-FFF2-40B4-BE49-F238E27FC236}">
                  <a16:creationId xmlns:a16="http://schemas.microsoft.com/office/drawing/2014/main" id="{E5AFAE85-B114-0D1F-D57F-8203EC9E7DE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5" name="Straight Connector 414">
              <a:extLst>
                <a:ext uri="{FF2B5EF4-FFF2-40B4-BE49-F238E27FC236}">
                  <a16:creationId xmlns:a16="http://schemas.microsoft.com/office/drawing/2014/main" id="{B903FF6C-169F-37E0-507E-94DE90AD76B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AE42743C-0E87-1E05-D1A9-8776A8FD58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1" name="Straight Connector 400">
            <a:extLst>
              <a:ext uri="{FF2B5EF4-FFF2-40B4-BE49-F238E27FC236}">
                <a16:creationId xmlns:a16="http://schemas.microsoft.com/office/drawing/2014/main" id="{928B541C-29A2-8DDB-92E2-D89B8423158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2" name="Straight Arrow Connector 401">
            <a:extLst>
              <a:ext uri="{FF2B5EF4-FFF2-40B4-BE49-F238E27FC236}">
                <a16:creationId xmlns:a16="http://schemas.microsoft.com/office/drawing/2014/main" id="{7F14A690-C9FB-3F75-F7E5-2FB5B9BB52D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Straight Arrow Connector 402">
            <a:extLst>
              <a:ext uri="{FF2B5EF4-FFF2-40B4-BE49-F238E27FC236}">
                <a16:creationId xmlns:a16="http://schemas.microsoft.com/office/drawing/2014/main" id="{477AD33D-62D0-74A8-1921-4C2106306807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4" name="Group 155">
            <a:extLst>
              <a:ext uri="{FF2B5EF4-FFF2-40B4-BE49-F238E27FC236}">
                <a16:creationId xmlns:a16="http://schemas.microsoft.com/office/drawing/2014/main" id="{10F2D4E1-3395-488B-6698-C7A6A9424D0F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409" name="Isosceles Triangle 408">
              <a:extLst>
                <a:ext uri="{FF2B5EF4-FFF2-40B4-BE49-F238E27FC236}">
                  <a16:creationId xmlns:a16="http://schemas.microsoft.com/office/drawing/2014/main" id="{B34A7116-3C76-EB42-B481-AE15F21D8083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410" name="Isosceles Triangle 409">
              <a:extLst>
                <a:ext uri="{FF2B5EF4-FFF2-40B4-BE49-F238E27FC236}">
                  <a16:creationId xmlns:a16="http://schemas.microsoft.com/office/drawing/2014/main" id="{9307B031-6079-7A1D-C0AA-687B8A4B62AE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411" name="Isosceles Triangle 410">
              <a:extLst>
                <a:ext uri="{FF2B5EF4-FFF2-40B4-BE49-F238E27FC236}">
                  <a16:creationId xmlns:a16="http://schemas.microsoft.com/office/drawing/2014/main" id="{FD54D10E-44EB-13E6-E84A-170C1C630752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405" name="Group 134">
            <a:extLst>
              <a:ext uri="{FF2B5EF4-FFF2-40B4-BE49-F238E27FC236}">
                <a16:creationId xmlns:a16="http://schemas.microsoft.com/office/drawing/2014/main" id="{7F1BC59E-E1CA-38FA-05CB-C09FAFD156DB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06" name="Isosceles Triangle 405">
              <a:extLst>
                <a:ext uri="{FF2B5EF4-FFF2-40B4-BE49-F238E27FC236}">
                  <a16:creationId xmlns:a16="http://schemas.microsoft.com/office/drawing/2014/main" id="{0B8A3B5E-18D9-6CA4-FA9B-1CBF36111FB6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407" name="Isosceles Triangle 406">
              <a:extLst>
                <a:ext uri="{FF2B5EF4-FFF2-40B4-BE49-F238E27FC236}">
                  <a16:creationId xmlns:a16="http://schemas.microsoft.com/office/drawing/2014/main" id="{AF5195E5-D5A8-FE6E-6AF3-3ADC6F81D29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408" name="Isosceles Triangle 407">
              <a:extLst>
                <a:ext uri="{FF2B5EF4-FFF2-40B4-BE49-F238E27FC236}">
                  <a16:creationId xmlns:a16="http://schemas.microsoft.com/office/drawing/2014/main" id="{06231B0A-9065-63A2-A11A-397883E4BC65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162381</xdr:colOff>
      <xdr:row>225</xdr:row>
      <xdr:rowOff>9474</xdr:rowOff>
    </xdr:from>
    <xdr:ext cx="847521" cy="696042"/>
    <xdr:pic>
      <xdr:nvPicPr>
        <xdr:cNvPr id="430" name="Picture 429">
          <a:extLst>
            <a:ext uri="{FF2B5EF4-FFF2-40B4-BE49-F238E27FC236}">
              <a16:creationId xmlns:a16="http://schemas.microsoft.com/office/drawing/2014/main" id="{E92F3D32-B014-4814-961E-49DCED91B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38738" y="336045"/>
          <a:ext cx="847521" cy="696042"/>
        </a:xfrm>
        <a:prstGeom prst="rect">
          <a:avLst/>
        </a:prstGeom>
      </xdr:spPr>
    </xdr:pic>
    <xdr:clientData/>
  </xdr:oneCellAnchor>
  <xdr:twoCellAnchor>
    <xdr:from>
      <xdr:col>26</xdr:col>
      <xdr:colOff>87024</xdr:colOff>
      <xdr:row>228</xdr:row>
      <xdr:rowOff>41124</xdr:rowOff>
    </xdr:from>
    <xdr:to>
      <xdr:col>29</xdr:col>
      <xdr:colOff>259693</xdr:colOff>
      <xdr:row>239</xdr:row>
      <xdr:rowOff>136532</xdr:rowOff>
    </xdr:to>
    <xdr:grpSp>
      <xdr:nvGrpSpPr>
        <xdr:cNvPr id="431" name="Group 430">
          <a:extLst>
            <a:ext uri="{FF2B5EF4-FFF2-40B4-BE49-F238E27FC236}">
              <a16:creationId xmlns:a16="http://schemas.microsoft.com/office/drawing/2014/main" id="{EAD1632D-5C2D-4A6D-82A2-032AE3A72280}"/>
            </a:ext>
          </a:extLst>
        </xdr:cNvPr>
        <xdr:cNvGrpSpPr/>
      </xdr:nvGrpSpPr>
      <xdr:grpSpPr>
        <a:xfrm>
          <a:off x="16265917" y="46536731"/>
          <a:ext cx="1370097" cy="2340587"/>
          <a:chOff x="9713886" y="808452"/>
          <a:chExt cx="1342558" cy="1766630"/>
        </a:xfrm>
      </xdr:grpSpPr>
      <xdr:grpSp>
        <xdr:nvGrpSpPr>
          <xdr:cNvPr id="432" name="Group 13">
            <a:extLst>
              <a:ext uri="{FF2B5EF4-FFF2-40B4-BE49-F238E27FC236}">
                <a16:creationId xmlns:a16="http://schemas.microsoft.com/office/drawing/2014/main" id="{0F26E2ED-60E0-9ACE-5794-67AC6DAABE8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491" name="Oval 1">
              <a:extLst>
                <a:ext uri="{FF2B5EF4-FFF2-40B4-BE49-F238E27FC236}">
                  <a16:creationId xmlns:a16="http://schemas.microsoft.com/office/drawing/2014/main" id="{DEEF781E-1F94-D70A-95D5-C180A11A3BD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492" name="Straight Connector 3">
              <a:extLst>
                <a:ext uri="{FF2B5EF4-FFF2-40B4-BE49-F238E27FC236}">
                  <a16:creationId xmlns:a16="http://schemas.microsoft.com/office/drawing/2014/main" id="{8EF2DB69-4079-51BF-A6E8-908745F470C3}"/>
                </a:ext>
              </a:extLst>
            </xdr:cNvPr>
            <xdr:cNvCxnSpPr>
              <a:stCxn id="448" idx="1"/>
              <a:endCxn id="44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3" name="Straight Connector 492">
              <a:extLst>
                <a:ext uri="{FF2B5EF4-FFF2-40B4-BE49-F238E27FC236}">
                  <a16:creationId xmlns:a16="http://schemas.microsoft.com/office/drawing/2014/main" id="{503EEFAE-BA7D-F4F8-56DE-8E788CB36932}"/>
                </a:ext>
              </a:extLst>
            </xdr:cNvPr>
            <xdr:cNvCxnSpPr>
              <a:stCxn id="448" idx="3"/>
              <a:endCxn id="44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33" name="Oval 432">
            <a:extLst>
              <a:ext uri="{FF2B5EF4-FFF2-40B4-BE49-F238E27FC236}">
                <a16:creationId xmlns:a16="http://schemas.microsoft.com/office/drawing/2014/main" id="{67D382A4-89DE-93DE-2F6C-A775B9235B8D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434" name="Group 14">
            <a:extLst>
              <a:ext uri="{FF2B5EF4-FFF2-40B4-BE49-F238E27FC236}">
                <a16:creationId xmlns:a16="http://schemas.microsoft.com/office/drawing/2014/main" id="{735BAB59-66C7-07F7-D80E-8B0F858BBDFD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488" name="Oval 487">
              <a:extLst>
                <a:ext uri="{FF2B5EF4-FFF2-40B4-BE49-F238E27FC236}">
                  <a16:creationId xmlns:a16="http://schemas.microsoft.com/office/drawing/2014/main" id="{A7EB8877-E185-58E8-CE29-052C1EE3E1F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489" name="Straight Connector 488">
              <a:extLst>
                <a:ext uri="{FF2B5EF4-FFF2-40B4-BE49-F238E27FC236}">
                  <a16:creationId xmlns:a16="http://schemas.microsoft.com/office/drawing/2014/main" id="{87F015D7-85C6-850C-D7B6-D5B6C634EC94}"/>
                </a:ext>
              </a:extLst>
            </xdr:cNvPr>
            <xdr:cNvCxnSpPr>
              <a:stCxn id="488" idx="1"/>
              <a:endCxn id="48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0" name="Straight Connector 489">
              <a:extLst>
                <a:ext uri="{FF2B5EF4-FFF2-40B4-BE49-F238E27FC236}">
                  <a16:creationId xmlns:a16="http://schemas.microsoft.com/office/drawing/2014/main" id="{FED9C7D0-3D20-447A-DDF7-FD79F8399FEA}"/>
                </a:ext>
              </a:extLst>
            </xdr:cNvPr>
            <xdr:cNvCxnSpPr>
              <a:stCxn id="488" idx="3"/>
              <a:endCxn id="48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35" name="Oval 434">
            <a:extLst>
              <a:ext uri="{FF2B5EF4-FFF2-40B4-BE49-F238E27FC236}">
                <a16:creationId xmlns:a16="http://schemas.microsoft.com/office/drawing/2014/main" id="{99A0F7C7-215D-250F-B4F1-E26A84A3001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436" name="Straight Connector 435">
            <a:extLst>
              <a:ext uri="{FF2B5EF4-FFF2-40B4-BE49-F238E27FC236}">
                <a16:creationId xmlns:a16="http://schemas.microsoft.com/office/drawing/2014/main" id="{AEE4CD77-9145-7C33-72A6-4DE0445E36E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7" name="Straight Connector 436">
            <a:extLst>
              <a:ext uri="{FF2B5EF4-FFF2-40B4-BE49-F238E27FC236}">
                <a16:creationId xmlns:a16="http://schemas.microsoft.com/office/drawing/2014/main" id="{B6767626-C46E-1AEA-A570-A16DC71CF79E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264A6D35-9959-57A5-EBC3-2EA606BC3F5B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9" name="Straight Connector 438">
            <a:extLst>
              <a:ext uri="{FF2B5EF4-FFF2-40B4-BE49-F238E27FC236}">
                <a16:creationId xmlns:a16="http://schemas.microsoft.com/office/drawing/2014/main" id="{036A60B5-272E-7FA2-104D-FA613A626D9F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0" name="Straight Connector 439">
            <a:extLst>
              <a:ext uri="{FF2B5EF4-FFF2-40B4-BE49-F238E27FC236}">
                <a16:creationId xmlns:a16="http://schemas.microsoft.com/office/drawing/2014/main" id="{6FFDECA7-887D-8B92-3403-F5472395BC1C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1" name="Straight Connector 440">
            <a:extLst>
              <a:ext uri="{FF2B5EF4-FFF2-40B4-BE49-F238E27FC236}">
                <a16:creationId xmlns:a16="http://schemas.microsoft.com/office/drawing/2014/main" id="{F63EF15D-479B-BFE3-5ACA-86CCA778A916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2" name="Straight Connector 441">
            <a:extLst>
              <a:ext uri="{FF2B5EF4-FFF2-40B4-BE49-F238E27FC236}">
                <a16:creationId xmlns:a16="http://schemas.microsoft.com/office/drawing/2014/main" id="{4894E52E-7B0D-89D6-A628-7E52AB2AA98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id="{6310D619-C8B9-61EF-8570-DA1E5DBD63E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443">
            <a:extLst>
              <a:ext uri="{FF2B5EF4-FFF2-40B4-BE49-F238E27FC236}">
                <a16:creationId xmlns:a16="http://schemas.microsoft.com/office/drawing/2014/main" id="{F104C660-E0C2-DCEE-BBA7-6F6F9CCFABA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1112A2B5-20DF-1ACF-ECEF-7F889FC62103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3AC97552-7461-6FEE-57E7-2CDCBE29036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51962626-0CB8-F829-FF68-F1FCBD877732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8" name="Straight Connector 50">
            <a:extLst>
              <a:ext uri="{FF2B5EF4-FFF2-40B4-BE49-F238E27FC236}">
                <a16:creationId xmlns:a16="http://schemas.microsoft.com/office/drawing/2014/main" id="{26FD66A1-68CF-4680-0CFC-6C68E3C8485A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448">
            <a:extLst>
              <a:ext uri="{FF2B5EF4-FFF2-40B4-BE49-F238E27FC236}">
                <a16:creationId xmlns:a16="http://schemas.microsoft.com/office/drawing/2014/main" id="{4A2BB5C6-6548-A1E9-ABCF-5C73D88E77C5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Straight Connector 52">
            <a:extLst>
              <a:ext uri="{FF2B5EF4-FFF2-40B4-BE49-F238E27FC236}">
                <a16:creationId xmlns:a16="http://schemas.microsoft.com/office/drawing/2014/main" id="{595F9108-CE4D-2ACC-FA79-5031FCEA8415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id="{ED7940ED-908B-3215-2B14-FE940238F754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8FC9CC38-1AFA-B1AC-6BC7-C2958EC81A3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7B24D7BD-46EA-AECF-5383-960E241CCB5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Connector 453">
            <a:extLst>
              <a:ext uri="{FF2B5EF4-FFF2-40B4-BE49-F238E27FC236}">
                <a16:creationId xmlns:a16="http://schemas.microsoft.com/office/drawing/2014/main" id="{0181D177-63B5-B972-9587-CE128BA77C3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Straight Connector 454">
            <a:extLst>
              <a:ext uri="{FF2B5EF4-FFF2-40B4-BE49-F238E27FC236}">
                <a16:creationId xmlns:a16="http://schemas.microsoft.com/office/drawing/2014/main" id="{0F907A10-0B17-B941-37FE-D3C8F6016571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455">
            <a:extLst>
              <a:ext uri="{FF2B5EF4-FFF2-40B4-BE49-F238E27FC236}">
                <a16:creationId xmlns:a16="http://schemas.microsoft.com/office/drawing/2014/main" id="{7C4FA88D-0534-BE9F-73D9-C1671237C85B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BD2358E2-B555-2660-8086-36FA2C0128D6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8" name="Isosceles Triangle 457">
            <a:extLst>
              <a:ext uri="{FF2B5EF4-FFF2-40B4-BE49-F238E27FC236}">
                <a16:creationId xmlns:a16="http://schemas.microsoft.com/office/drawing/2014/main" id="{DFAEE06C-A4FD-13E8-83BE-7BF6622BA45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459" name="Isosceles Triangle 458">
            <a:extLst>
              <a:ext uri="{FF2B5EF4-FFF2-40B4-BE49-F238E27FC236}">
                <a16:creationId xmlns:a16="http://schemas.microsoft.com/office/drawing/2014/main" id="{6437262A-0CA3-3E75-1073-6E3A4C17B2BF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460" name="Group 73">
            <a:extLst>
              <a:ext uri="{FF2B5EF4-FFF2-40B4-BE49-F238E27FC236}">
                <a16:creationId xmlns:a16="http://schemas.microsoft.com/office/drawing/2014/main" id="{551A649A-8B97-31F6-DF7D-D01AF18EF453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486" name="TextBox 57">
              <a:extLst>
                <a:ext uri="{FF2B5EF4-FFF2-40B4-BE49-F238E27FC236}">
                  <a16:creationId xmlns:a16="http://schemas.microsoft.com/office/drawing/2014/main" id="{56A0AA7C-23A9-4EEB-6CA4-F0CBD96A987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487" name="Straight Connector 486">
              <a:extLst>
                <a:ext uri="{FF2B5EF4-FFF2-40B4-BE49-F238E27FC236}">
                  <a16:creationId xmlns:a16="http://schemas.microsoft.com/office/drawing/2014/main" id="{9B390EED-D831-887B-4B37-6C03457C7EB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1" name="Group 74">
            <a:extLst>
              <a:ext uri="{FF2B5EF4-FFF2-40B4-BE49-F238E27FC236}">
                <a16:creationId xmlns:a16="http://schemas.microsoft.com/office/drawing/2014/main" id="{04D9E8E3-E7C1-4424-4F9F-8DD48A994B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484" name="TextBox 55">
              <a:extLst>
                <a:ext uri="{FF2B5EF4-FFF2-40B4-BE49-F238E27FC236}">
                  <a16:creationId xmlns:a16="http://schemas.microsoft.com/office/drawing/2014/main" id="{C499422B-D457-6776-9B21-B5209F55E98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485" name="Straight Connector 484">
              <a:extLst>
                <a:ext uri="{FF2B5EF4-FFF2-40B4-BE49-F238E27FC236}">
                  <a16:creationId xmlns:a16="http://schemas.microsoft.com/office/drawing/2014/main" id="{E9FD9F6F-DDC2-F7D8-3DCB-9493585AA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2" name="Group 89">
            <a:extLst>
              <a:ext uri="{FF2B5EF4-FFF2-40B4-BE49-F238E27FC236}">
                <a16:creationId xmlns:a16="http://schemas.microsoft.com/office/drawing/2014/main" id="{AADC8038-4F69-1A72-9ABE-A150698B75F3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0" name="Straight Connector 479">
              <a:extLst>
                <a:ext uri="{FF2B5EF4-FFF2-40B4-BE49-F238E27FC236}">
                  <a16:creationId xmlns:a16="http://schemas.microsoft.com/office/drawing/2014/main" id="{CCBB36B5-6D3F-A30F-C291-1C1782A8EC8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1" name="Straight Connector 79">
              <a:extLst>
                <a:ext uri="{FF2B5EF4-FFF2-40B4-BE49-F238E27FC236}">
                  <a16:creationId xmlns:a16="http://schemas.microsoft.com/office/drawing/2014/main" id="{74757602-3DDC-CE60-655C-44AE6D6D029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2" name="Straight Connector 80">
              <a:extLst>
                <a:ext uri="{FF2B5EF4-FFF2-40B4-BE49-F238E27FC236}">
                  <a16:creationId xmlns:a16="http://schemas.microsoft.com/office/drawing/2014/main" id="{EA4CCD0F-22B1-F9BC-3B27-095A83C400C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3" name="Straight Connector 88">
              <a:extLst>
                <a:ext uri="{FF2B5EF4-FFF2-40B4-BE49-F238E27FC236}">
                  <a16:creationId xmlns:a16="http://schemas.microsoft.com/office/drawing/2014/main" id="{3C681B63-5F1E-451E-57F2-6E26241EACA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3" name="Group 90">
            <a:extLst>
              <a:ext uri="{FF2B5EF4-FFF2-40B4-BE49-F238E27FC236}">
                <a16:creationId xmlns:a16="http://schemas.microsoft.com/office/drawing/2014/main" id="{205D0BF3-2FC3-F852-3B65-168C67AB41A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76" name="Straight Connector 475">
              <a:extLst>
                <a:ext uri="{FF2B5EF4-FFF2-40B4-BE49-F238E27FC236}">
                  <a16:creationId xmlns:a16="http://schemas.microsoft.com/office/drawing/2014/main" id="{31E843EF-4561-373D-0A83-93A7BA78452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7" name="Straight Connector 476">
              <a:extLst>
                <a:ext uri="{FF2B5EF4-FFF2-40B4-BE49-F238E27FC236}">
                  <a16:creationId xmlns:a16="http://schemas.microsoft.com/office/drawing/2014/main" id="{7BF124D8-BD46-9D7D-9165-275A841BB05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8" name="Straight Connector 477">
              <a:extLst>
                <a:ext uri="{FF2B5EF4-FFF2-40B4-BE49-F238E27FC236}">
                  <a16:creationId xmlns:a16="http://schemas.microsoft.com/office/drawing/2014/main" id="{2FDA06D9-BDC1-61CB-F520-54D9EEB4E06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9" name="Straight Connector 478">
              <a:extLst>
                <a:ext uri="{FF2B5EF4-FFF2-40B4-BE49-F238E27FC236}">
                  <a16:creationId xmlns:a16="http://schemas.microsoft.com/office/drawing/2014/main" id="{B474BD22-049A-2B23-BC8A-B944A0A9072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id="{DE8991B0-1A3F-28A0-1E43-C87CC44A0021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7BC79169-1AAC-2C77-11AF-87CBE4C0878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Arrow Connector 465">
            <a:extLst>
              <a:ext uri="{FF2B5EF4-FFF2-40B4-BE49-F238E27FC236}">
                <a16:creationId xmlns:a16="http://schemas.microsoft.com/office/drawing/2014/main" id="{ADE7D18D-A20C-1F73-5EE7-257C2E7A5869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7" name="Straight Arrow Connector 466">
            <a:extLst>
              <a:ext uri="{FF2B5EF4-FFF2-40B4-BE49-F238E27FC236}">
                <a16:creationId xmlns:a16="http://schemas.microsoft.com/office/drawing/2014/main" id="{38551369-8471-7F9F-3512-4C560A3A72D1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68" name="Group 155">
            <a:extLst>
              <a:ext uri="{FF2B5EF4-FFF2-40B4-BE49-F238E27FC236}">
                <a16:creationId xmlns:a16="http://schemas.microsoft.com/office/drawing/2014/main" id="{B3A705CF-3E4A-A871-4E63-DEB8C3FE6094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473" name="Isosceles Triangle 472">
              <a:extLst>
                <a:ext uri="{FF2B5EF4-FFF2-40B4-BE49-F238E27FC236}">
                  <a16:creationId xmlns:a16="http://schemas.microsoft.com/office/drawing/2014/main" id="{695C7A63-2AED-E50B-0B09-CF4D0324CEE0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474" name="Isosceles Triangle 473">
              <a:extLst>
                <a:ext uri="{FF2B5EF4-FFF2-40B4-BE49-F238E27FC236}">
                  <a16:creationId xmlns:a16="http://schemas.microsoft.com/office/drawing/2014/main" id="{28375F63-D8A3-4E0F-1AA4-9511754E75F7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475" name="Isosceles Triangle 474">
              <a:extLst>
                <a:ext uri="{FF2B5EF4-FFF2-40B4-BE49-F238E27FC236}">
                  <a16:creationId xmlns:a16="http://schemas.microsoft.com/office/drawing/2014/main" id="{AED374AB-A69D-6A45-F3C1-E5459A2ED7EF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469" name="Group 134">
            <a:extLst>
              <a:ext uri="{FF2B5EF4-FFF2-40B4-BE49-F238E27FC236}">
                <a16:creationId xmlns:a16="http://schemas.microsoft.com/office/drawing/2014/main" id="{5C222D81-7EAC-12F3-E6CD-DE3B08C575B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70" name="Isosceles Triangle 469">
              <a:extLst>
                <a:ext uri="{FF2B5EF4-FFF2-40B4-BE49-F238E27FC236}">
                  <a16:creationId xmlns:a16="http://schemas.microsoft.com/office/drawing/2014/main" id="{3C5D0915-BA70-2255-3658-28B9F13A15D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471" name="Isosceles Triangle 470">
              <a:extLst>
                <a:ext uri="{FF2B5EF4-FFF2-40B4-BE49-F238E27FC236}">
                  <a16:creationId xmlns:a16="http://schemas.microsoft.com/office/drawing/2014/main" id="{EC4E2EFD-E1A7-6D30-8F9E-477E7E96053A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472" name="Isosceles Triangle 471">
              <a:extLst>
                <a:ext uri="{FF2B5EF4-FFF2-40B4-BE49-F238E27FC236}">
                  <a16:creationId xmlns:a16="http://schemas.microsoft.com/office/drawing/2014/main" id="{163A6630-51CA-8F0C-FE92-E0A0DF84D013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16</xdr:col>
      <xdr:colOff>531400</xdr:colOff>
      <xdr:row>193</xdr:row>
      <xdr:rowOff>98851</xdr:rowOff>
    </xdr:from>
    <xdr:to>
      <xdr:col>16</xdr:col>
      <xdr:colOff>553172</xdr:colOff>
      <xdr:row>204</xdr:row>
      <xdr:rowOff>39741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219D2C25-6F8B-45F2-9B78-5112231B7ED7}"/>
            </a:ext>
          </a:extLst>
        </xdr:cNvPr>
        <xdr:cNvCxnSpPr/>
      </xdr:nvCxnSpPr>
      <xdr:spPr>
        <a:xfrm flipV="1">
          <a:off x="10773576" y="35811998"/>
          <a:ext cx="21772" cy="165539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326692</xdr:colOff>
      <xdr:row>201</xdr:row>
      <xdr:rowOff>17461</xdr:rowOff>
    </xdr:from>
    <xdr:to>
      <xdr:col>16</xdr:col>
      <xdr:colOff>475293</xdr:colOff>
      <xdr:row>201</xdr:row>
      <xdr:rowOff>38514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3398631-647D-4CE3-9563-929F223F0474}"/>
            </a:ext>
          </a:extLst>
        </xdr:cNvPr>
        <xdr:cNvCxnSpPr/>
      </xdr:nvCxnSpPr>
      <xdr:spPr>
        <a:xfrm>
          <a:off x="4114280" y="36974461"/>
          <a:ext cx="6603189" cy="21053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269999</xdr:colOff>
      <xdr:row>148</xdr:row>
      <xdr:rowOff>136507</xdr:rowOff>
    </xdr:from>
    <xdr:to>
      <xdr:col>11</xdr:col>
      <xdr:colOff>270000</xdr:colOff>
      <xdr:row>159</xdr:row>
      <xdr:rowOff>18165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EBB02DFB-CF2D-4D07-A714-380456F5A41E}"/>
            </a:ext>
          </a:extLst>
        </xdr:cNvPr>
        <xdr:cNvCxnSpPr/>
      </xdr:nvCxnSpPr>
      <xdr:spPr>
        <a:xfrm rot="5400000">
          <a:off x="6139421" y="27271210"/>
          <a:ext cx="1500908" cy="1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223447</xdr:colOff>
      <xdr:row>86</xdr:row>
      <xdr:rowOff>131225</xdr:rowOff>
    </xdr:from>
    <xdr:to>
      <xdr:col>8</xdr:col>
      <xdr:colOff>234994</xdr:colOff>
      <xdr:row>97</xdr:row>
      <xdr:rowOff>93707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C754797-4145-4775-8764-FA2691A02870}"/>
            </a:ext>
          </a:extLst>
        </xdr:cNvPr>
        <xdr:cNvCxnSpPr/>
      </xdr:nvCxnSpPr>
      <xdr:spPr>
        <a:xfrm rot="16200000" flipV="1">
          <a:off x="3915105" y="17108817"/>
          <a:ext cx="1581732" cy="1154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77765</xdr:colOff>
      <xdr:row>92</xdr:row>
      <xdr:rowOff>128589</xdr:rowOff>
    </xdr:from>
    <xdr:to>
      <xdr:col>12</xdr:col>
      <xdr:colOff>378360</xdr:colOff>
      <xdr:row>94</xdr:row>
      <xdr:rowOff>66532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82FB421-202C-48D7-9C25-F725EF0B7D83}"/>
            </a:ext>
          </a:extLst>
        </xdr:cNvPr>
        <xdr:cNvSpPr/>
      </xdr:nvSpPr>
      <xdr:spPr>
        <a:xfrm>
          <a:off x="7412015" y="17178339"/>
          <a:ext cx="300595" cy="271318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12</xdr:col>
      <xdr:colOff>190125</xdr:colOff>
      <xdr:row>26</xdr:row>
      <xdr:rowOff>18423</xdr:rowOff>
    </xdr:from>
    <xdr:to>
      <xdr:col>13</xdr:col>
      <xdr:colOff>399213</xdr:colOff>
      <xdr:row>31</xdr:row>
      <xdr:rowOff>26688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C0D3AC0-8E3C-4046-B154-08799C39236D}"/>
            </a:ext>
          </a:extLst>
        </xdr:cNvPr>
        <xdr:cNvSpPr txBox="1"/>
      </xdr:nvSpPr>
      <xdr:spPr>
        <a:xfrm>
          <a:off x="7524375" y="5542923"/>
          <a:ext cx="923463" cy="1079828"/>
        </a:xfrm>
        <a:prstGeom prst="rect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/>
            <a:t>Kandang ayam</a:t>
          </a:r>
        </a:p>
      </xdr:txBody>
    </xdr:sp>
    <xdr:clientData/>
  </xdr:twoCellAnchor>
  <xdr:twoCellAnchor>
    <xdr:from>
      <xdr:col>7</xdr:col>
      <xdr:colOff>50310</xdr:colOff>
      <xdr:row>149</xdr:row>
      <xdr:rowOff>115481</xdr:rowOff>
    </xdr:from>
    <xdr:to>
      <xdr:col>10</xdr:col>
      <xdr:colOff>500949</xdr:colOff>
      <xdr:row>149</xdr:row>
      <xdr:rowOff>144730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EF4E1CD0-BBC1-49DB-943D-20A08C5C2CAA}"/>
            </a:ext>
          </a:extLst>
        </xdr:cNvPr>
        <xdr:cNvCxnSpPr>
          <a:stCxn id="582" idx="0"/>
        </xdr:cNvCxnSpPr>
      </xdr:nvCxnSpPr>
      <xdr:spPr>
        <a:xfrm flipH="1" flipV="1">
          <a:off x="3812685" y="26666419"/>
          <a:ext cx="2593764" cy="29249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</xdr:colOff>
      <xdr:row>93</xdr:row>
      <xdr:rowOff>69578</xdr:rowOff>
    </xdr:from>
    <xdr:to>
      <xdr:col>13</xdr:col>
      <xdr:colOff>301154</xdr:colOff>
      <xdr:row>95</xdr:row>
      <xdr:rowOff>31334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79E9F89-B328-4A14-8B0C-4EEE50826199}"/>
            </a:ext>
          </a:extLst>
        </xdr:cNvPr>
        <xdr:cNvSpPr/>
      </xdr:nvSpPr>
      <xdr:spPr>
        <a:xfrm>
          <a:off x="8049186" y="17286016"/>
          <a:ext cx="300593" cy="271318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7</xdr:col>
      <xdr:colOff>596724</xdr:colOff>
      <xdr:row>88</xdr:row>
      <xdr:rowOff>81059</xdr:rowOff>
    </xdr:from>
    <xdr:to>
      <xdr:col>9</xdr:col>
      <xdr:colOff>113481</xdr:colOff>
      <xdr:row>89</xdr:row>
      <xdr:rowOff>126827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BAC9AF8-2E5B-4EDF-B322-EFB28E1B3537}"/>
            </a:ext>
          </a:extLst>
        </xdr:cNvPr>
        <xdr:cNvCxnSpPr>
          <a:stCxn id="517" idx="7"/>
          <a:endCxn id="513" idx="1"/>
        </xdr:cNvCxnSpPr>
      </xdr:nvCxnSpPr>
      <xdr:spPr>
        <a:xfrm flipH="1" flipV="1">
          <a:off x="4393117" y="18001666"/>
          <a:ext cx="959114" cy="24987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61337</xdr:colOff>
      <xdr:row>23</xdr:row>
      <xdr:rowOff>67720</xdr:rowOff>
    </xdr:from>
    <xdr:to>
      <xdr:col>7</xdr:col>
      <xdr:colOff>145143</xdr:colOff>
      <xdr:row>23</xdr:row>
      <xdr:rowOff>112038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777233C1-169E-4EDE-835A-D6720409C390}"/>
            </a:ext>
          </a:extLst>
        </xdr:cNvPr>
        <xdr:cNvCxnSpPr>
          <a:endCxn id="17" idx="4"/>
        </xdr:cNvCxnSpPr>
      </xdr:nvCxnSpPr>
      <xdr:spPr>
        <a:xfrm>
          <a:off x="2394962" y="4949283"/>
          <a:ext cx="1512556" cy="44318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439512</xdr:colOff>
      <xdr:row>2</xdr:row>
      <xdr:rowOff>122463</xdr:rowOff>
    </xdr:from>
    <xdr:to>
      <xdr:col>21</xdr:col>
      <xdr:colOff>313360</xdr:colOff>
      <xdr:row>8</xdr:row>
      <xdr:rowOff>12357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6940D1-512D-4B7D-AB72-06C2D29C9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12890048" y="489856"/>
          <a:ext cx="1316205" cy="1113519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25</xdr:row>
      <xdr:rowOff>5441</xdr:rowOff>
    </xdr:from>
    <xdr:to>
      <xdr:col>20</xdr:col>
      <xdr:colOff>270783</xdr:colOff>
      <xdr:row>25</xdr:row>
      <xdr:rowOff>148316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8EF2051A-2483-4C43-9357-C132E913FC3A}"/>
            </a:ext>
          </a:extLst>
        </xdr:cNvPr>
        <xdr:cNvCxnSpPr/>
      </xdr:nvCxnSpPr>
      <xdr:spPr>
        <a:xfrm flipH="1" flipV="1">
          <a:off x="1952625" y="5315629"/>
          <a:ext cx="11367408" cy="14287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145876</xdr:colOff>
      <xdr:row>23</xdr:row>
      <xdr:rowOff>112038</xdr:rowOff>
    </xdr:from>
    <xdr:to>
      <xdr:col>20</xdr:col>
      <xdr:colOff>407064</xdr:colOff>
      <xdr:row>24</xdr:row>
      <xdr:rowOff>24858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4E1C84DD-38B2-49F7-9B6B-BE0BC3C1EF89}"/>
            </a:ext>
          </a:extLst>
        </xdr:cNvPr>
        <xdr:cNvCxnSpPr>
          <a:endCxn id="17" idx="4"/>
        </xdr:cNvCxnSpPr>
      </xdr:nvCxnSpPr>
      <xdr:spPr>
        <a:xfrm flipH="1" flipV="1">
          <a:off x="3908251" y="4993601"/>
          <a:ext cx="9548063" cy="127132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15</xdr:row>
      <xdr:rowOff>129266</xdr:rowOff>
    </xdr:from>
    <xdr:to>
      <xdr:col>4</xdr:col>
      <xdr:colOff>412297</xdr:colOff>
      <xdr:row>32</xdr:row>
      <xdr:rowOff>162604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A9878C2-09A6-4EA0-975C-DE83C88FC29C}"/>
            </a:ext>
          </a:extLst>
        </xdr:cNvPr>
        <xdr:cNvCxnSpPr/>
      </xdr:nvCxnSpPr>
      <xdr:spPr>
        <a:xfrm rot="16200000" flipV="1">
          <a:off x="182336" y="5123768"/>
          <a:ext cx="3676650" cy="2177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65315</xdr:colOff>
      <xdr:row>22</xdr:row>
      <xdr:rowOff>172129</xdr:rowOff>
    </xdr:from>
    <xdr:to>
      <xdr:col>7</xdr:col>
      <xdr:colOff>222250</xdr:colOff>
      <xdr:row>23</xdr:row>
      <xdr:rowOff>112038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9EBFA1F7-5223-4FEE-B207-23EECA12D297}"/>
            </a:ext>
          </a:extLst>
        </xdr:cNvPr>
        <xdr:cNvGrpSpPr/>
      </xdr:nvGrpSpPr>
      <xdr:grpSpPr>
        <a:xfrm>
          <a:off x="3861708" y="4621665"/>
          <a:ext cx="156935" cy="1440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D2DAC9B1-C58F-056D-4CA3-24B90D0C091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4A68459A-05A1-21EA-77DB-2CD22C69F711}"/>
              </a:ext>
            </a:extLst>
          </xdr:cNvPr>
          <xdr:cNvCxnSpPr>
            <a:stCxn id="17" idx="1"/>
            <a:endCxn id="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B7402818-1A82-3599-47FE-1686D590D62C}"/>
              </a:ext>
            </a:extLst>
          </xdr:cNvPr>
          <xdr:cNvCxnSpPr>
            <a:stCxn id="17" idx="3"/>
            <a:endCxn id="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354762</xdr:colOff>
      <xdr:row>23</xdr:row>
      <xdr:rowOff>21805</xdr:rowOff>
    </xdr:from>
    <xdr:to>
      <xdr:col>13</xdr:col>
      <xdr:colOff>508976</xdr:colOff>
      <xdr:row>23</xdr:row>
      <xdr:rowOff>180912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AA5A844E-BE07-4EF7-8CB6-216A57A03768}"/>
            </a:ext>
          </a:extLst>
        </xdr:cNvPr>
        <xdr:cNvGrpSpPr/>
      </xdr:nvGrpSpPr>
      <xdr:grpSpPr>
        <a:xfrm>
          <a:off x="8478226" y="4675448"/>
          <a:ext cx="154214" cy="15910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BD0C54EC-2FCC-0950-4001-C296BF4FC3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EF02357B-7D41-E3EE-D755-193B50AE41FB}"/>
              </a:ext>
            </a:extLst>
          </xdr:cNvPr>
          <xdr:cNvCxnSpPr>
            <a:stCxn id="21" idx="1"/>
            <a:endCxn id="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7D3D7FCD-9CC2-1DE1-8844-B7DBB08EB11F}"/>
              </a:ext>
            </a:extLst>
          </xdr:cNvPr>
          <xdr:cNvCxnSpPr>
            <a:stCxn id="21" idx="3"/>
            <a:endCxn id="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370812</xdr:colOff>
      <xdr:row>23</xdr:row>
      <xdr:rowOff>1778</xdr:rowOff>
    </xdr:from>
    <xdr:to>
      <xdr:col>11</xdr:col>
      <xdr:colOff>525026</xdr:colOff>
      <xdr:row>23</xdr:row>
      <xdr:rowOff>156000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FE9374E5-2E46-4B79-98C5-EE31DD2D6E95}"/>
            </a:ext>
          </a:extLst>
        </xdr:cNvPr>
        <xdr:cNvGrpSpPr/>
      </xdr:nvGrpSpPr>
      <xdr:grpSpPr>
        <a:xfrm>
          <a:off x="7051919" y="4655421"/>
          <a:ext cx="154214" cy="1542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8F0593A4-9694-4330-8548-7D886C26A27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A7FD4C1C-DE54-7077-5E38-7D5B6CF937B5}"/>
              </a:ext>
            </a:extLst>
          </xdr:cNvPr>
          <xdr:cNvCxnSpPr>
            <a:stCxn id="25" idx="1"/>
            <a:endCxn id="2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6CFA413-8E08-21E5-BE07-FB44905EBF04}"/>
              </a:ext>
            </a:extLst>
          </xdr:cNvPr>
          <xdr:cNvCxnSpPr>
            <a:stCxn id="25" idx="3"/>
            <a:endCxn id="2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416240</xdr:colOff>
      <xdr:row>23</xdr:row>
      <xdr:rowOff>57950</xdr:rowOff>
    </xdr:from>
    <xdr:to>
      <xdr:col>17</xdr:col>
      <xdr:colOff>570454</xdr:colOff>
      <xdr:row>23</xdr:row>
      <xdr:rowOff>212173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A805304C-EB14-4BD6-8D66-0562C038E88A}"/>
            </a:ext>
          </a:extLst>
        </xdr:cNvPr>
        <xdr:cNvGrpSpPr/>
      </xdr:nvGrpSpPr>
      <xdr:grpSpPr>
        <a:xfrm>
          <a:off x="11424419" y="4711593"/>
          <a:ext cx="154214" cy="14469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F8A3BC67-8902-1005-FD03-0928B71D5AB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B4DBD1B3-147E-37A2-2B8F-8D6B755FB324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3228CF2C-C919-4C7D-DBBC-7A7825EF5FC7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130629</xdr:colOff>
      <xdr:row>22</xdr:row>
      <xdr:rowOff>199484</xdr:rowOff>
    </xdr:from>
    <xdr:to>
      <xdr:col>9</xdr:col>
      <xdr:colOff>284843</xdr:colOff>
      <xdr:row>23</xdr:row>
      <xdr:rowOff>139393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87EA4320-7CF5-4300-9986-BC5ADBB8BDDB}"/>
            </a:ext>
          </a:extLst>
        </xdr:cNvPr>
        <xdr:cNvGrpSpPr/>
      </xdr:nvGrpSpPr>
      <xdr:grpSpPr>
        <a:xfrm>
          <a:off x="5369379" y="4649020"/>
          <a:ext cx="154214" cy="1440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9A771D00-A784-6984-75CF-C2B24DE1BEA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178E89C7-8BA7-0519-6FE9-BA91222C7E7E}"/>
              </a:ext>
            </a:extLst>
          </xdr:cNvPr>
          <xdr:cNvCxnSpPr>
            <a:stCxn id="33" idx="1"/>
            <a:endCxn id="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E8D92726-4244-029D-EEC0-177FB018249E}"/>
              </a:ext>
            </a:extLst>
          </xdr:cNvPr>
          <xdr:cNvCxnSpPr>
            <a:stCxn id="33" idx="3"/>
            <a:endCxn id="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303963</xdr:colOff>
      <xdr:row>23</xdr:row>
      <xdr:rowOff>69674</xdr:rowOff>
    </xdr:from>
    <xdr:to>
      <xdr:col>19</xdr:col>
      <xdr:colOff>458177</xdr:colOff>
      <xdr:row>24</xdr:row>
      <xdr:rowOff>4700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B6198138-1022-4E48-87BE-49E64FFB684D}"/>
            </a:ext>
          </a:extLst>
        </xdr:cNvPr>
        <xdr:cNvGrpSpPr/>
      </xdr:nvGrpSpPr>
      <xdr:grpSpPr>
        <a:xfrm>
          <a:off x="12754499" y="4723317"/>
          <a:ext cx="154214" cy="13913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9D72721B-E658-7A3B-007B-6BF715E4036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89E99BDA-4C42-6879-1725-896F3C85A491}"/>
              </a:ext>
            </a:extLst>
          </xdr:cNvPr>
          <xdr:cNvCxnSpPr>
            <a:stCxn id="37" idx="1"/>
            <a:endCxn id="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6E44CDBD-B79E-BEBF-4520-9408745824A2}"/>
              </a:ext>
            </a:extLst>
          </xdr:cNvPr>
          <xdr:cNvCxnSpPr>
            <a:stCxn id="37" idx="3"/>
            <a:endCxn id="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350820</xdr:colOff>
      <xdr:row>23</xdr:row>
      <xdr:rowOff>7639</xdr:rowOff>
    </xdr:from>
    <xdr:to>
      <xdr:col>12</xdr:col>
      <xdr:colOff>505034</xdr:colOff>
      <xdr:row>23</xdr:row>
      <xdr:rowOff>161861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2A5FF522-E6AA-4812-A718-0879301B220A}"/>
            </a:ext>
          </a:extLst>
        </xdr:cNvPr>
        <xdr:cNvGrpSpPr/>
      </xdr:nvGrpSpPr>
      <xdr:grpSpPr>
        <a:xfrm>
          <a:off x="7753106" y="4661282"/>
          <a:ext cx="154214" cy="1542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1" name="Oval 40">
            <a:extLst>
              <a:ext uri="{FF2B5EF4-FFF2-40B4-BE49-F238E27FC236}">
                <a16:creationId xmlns:a16="http://schemas.microsoft.com/office/drawing/2014/main" id="{1A1C1390-FAF3-DBFB-2591-7FD03C8C245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5E30D0D9-86AF-B1EF-4FC8-3F0EFCADC43C}"/>
              </a:ext>
            </a:extLst>
          </xdr:cNvPr>
          <xdr:cNvCxnSpPr>
            <a:stCxn id="41" idx="1"/>
            <a:endCxn id="4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E6C0D2EB-C838-7CE8-395E-3A2621AFD29E}"/>
              </a:ext>
            </a:extLst>
          </xdr:cNvPr>
          <xdr:cNvCxnSpPr>
            <a:stCxn id="41" idx="3"/>
            <a:endCxn id="4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353736</xdr:colOff>
      <xdr:row>23</xdr:row>
      <xdr:rowOff>18874</xdr:rowOff>
    </xdr:from>
    <xdr:to>
      <xdr:col>14</xdr:col>
      <xdr:colOff>507950</xdr:colOff>
      <xdr:row>23</xdr:row>
      <xdr:rowOff>177981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C9E8784C-C7CC-4C0C-9B32-F8A10AAF27C0}"/>
            </a:ext>
          </a:extLst>
        </xdr:cNvPr>
        <xdr:cNvGrpSpPr/>
      </xdr:nvGrpSpPr>
      <xdr:grpSpPr>
        <a:xfrm>
          <a:off x="9198379" y="4672517"/>
          <a:ext cx="154214" cy="15910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C6A70D7E-2BCE-8F97-FE8F-60F673698C1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D5FC9844-17D4-334D-6A00-55E8C008402D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DD5C7F13-E225-D693-CF01-3EE2970A30CC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371963</xdr:colOff>
      <xdr:row>23</xdr:row>
      <xdr:rowOff>38412</xdr:rowOff>
    </xdr:from>
    <xdr:to>
      <xdr:col>16</xdr:col>
      <xdr:colOff>532807</xdr:colOff>
      <xdr:row>23</xdr:row>
      <xdr:rowOff>197519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2F86D70F-CD10-489C-B123-A7662BCE7C17}"/>
            </a:ext>
          </a:extLst>
        </xdr:cNvPr>
        <xdr:cNvGrpSpPr/>
      </xdr:nvGrpSpPr>
      <xdr:grpSpPr>
        <a:xfrm>
          <a:off x="10658963" y="4692055"/>
          <a:ext cx="160844" cy="15910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E242933E-7AB2-3F60-6822-6859638D967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79903A23-EE5A-BD6B-AE6F-F836F70C5FF2}"/>
              </a:ext>
            </a:extLst>
          </xdr:cNvPr>
          <xdr:cNvCxnSpPr>
            <a:stCxn id="49" idx="1"/>
            <a:endCxn id="4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12A40C76-5443-CAD7-171A-C996EAA0B58D}"/>
              </a:ext>
            </a:extLst>
          </xdr:cNvPr>
          <xdr:cNvCxnSpPr>
            <a:stCxn id="49" idx="3"/>
            <a:endCxn id="4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334214</xdr:colOff>
      <xdr:row>23</xdr:row>
      <xdr:rowOff>77490</xdr:rowOff>
    </xdr:from>
    <xdr:to>
      <xdr:col>18</xdr:col>
      <xdr:colOff>488428</xdr:colOff>
      <xdr:row>24</xdr:row>
      <xdr:rowOff>12516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961DB82E-84AF-4610-B4CF-6E0E78FD9C2D}"/>
            </a:ext>
          </a:extLst>
        </xdr:cNvPr>
        <xdr:cNvGrpSpPr/>
      </xdr:nvGrpSpPr>
      <xdr:grpSpPr>
        <a:xfrm>
          <a:off x="12063571" y="4731133"/>
          <a:ext cx="154214" cy="13913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3" name="Oval 52">
            <a:extLst>
              <a:ext uri="{FF2B5EF4-FFF2-40B4-BE49-F238E27FC236}">
                <a16:creationId xmlns:a16="http://schemas.microsoft.com/office/drawing/2014/main" id="{7E066A40-48CA-6FCF-F9EE-0F59ED53FDE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F0CF88FB-88DA-8B31-D70B-B9B4DEA696D4}"/>
              </a:ext>
            </a:extLst>
          </xdr:cNvPr>
          <xdr:cNvCxnSpPr>
            <a:stCxn id="53" idx="1"/>
            <a:endCxn id="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62FAC562-7729-A9A9-FB3F-DE232C4B9327}"/>
              </a:ext>
            </a:extLst>
          </xdr:cNvPr>
          <xdr:cNvCxnSpPr>
            <a:stCxn id="53" idx="3"/>
            <a:endCxn id="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233728</xdr:colOff>
      <xdr:row>22</xdr:row>
      <xdr:rowOff>195575</xdr:rowOff>
    </xdr:from>
    <xdr:to>
      <xdr:col>10</xdr:col>
      <xdr:colOff>387942</xdr:colOff>
      <xdr:row>23</xdr:row>
      <xdr:rowOff>135484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BEF56DF0-8B99-43FE-BA6B-94733952B20A}"/>
            </a:ext>
          </a:extLst>
        </xdr:cNvPr>
        <xdr:cNvGrpSpPr/>
      </xdr:nvGrpSpPr>
      <xdr:grpSpPr>
        <a:xfrm>
          <a:off x="6193657" y="4645111"/>
          <a:ext cx="154214" cy="1440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83680F60-93A6-5FFD-FDD0-FC7D3AB5366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26827773-7C15-3E94-015F-7592B2FBD4EA}"/>
              </a:ext>
            </a:extLst>
          </xdr:cNvPr>
          <xdr:cNvCxnSpPr>
            <a:stCxn id="57" idx="1"/>
            <a:endCxn id="5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D83E5CA6-C8C4-2B4E-DB72-170584A7727D}"/>
              </a:ext>
            </a:extLst>
          </xdr:cNvPr>
          <xdr:cNvCxnSpPr>
            <a:stCxn id="57" idx="3"/>
            <a:endCxn id="5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61233</xdr:colOff>
      <xdr:row>22</xdr:row>
      <xdr:rowOff>191179</xdr:rowOff>
    </xdr:from>
    <xdr:to>
      <xdr:col>8</xdr:col>
      <xdr:colOff>215447</xdr:colOff>
      <xdr:row>23</xdr:row>
      <xdr:rowOff>131088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04149653-D239-4C2F-BE0C-ED12585F94BE}"/>
            </a:ext>
          </a:extLst>
        </xdr:cNvPr>
        <xdr:cNvGrpSpPr/>
      </xdr:nvGrpSpPr>
      <xdr:grpSpPr>
        <a:xfrm>
          <a:off x="4578804" y="4640715"/>
          <a:ext cx="154214" cy="1440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1" name="Oval 60">
            <a:extLst>
              <a:ext uri="{FF2B5EF4-FFF2-40B4-BE49-F238E27FC236}">
                <a16:creationId xmlns:a16="http://schemas.microsoft.com/office/drawing/2014/main" id="{6800CD44-3556-677C-0B85-A9604EB744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19205161-D30A-FD7C-704A-2EC99868AB88}"/>
              </a:ext>
            </a:extLst>
          </xdr:cNvPr>
          <xdr:cNvCxnSpPr>
            <a:stCxn id="61" idx="1"/>
            <a:endCxn id="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A5A190A4-7A1D-CF17-9A77-636A38F8F142}"/>
              </a:ext>
            </a:extLst>
          </xdr:cNvPr>
          <xdr:cNvCxnSpPr>
            <a:stCxn id="61" idx="3"/>
            <a:endCxn id="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379256</xdr:colOff>
      <xdr:row>23</xdr:row>
      <xdr:rowOff>38900</xdr:rowOff>
    </xdr:from>
    <xdr:to>
      <xdr:col>15</xdr:col>
      <xdr:colOff>537657</xdr:colOff>
      <xdr:row>23</xdr:row>
      <xdr:rowOff>198007</xdr:rowOff>
    </xdr:to>
    <xdr:grpSp>
      <xdr:nvGrpSpPr>
        <xdr:cNvPr id="494" name="Group 493">
          <a:extLst>
            <a:ext uri="{FF2B5EF4-FFF2-40B4-BE49-F238E27FC236}">
              <a16:creationId xmlns:a16="http://schemas.microsoft.com/office/drawing/2014/main" id="{409A16BB-BFC2-44FA-AC29-5163475D945C}"/>
            </a:ext>
          </a:extLst>
        </xdr:cNvPr>
        <xdr:cNvGrpSpPr/>
      </xdr:nvGrpSpPr>
      <xdr:grpSpPr>
        <a:xfrm>
          <a:off x="9945077" y="4692543"/>
          <a:ext cx="158401" cy="15910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95" name="Oval 494">
            <a:extLst>
              <a:ext uri="{FF2B5EF4-FFF2-40B4-BE49-F238E27FC236}">
                <a16:creationId xmlns:a16="http://schemas.microsoft.com/office/drawing/2014/main" id="{1D385093-249D-FF4D-2D85-F620DC8F1DB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496" name="Straight Connector 495">
            <a:extLst>
              <a:ext uri="{FF2B5EF4-FFF2-40B4-BE49-F238E27FC236}">
                <a16:creationId xmlns:a16="http://schemas.microsoft.com/office/drawing/2014/main" id="{27454762-A21D-9856-6685-46CD68A71AE7}"/>
              </a:ext>
            </a:extLst>
          </xdr:cNvPr>
          <xdr:cNvCxnSpPr>
            <a:stCxn id="495" idx="1"/>
            <a:endCxn id="4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7" name="Straight Connector 496">
            <a:extLst>
              <a:ext uri="{FF2B5EF4-FFF2-40B4-BE49-F238E27FC236}">
                <a16:creationId xmlns:a16="http://schemas.microsoft.com/office/drawing/2014/main" id="{BD8EDE26-C96B-3BC1-891D-64A5F5EB0DE7}"/>
              </a:ext>
            </a:extLst>
          </xdr:cNvPr>
          <xdr:cNvCxnSpPr>
            <a:stCxn id="495" idx="3"/>
            <a:endCxn id="4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693965</xdr:colOff>
      <xdr:row>26</xdr:row>
      <xdr:rowOff>109118</xdr:rowOff>
    </xdr:from>
    <xdr:to>
      <xdr:col>7</xdr:col>
      <xdr:colOff>137990</xdr:colOff>
      <xdr:row>27</xdr:row>
      <xdr:rowOff>49027</xdr:rowOff>
    </xdr:to>
    <xdr:grpSp>
      <xdr:nvGrpSpPr>
        <xdr:cNvPr id="498" name="Group 497">
          <a:extLst>
            <a:ext uri="{FF2B5EF4-FFF2-40B4-BE49-F238E27FC236}">
              <a16:creationId xmlns:a16="http://schemas.microsoft.com/office/drawing/2014/main" id="{ACCD6330-7400-4783-9A80-EF882573FB6E}"/>
            </a:ext>
          </a:extLst>
        </xdr:cNvPr>
        <xdr:cNvGrpSpPr/>
      </xdr:nvGrpSpPr>
      <xdr:grpSpPr>
        <a:xfrm>
          <a:off x="3769179" y="5375082"/>
          <a:ext cx="165204" cy="1440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99" name="Oval 498">
            <a:extLst>
              <a:ext uri="{FF2B5EF4-FFF2-40B4-BE49-F238E27FC236}">
                <a16:creationId xmlns:a16="http://schemas.microsoft.com/office/drawing/2014/main" id="{50552594-1C89-4F55-530F-59111B04A52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00" name="Straight Connector 499">
            <a:extLst>
              <a:ext uri="{FF2B5EF4-FFF2-40B4-BE49-F238E27FC236}">
                <a16:creationId xmlns:a16="http://schemas.microsoft.com/office/drawing/2014/main" id="{CD5E1F50-16ED-B2CF-8B4C-6F6A52A90401}"/>
              </a:ext>
            </a:extLst>
          </xdr:cNvPr>
          <xdr:cNvCxnSpPr>
            <a:stCxn id="499" idx="1"/>
            <a:endCxn id="4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CD8D7738-5F40-464C-D5CE-87241DAE5767}"/>
              </a:ext>
            </a:extLst>
          </xdr:cNvPr>
          <xdr:cNvCxnSpPr>
            <a:stCxn id="499" idx="3"/>
            <a:endCxn id="4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146677</xdr:colOff>
      <xdr:row>26</xdr:row>
      <xdr:rowOff>122307</xdr:rowOff>
    </xdr:from>
    <xdr:to>
      <xdr:col>7</xdr:col>
      <xdr:colOff>299426</xdr:colOff>
      <xdr:row>27</xdr:row>
      <xdr:rowOff>62215</xdr:rowOff>
    </xdr:to>
    <xdr:grpSp>
      <xdr:nvGrpSpPr>
        <xdr:cNvPr id="502" name="Group 501">
          <a:extLst>
            <a:ext uri="{FF2B5EF4-FFF2-40B4-BE49-F238E27FC236}">
              <a16:creationId xmlns:a16="http://schemas.microsoft.com/office/drawing/2014/main" id="{D50EDBFC-9D22-4F7B-BD6F-78371FD183FD}"/>
            </a:ext>
          </a:extLst>
        </xdr:cNvPr>
        <xdr:cNvGrpSpPr/>
      </xdr:nvGrpSpPr>
      <xdr:grpSpPr>
        <a:xfrm>
          <a:off x="3943070" y="5388271"/>
          <a:ext cx="152749" cy="1440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03" name="Oval 502">
            <a:extLst>
              <a:ext uri="{FF2B5EF4-FFF2-40B4-BE49-F238E27FC236}">
                <a16:creationId xmlns:a16="http://schemas.microsoft.com/office/drawing/2014/main" id="{F1972420-CAEA-F3F6-6B14-C2DA603CA13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04" name="Straight Connector 503">
            <a:extLst>
              <a:ext uri="{FF2B5EF4-FFF2-40B4-BE49-F238E27FC236}">
                <a16:creationId xmlns:a16="http://schemas.microsoft.com/office/drawing/2014/main" id="{2C744963-89E0-8499-2532-BFFBA1399CDE}"/>
              </a:ext>
            </a:extLst>
          </xdr:cNvPr>
          <xdr:cNvCxnSpPr>
            <a:stCxn id="503" idx="1"/>
            <a:endCxn id="50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5" name="Straight Connector 504">
            <a:extLst>
              <a:ext uri="{FF2B5EF4-FFF2-40B4-BE49-F238E27FC236}">
                <a16:creationId xmlns:a16="http://schemas.microsoft.com/office/drawing/2014/main" id="{B381FA28-0EA5-B0B2-78D0-EB429ECFFDDC}"/>
              </a:ext>
            </a:extLst>
          </xdr:cNvPr>
          <xdr:cNvCxnSpPr>
            <a:stCxn id="503" idx="3"/>
            <a:endCxn id="50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451620</xdr:colOff>
      <xdr:row>27</xdr:row>
      <xdr:rowOff>121940</xdr:rowOff>
    </xdr:from>
    <xdr:to>
      <xdr:col>7</xdr:col>
      <xdr:colOff>597040</xdr:colOff>
      <xdr:row>32</xdr:row>
      <xdr:rowOff>10204</xdr:rowOff>
    </xdr:to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14233C81-F14A-49A5-9891-9697062E857E}"/>
            </a:ext>
          </a:extLst>
        </xdr:cNvPr>
        <xdr:cNvSpPr txBox="1"/>
      </xdr:nvSpPr>
      <xdr:spPr>
        <a:xfrm>
          <a:off x="3499620" y="5860753"/>
          <a:ext cx="859795" cy="959826"/>
        </a:xfrm>
        <a:prstGeom prst="rect">
          <a:avLst/>
        </a:prstGeom>
        <a:noFill/>
        <a:ln w="9525" cmpd="sng">
          <a:solidFill>
            <a:schemeClr val="tx2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/>
            <a:t>SELEP</a:t>
          </a:r>
        </a:p>
      </xdr:txBody>
    </xdr:sp>
    <xdr:clientData/>
  </xdr:twoCellAnchor>
  <xdr:oneCellAnchor>
    <xdr:from>
      <xdr:col>7</xdr:col>
      <xdr:colOff>257983</xdr:colOff>
      <xdr:row>25</xdr:row>
      <xdr:rowOff>100967</xdr:rowOff>
    </xdr:from>
    <xdr:ext cx="289695" cy="217560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3A3EDB48-EF1E-4AB9-B292-6CFBDA99699C}"/>
            </a:ext>
          </a:extLst>
        </xdr:cNvPr>
        <xdr:cNvSpPr txBox="1"/>
      </xdr:nvSpPr>
      <xdr:spPr>
        <a:xfrm>
          <a:off x="4020358" y="5411155"/>
          <a:ext cx="28969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800" b="0">
              <a:solidFill>
                <a:schemeClr val="tx1"/>
              </a:solidFill>
              <a:latin typeface="+mn-lt"/>
              <a:ea typeface="+mn-ea"/>
              <a:cs typeface="+mn-cs"/>
            </a:rPr>
            <a:t>3P</a:t>
          </a:r>
          <a:endParaRPr lang="en-US" sz="800" b="0"/>
        </a:p>
      </xdr:txBody>
    </xdr:sp>
    <xdr:clientData/>
  </xdr:oneCellAnchor>
  <xdr:twoCellAnchor>
    <xdr:from>
      <xdr:col>7</xdr:col>
      <xdr:colOff>144236</xdr:colOff>
      <xdr:row>23</xdr:row>
      <xdr:rowOff>112038</xdr:rowOff>
    </xdr:from>
    <xdr:to>
      <xdr:col>7</xdr:col>
      <xdr:colOff>145143</xdr:colOff>
      <xdr:row>26</xdr:row>
      <xdr:rowOff>162604</xdr:rowOff>
    </xdr:to>
    <xdr:cxnSp macro="">
      <xdr:nvCxnSpPr>
        <xdr:cNvPr id="508" name="Straight Connector 507">
          <a:extLst>
            <a:ext uri="{FF2B5EF4-FFF2-40B4-BE49-F238E27FC236}">
              <a16:creationId xmlns:a16="http://schemas.microsoft.com/office/drawing/2014/main" id="{016D5DBD-37C7-4333-B482-34E808724F75}"/>
            </a:ext>
          </a:extLst>
        </xdr:cNvPr>
        <xdr:cNvCxnSpPr>
          <a:stCxn id="17" idx="4"/>
        </xdr:cNvCxnSpPr>
      </xdr:nvCxnSpPr>
      <xdr:spPr>
        <a:xfrm flipH="1">
          <a:off x="3906611" y="4993601"/>
          <a:ext cx="907" cy="693503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412297</xdr:colOff>
      <xdr:row>28</xdr:row>
      <xdr:rowOff>146973</xdr:rowOff>
    </xdr:from>
    <xdr:ext cx="184731" cy="217560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9F71C86E-7C0C-4396-8750-03CB16B511E5}"/>
            </a:ext>
          </a:extLst>
        </xdr:cNvPr>
        <xdr:cNvSpPr txBox="1"/>
      </xdr:nvSpPr>
      <xdr:spPr>
        <a:xfrm>
          <a:off x="10604047" y="6100098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twoCellAnchor>
    <xdr:from>
      <xdr:col>19</xdr:col>
      <xdr:colOff>548337</xdr:colOff>
      <xdr:row>20</xdr:row>
      <xdr:rowOff>211622</xdr:rowOff>
    </xdr:from>
    <xdr:to>
      <xdr:col>20</xdr:col>
      <xdr:colOff>309516</xdr:colOff>
      <xdr:row>23</xdr:row>
      <xdr:rowOff>27839</xdr:rowOff>
    </xdr:to>
    <xdr:sp macro="" textlink="">
      <xdr:nvSpPr>
        <xdr:cNvPr id="510" name="Rectangle 509">
          <a:extLst>
            <a:ext uri="{FF2B5EF4-FFF2-40B4-BE49-F238E27FC236}">
              <a16:creationId xmlns:a16="http://schemas.microsoft.com/office/drawing/2014/main" id="{A51527EF-CD45-45A5-9B36-91D6F6692647}"/>
            </a:ext>
          </a:extLst>
        </xdr:cNvPr>
        <xdr:cNvSpPr/>
      </xdr:nvSpPr>
      <xdr:spPr>
        <a:xfrm>
          <a:off x="12883212" y="4450247"/>
          <a:ext cx="475554" cy="459155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0">
              <a:solidFill>
                <a:schemeClr val="tx1"/>
              </a:solidFill>
            </a:rPr>
            <a:t>PAM</a:t>
          </a:r>
        </a:p>
      </xdr:txBody>
    </xdr:sp>
    <xdr:clientData/>
  </xdr:twoCellAnchor>
  <xdr:twoCellAnchor>
    <xdr:from>
      <xdr:col>8</xdr:col>
      <xdr:colOff>257735</xdr:colOff>
      <xdr:row>86</xdr:row>
      <xdr:rowOff>168089</xdr:rowOff>
    </xdr:from>
    <xdr:to>
      <xdr:col>20</xdr:col>
      <xdr:colOff>526677</xdr:colOff>
      <xdr:row>99</xdr:row>
      <xdr:rowOff>179294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0CC17789-0984-42B8-8436-A267DE19C9A9}"/>
            </a:ext>
          </a:extLst>
        </xdr:cNvPr>
        <xdr:cNvCxnSpPr/>
      </xdr:nvCxnSpPr>
      <xdr:spPr>
        <a:xfrm flipH="1" flipV="1">
          <a:off x="4762500" y="17469971"/>
          <a:ext cx="8875059" cy="263338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184194</xdr:colOff>
      <xdr:row>89</xdr:row>
      <xdr:rowOff>119993</xdr:rowOff>
    </xdr:from>
    <xdr:to>
      <xdr:col>20</xdr:col>
      <xdr:colOff>128322</xdr:colOff>
      <xdr:row>101</xdr:row>
      <xdr:rowOff>138880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AF1EB3F3-A692-422F-B398-5DAC1F79CB78}"/>
            </a:ext>
          </a:extLst>
        </xdr:cNvPr>
        <xdr:cNvCxnSpPr/>
      </xdr:nvCxnSpPr>
      <xdr:spPr>
        <a:xfrm flipH="1" flipV="1">
          <a:off x="5375319" y="16741118"/>
          <a:ext cx="7802253" cy="1781012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357578</xdr:colOff>
      <xdr:row>84</xdr:row>
      <xdr:rowOff>12884</xdr:rowOff>
    </xdr:from>
    <xdr:to>
      <xdr:col>4</xdr:col>
      <xdr:colOff>512205</xdr:colOff>
      <xdr:row>85</xdr:row>
      <xdr:rowOff>25120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55B90300-E53D-438C-8FD3-246D9E603B2C}"/>
            </a:ext>
          </a:extLst>
        </xdr:cNvPr>
        <xdr:cNvGrpSpPr/>
      </xdr:nvGrpSpPr>
      <xdr:grpSpPr>
        <a:xfrm>
          <a:off x="1990435" y="17117063"/>
          <a:ext cx="154627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4" name="Oval 193">
            <a:extLst>
              <a:ext uri="{FF2B5EF4-FFF2-40B4-BE49-F238E27FC236}">
                <a16:creationId xmlns:a16="http://schemas.microsoft.com/office/drawing/2014/main" id="{1402BF4C-AB8D-8F39-41B8-3EA2CCBCE3C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FC8BA62F-2CED-9277-E34C-36FC9CD6803A}"/>
              </a:ext>
            </a:extLst>
          </xdr:cNvPr>
          <xdr:cNvCxnSpPr>
            <a:stCxn id="194" idx="1"/>
            <a:endCxn id="19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4CF404F8-05B0-B13E-3D56-3BB1DA0086D4}"/>
              </a:ext>
            </a:extLst>
          </xdr:cNvPr>
          <xdr:cNvCxnSpPr>
            <a:stCxn id="194" idx="3"/>
            <a:endCxn id="19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12</xdr:col>
      <xdr:colOff>182021</xdr:colOff>
      <xdr:row>81</xdr:row>
      <xdr:rowOff>37419</xdr:rowOff>
    </xdr:from>
    <xdr:ext cx="184731" cy="217560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F641BA1-023F-477F-B6A6-BF2037489467}"/>
            </a:ext>
          </a:extLst>
        </xdr:cNvPr>
        <xdr:cNvSpPr txBox="1"/>
      </xdr:nvSpPr>
      <xdr:spPr>
        <a:xfrm>
          <a:off x="7516271" y="15515544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15</xdr:col>
      <xdr:colOff>175568</xdr:colOff>
      <xdr:row>81</xdr:row>
      <xdr:rowOff>86265</xdr:rowOff>
    </xdr:from>
    <xdr:ext cx="184731" cy="217560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49256250-DC08-4CA3-A4F4-F017FB285D7A}"/>
            </a:ext>
          </a:extLst>
        </xdr:cNvPr>
        <xdr:cNvSpPr txBox="1"/>
      </xdr:nvSpPr>
      <xdr:spPr>
        <a:xfrm>
          <a:off x="9652943" y="1556439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11</xdr:col>
      <xdr:colOff>147306</xdr:colOff>
      <xdr:row>81</xdr:row>
      <xdr:rowOff>37418</xdr:rowOff>
    </xdr:from>
    <xdr:ext cx="184731" cy="217560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F4CF9A7F-C331-4988-B3BF-89AC98D4E9E4}"/>
            </a:ext>
          </a:extLst>
        </xdr:cNvPr>
        <xdr:cNvSpPr txBox="1"/>
      </xdr:nvSpPr>
      <xdr:spPr>
        <a:xfrm>
          <a:off x="6767181" y="15515543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14</xdr:col>
      <xdr:colOff>121314</xdr:colOff>
      <xdr:row>81</xdr:row>
      <xdr:rowOff>56957</xdr:rowOff>
    </xdr:from>
    <xdr:ext cx="184731" cy="217560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5345D42B-64E8-4054-AAEC-A4495253BDC8}"/>
            </a:ext>
          </a:extLst>
        </xdr:cNvPr>
        <xdr:cNvSpPr txBox="1"/>
      </xdr:nvSpPr>
      <xdr:spPr>
        <a:xfrm>
          <a:off x="8884314" y="15535082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8</xdr:col>
      <xdr:colOff>635943</xdr:colOff>
      <xdr:row>80</xdr:row>
      <xdr:rowOff>97255</xdr:rowOff>
    </xdr:from>
    <xdr:ext cx="184731" cy="217560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845AC70D-79C9-4612-8D8A-4A7530BC8666}"/>
            </a:ext>
          </a:extLst>
        </xdr:cNvPr>
        <xdr:cNvSpPr txBox="1"/>
      </xdr:nvSpPr>
      <xdr:spPr>
        <a:xfrm>
          <a:off x="5112693" y="1543250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7</xdr:col>
      <xdr:colOff>614135</xdr:colOff>
      <xdr:row>80</xdr:row>
      <xdr:rowOff>116793</xdr:rowOff>
    </xdr:from>
    <xdr:ext cx="184731" cy="217560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C7519FBB-DF4A-4E29-85ED-D59917ECF681}"/>
            </a:ext>
          </a:extLst>
        </xdr:cNvPr>
        <xdr:cNvSpPr txBox="1"/>
      </xdr:nvSpPr>
      <xdr:spPr>
        <a:xfrm>
          <a:off x="4376510" y="15452043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19</xdr:col>
      <xdr:colOff>135444</xdr:colOff>
      <xdr:row>81</xdr:row>
      <xdr:rowOff>135111</xdr:rowOff>
    </xdr:from>
    <xdr:ext cx="184731" cy="217560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373CB915-ECBE-4371-B806-72FB72AD6226}"/>
            </a:ext>
          </a:extLst>
        </xdr:cNvPr>
        <xdr:cNvSpPr txBox="1"/>
      </xdr:nvSpPr>
      <xdr:spPr>
        <a:xfrm>
          <a:off x="12470319" y="15613236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16</xdr:col>
      <xdr:colOff>412297</xdr:colOff>
      <xdr:row>91</xdr:row>
      <xdr:rowOff>78937</xdr:rowOff>
    </xdr:from>
    <xdr:ext cx="184731" cy="217560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793619E0-2D88-4290-805A-F7E8EDE584B5}"/>
            </a:ext>
          </a:extLst>
        </xdr:cNvPr>
        <xdr:cNvSpPr txBox="1"/>
      </xdr:nvSpPr>
      <xdr:spPr>
        <a:xfrm>
          <a:off x="10604047" y="16985812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twoCellAnchor>
    <xdr:from>
      <xdr:col>4</xdr:col>
      <xdr:colOff>273339</xdr:colOff>
      <xdr:row>87</xdr:row>
      <xdr:rowOff>69166</xdr:rowOff>
    </xdr:from>
    <xdr:to>
      <xdr:col>8</xdr:col>
      <xdr:colOff>234993</xdr:colOff>
      <xdr:row>87</xdr:row>
      <xdr:rowOff>69167</xdr:rowOff>
    </xdr:to>
    <xdr:cxnSp macro="">
      <xdr:nvCxnSpPr>
        <xdr:cNvPr id="205" name="Straight Connector 204">
          <a:extLst>
            <a:ext uri="{FF2B5EF4-FFF2-40B4-BE49-F238E27FC236}">
              <a16:creationId xmlns:a16="http://schemas.microsoft.com/office/drawing/2014/main" id="{65B7A233-AA48-4DF5-A754-D3398B4A7F7E}"/>
            </a:ext>
          </a:extLst>
        </xdr:cNvPr>
        <xdr:cNvCxnSpPr/>
      </xdr:nvCxnSpPr>
      <xdr:spPr>
        <a:xfrm rot="10800000" flipV="1">
          <a:off x="1892589" y="16404541"/>
          <a:ext cx="2819154" cy="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534635</xdr:colOff>
      <xdr:row>156</xdr:row>
      <xdr:rowOff>114278</xdr:rowOff>
    </xdr:from>
    <xdr:to>
      <xdr:col>10</xdr:col>
      <xdr:colOff>688849</xdr:colOff>
      <xdr:row>157</xdr:row>
      <xdr:rowOff>126514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4CB15D1E-AAB1-4F06-BD65-94C0D4102826}"/>
            </a:ext>
          </a:extLst>
        </xdr:cNvPr>
        <xdr:cNvGrpSpPr/>
      </xdr:nvGrpSpPr>
      <xdr:grpSpPr>
        <a:xfrm>
          <a:off x="6494564" y="31914171"/>
          <a:ext cx="154214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BF965071-F3EA-CEBF-2238-FB2B8280665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2450B7E0-8656-B04B-A3BB-DF7E1F69D378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D6367383-C38A-0B44-FD2D-0999A388250D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12</xdr:col>
      <xdr:colOff>182021</xdr:colOff>
      <xdr:row>148</xdr:row>
      <xdr:rowOff>17009</xdr:rowOff>
    </xdr:from>
    <xdr:ext cx="184731" cy="217560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1AB6B123-77A8-43F4-9BA3-DDF6054AEDE0}"/>
            </a:ext>
          </a:extLst>
        </xdr:cNvPr>
        <xdr:cNvSpPr txBox="1"/>
      </xdr:nvSpPr>
      <xdr:spPr>
        <a:xfrm>
          <a:off x="7516271" y="26401259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15</xdr:col>
      <xdr:colOff>175568</xdr:colOff>
      <xdr:row>148</xdr:row>
      <xdr:rowOff>65855</xdr:rowOff>
    </xdr:from>
    <xdr:ext cx="184731" cy="217560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1E27551A-B866-484E-8E46-3E5BD25722BC}"/>
            </a:ext>
          </a:extLst>
        </xdr:cNvPr>
        <xdr:cNvSpPr txBox="1"/>
      </xdr:nvSpPr>
      <xdr:spPr>
        <a:xfrm>
          <a:off x="9652943" y="2645010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11</xdr:col>
      <xdr:colOff>147306</xdr:colOff>
      <xdr:row>148</xdr:row>
      <xdr:rowOff>17008</xdr:rowOff>
    </xdr:from>
    <xdr:ext cx="184731" cy="217560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8508F9ED-A820-4F26-BF44-52C2AB7407F5}"/>
            </a:ext>
          </a:extLst>
        </xdr:cNvPr>
        <xdr:cNvSpPr txBox="1"/>
      </xdr:nvSpPr>
      <xdr:spPr>
        <a:xfrm>
          <a:off x="6767181" y="26401258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14</xdr:col>
      <xdr:colOff>121314</xdr:colOff>
      <xdr:row>148</xdr:row>
      <xdr:rowOff>36547</xdr:rowOff>
    </xdr:from>
    <xdr:ext cx="184731" cy="217560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9555E0B-8418-46C1-991B-520CEEDD6EAA}"/>
            </a:ext>
          </a:extLst>
        </xdr:cNvPr>
        <xdr:cNvSpPr txBox="1"/>
      </xdr:nvSpPr>
      <xdr:spPr>
        <a:xfrm>
          <a:off x="8884314" y="26420797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8</xdr:col>
      <xdr:colOff>635943</xdr:colOff>
      <xdr:row>147</xdr:row>
      <xdr:rowOff>76845</xdr:rowOff>
    </xdr:from>
    <xdr:ext cx="184731" cy="217560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546922F-E4A5-4532-93DC-A9F93F71EFF5}"/>
            </a:ext>
          </a:extLst>
        </xdr:cNvPr>
        <xdr:cNvSpPr txBox="1"/>
      </xdr:nvSpPr>
      <xdr:spPr>
        <a:xfrm>
          <a:off x="5112693" y="2631822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7</xdr:col>
      <xdr:colOff>614135</xdr:colOff>
      <xdr:row>147</xdr:row>
      <xdr:rowOff>96383</xdr:rowOff>
    </xdr:from>
    <xdr:ext cx="184731" cy="217560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8C1963D1-B54C-41CC-93E3-CC5A4F0EB456}"/>
            </a:ext>
          </a:extLst>
        </xdr:cNvPr>
        <xdr:cNvSpPr txBox="1"/>
      </xdr:nvSpPr>
      <xdr:spPr>
        <a:xfrm>
          <a:off x="4376510" y="26337758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19</xdr:col>
      <xdr:colOff>135444</xdr:colOff>
      <xdr:row>148</xdr:row>
      <xdr:rowOff>114701</xdr:rowOff>
    </xdr:from>
    <xdr:ext cx="184731" cy="217560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0D1E6010-ECF9-48CD-AD6E-7069044E569B}"/>
            </a:ext>
          </a:extLst>
        </xdr:cNvPr>
        <xdr:cNvSpPr txBox="1"/>
      </xdr:nvSpPr>
      <xdr:spPr>
        <a:xfrm>
          <a:off x="12470319" y="26498951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twoCellAnchor>
    <xdr:from>
      <xdr:col>7</xdr:col>
      <xdr:colOff>654040</xdr:colOff>
      <xdr:row>184</xdr:row>
      <xdr:rowOff>28709</xdr:rowOff>
    </xdr:from>
    <xdr:to>
      <xdr:col>7</xdr:col>
      <xdr:colOff>687658</xdr:colOff>
      <xdr:row>214</xdr:row>
      <xdr:rowOff>94544</xdr:rowOff>
    </xdr:to>
    <xdr:cxnSp macro="">
      <xdr:nvCxnSpPr>
        <xdr:cNvPr id="300" name="Straight Connector 299">
          <a:extLst>
            <a:ext uri="{FF2B5EF4-FFF2-40B4-BE49-F238E27FC236}">
              <a16:creationId xmlns:a16="http://schemas.microsoft.com/office/drawing/2014/main" id="{DF9005AE-1E92-4086-A657-1ECE9800BF14}"/>
            </a:ext>
          </a:extLst>
        </xdr:cNvPr>
        <xdr:cNvCxnSpPr/>
      </xdr:nvCxnSpPr>
      <xdr:spPr>
        <a:xfrm>
          <a:off x="4441628" y="34329915"/>
          <a:ext cx="33618" cy="476110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518197</xdr:colOff>
      <xdr:row>196</xdr:row>
      <xdr:rowOff>37219</xdr:rowOff>
    </xdr:from>
    <xdr:ext cx="184731" cy="217560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ACE57012-1DD1-41CA-90F5-CB0E7D87D273}"/>
            </a:ext>
          </a:extLst>
        </xdr:cNvPr>
        <xdr:cNvSpPr txBox="1"/>
      </xdr:nvSpPr>
      <xdr:spPr>
        <a:xfrm>
          <a:off x="6457315" y="36221013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15</xdr:col>
      <xdr:colOff>175568</xdr:colOff>
      <xdr:row>213</xdr:row>
      <xdr:rowOff>21631</xdr:rowOff>
    </xdr:from>
    <xdr:ext cx="184731" cy="217560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A3408460-84BD-4BAD-A9BE-211C0CCEBEE1}"/>
            </a:ext>
          </a:extLst>
        </xdr:cNvPr>
        <xdr:cNvSpPr txBox="1"/>
      </xdr:nvSpPr>
      <xdr:spPr>
        <a:xfrm>
          <a:off x="9652943" y="37335819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11</xdr:col>
      <xdr:colOff>147306</xdr:colOff>
      <xdr:row>212</xdr:row>
      <xdr:rowOff>115659</xdr:rowOff>
    </xdr:from>
    <xdr:ext cx="184731" cy="217560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CE5EB1C2-2920-46DF-B211-AED04B70A60A}"/>
            </a:ext>
          </a:extLst>
        </xdr:cNvPr>
        <xdr:cNvSpPr txBox="1"/>
      </xdr:nvSpPr>
      <xdr:spPr>
        <a:xfrm>
          <a:off x="6767181" y="37286972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14</xdr:col>
      <xdr:colOff>121314</xdr:colOff>
      <xdr:row>212</xdr:row>
      <xdr:rowOff>135198</xdr:rowOff>
    </xdr:from>
    <xdr:ext cx="184731" cy="217560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C9DFD27B-5737-431E-BB52-85F50AA47E18}"/>
            </a:ext>
          </a:extLst>
        </xdr:cNvPr>
        <xdr:cNvSpPr txBox="1"/>
      </xdr:nvSpPr>
      <xdr:spPr>
        <a:xfrm>
          <a:off x="8884314" y="37306511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8</xdr:col>
      <xdr:colOff>635943</xdr:colOff>
      <xdr:row>212</xdr:row>
      <xdr:rowOff>32621</xdr:rowOff>
    </xdr:from>
    <xdr:ext cx="184731" cy="217560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73831A90-57E3-469D-8D83-EE16BB5D16A0}"/>
            </a:ext>
          </a:extLst>
        </xdr:cNvPr>
        <xdr:cNvSpPr txBox="1"/>
      </xdr:nvSpPr>
      <xdr:spPr>
        <a:xfrm>
          <a:off x="5112693" y="37203934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7</xdr:col>
      <xdr:colOff>614135</xdr:colOff>
      <xdr:row>212</xdr:row>
      <xdr:rowOff>52159</xdr:rowOff>
    </xdr:from>
    <xdr:ext cx="184731" cy="217560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F8830909-CA48-4374-A7A5-A0F55B021136}"/>
            </a:ext>
          </a:extLst>
        </xdr:cNvPr>
        <xdr:cNvSpPr txBox="1"/>
      </xdr:nvSpPr>
      <xdr:spPr>
        <a:xfrm>
          <a:off x="4376510" y="37223472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19</xdr:col>
      <xdr:colOff>135444</xdr:colOff>
      <xdr:row>213</xdr:row>
      <xdr:rowOff>70477</xdr:rowOff>
    </xdr:from>
    <xdr:ext cx="184731" cy="217560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BC5345E8-55B1-4F39-9CD6-0703AC5C9046}"/>
            </a:ext>
          </a:extLst>
        </xdr:cNvPr>
        <xdr:cNvSpPr txBox="1"/>
      </xdr:nvSpPr>
      <xdr:spPr>
        <a:xfrm>
          <a:off x="12470319" y="3738466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16</xdr:col>
      <xdr:colOff>412297</xdr:colOff>
      <xdr:row>217</xdr:row>
      <xdr:rowOff>847741</xdr:rowOff>
    </xdr:from>
    <xdr:ext cx="184731" cy="217560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BB3E5843-AD2F-4885-86A6-6990517F0CCC}"/>
            </a:ext>
          </a:extLst>
        </xdr:cNvPr>
        <xdr:cNvSpPr txBox="1"/>
      </xdr:nvSpPr>
      <xdr:spPr>
        <a:xfrm>
          <a:off x="10604047" y="38757241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twoCellAnchor>
    <xdr:from>
      <xdr:col>8</xdr:col>
      <xdr:colOff>165719</xdr:colOff>
      <xdr:row>80</xdr:row>
      <xdr:rowOff>59070</xdr:rowOff>
    </xdr:from>
    <xdr:to>
      <xdr:col>8</xdr:col>
      <xdr:colOff>211902</xdr:colOff>
      <xdr:row>87</xdr:row>
      <xdr:rowOff>69174</xdr:rowOff>
    </xdr:to>
    <xdr:cxnSp macro="">
      <xdr:nvCxnSpPr>
        <xdr:cNvPr id="318" name="Straight Connector 317">
          <a:extLst>
            <a:ext uri="{FF2B5EF4-FFF2-40B4-BE49-F238E27FC236}">
              <a16:creationId xmlns:a16="http://schemas.microsoft.com/office/drawing/2014/main" id="{9A14C2E6-D209-43CC-8A3C-87422271FC6B}"/>
            </a:ext>
          </a:extLst>
        </xdr:cNvPr>
        <xdr:cNvCxnSpPr/>
      </xdr:nvCxnSpPr>
      <xdr:spPr>
        <a:xfrm rot="16200000" flipV="1">
          <a:off x="4160446" y="15876343"/>
          <a:ext cx="1010229" cy="4618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536411</xdr:colOff>
      <xdr:row>78</xdr:row>
      <xdr:rowOff>155556</xdr:rowOff>
    </xdr:from>
    <xdr:to>
      <xdr:col>6</xdr:col>
      <xdr:colOff>547957</xdr:colOff>
      <xdr:row>87</xdr:row>
      <xdr:rowOff>49585</xdr:rowOff>
    </xdr:to>
    <xdr:cxnSp macro="">
      <xdr:nvCxnSpPr>
        <xdr:cNvPr id="319" name="Straight Connector 318">
          <a:extLst>
            <a:ext uri="{FF2B5EF4-FFF2-40B4-BE49-F238E27FC236}">
              <a16:creationId xmlns:a16="http://schemas.microsoft.com/office/drawing/2014/main" id="{77AE0B9E-826C-440B-BABD-FDEF9C5BDB16}"/>
            </a:ext>
          </a:extLst>
        </xdr:cNvPr>
        <xdr:cNvCxnSpPr/>
      </xdr:nvCxnSpPr>
      <xdr:spPr>
        <a:xfrm rot="16200000" flipV="1">
          <a:off x="2751901" y="16894816"/>
          <a:ext cx="1730993" cy="1154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610425</xdr:colOff>
      <xdr:row>84</xdr:row>
      <xdr:rowOff>18079</xdr:rowOff>
    </xdr:from>
    <xdr:to>
      <xdr:col>6</xdr:col>
      <xdr:colOff>50264</xdr:colOff>
      <xdr:row>85</xdr:row>
      <xdr:rowOff>30315</xdr:rowOff>
    </xdr:to>
    <xdr:grpSp>
      <xdr:nvGrpSpPr>
        <xdr:cNvPr id="320" name="Group 319">
          <a:extLst>
            <a:ext uri="{FF2B5EF4-FFF2-40B4-BE49-F238E27FC236}">
              <a16:creationId xmlns:a16="http://schemas.microsoft.com/office/drawing/2014/main" id="{E01060E5-9BBB-4416-AFEC-ED382CD14F07}"/>
            </a:ext>
          </a:extLst>
        </xdr:cNvPr>
        <xdr:cNvGrpSpPr/>
      </xdr:nvGrpSpPr>
      <xdr:grpSpPr>
        <a:xfrm>
          <a:off x="2964461" y="17122258"/>
          <a:ext cx="161017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2" name="Oval 321">
            <a:extLst>
              <a:ext uri="{FF2B5EF4-FFF2-40B4-BE49-F238E27FC236}">
                <a16:creationId xmlns:a16="http://schemas.microsoft.com/office/drawing/2014/main" id="{44F20919-8B23-077B-577C-65F636F6485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323" name="Straight Connector 322">
            <a:extLst>
              <a:ext uri="{FF2B5EF4-FFF2-40B4-BE49-F238E27FC236}">
                <a16:creationId xmlns:a16="http://schemas.microsoft.com/office/drawing/2014/main" id="{F58609A4-DFC3-0790-ACDA-0D94E30383BA}"/>
              </a:ext>
            </a:extLst>
          </xdr:cNvPr>
          <xdr:cNvCxnSpPr>
            <a:stCxn id="322" idx="1"/>
            <a:endCxn id="3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D4F73B29-0B38-BC3F-5C26-1DA3AF5156BE}"/>
              </a:ext>
            </a:extLst>
          </xdr:cNvPr>
          <xdr:cNvCxnSpPr>
            <a:stCxn id="322" idx="3"/>
            <a:endCxn id="3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19422</xdr:colOff>
      <xdr:row>84</xdr:row>
      <xdr:rowOff>31068</xdr:rowOff>
    </xdr:from>
    <xdr:to>
      <xdr:col>7</xdr:col>
      <xdr:colOff>174048</xdr:colOff>
      <xdr:row>85</xdr:row>
      <xdr:rowOff>43304</xdr:rowOff>
    </xdr:to>
    <xdr:grpSp>
      <xdr:nvGrpSpPr>
        <xdr:cNvPr id="333" name="Group 332">
          <a:extLst>
            <a:ext uri="{FF2B5EF4-FFF2-40B4-BE49-F238E27FC236}">
              <a16:creationId xmlns:a16="http://schemas.microsoft.com/office/drawing/2014/main" id="{8266D357-1B2F-45F2-9331-F086B88C7806}"/>
            </a:ext>
          </a:extLst>
        </xdr:cNvPr>
        <xdr:cNvGrpSpPr/>
      </xdr:nvGrpSpPr>
      <xdr:grpSpPr>
        <a:xfrm>
          <a:off x="3815815" y="17135247"/>
          <a:ext cx="154626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4" name="Oval 333">
            <a:extLst>
              <a:ext uri="{FF2B5EF4-FFF2-40B4-BE49-F238E27FC236}">
                <a16:creationId xmlns:a16="http://schemas.microsoft.com/office/drawing/2014/main" id="{FAE72921-1BE5-1BCD-CF28-3ED98C7A677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335" name="Straight Connector 334">
            <a:extLst>
              <a:ext uri="{FF2B5EF4-FFF2-40B4-BE49-F238E27FC236}">
                <a16:creationId xmlns:a16="http://schemas.microsoft.com/office/drawing/2014/main" id="{8D5E7193-268C-3916-F90B-526A10EA3E85}"/>
              </a:ext>
            </a:extLst>
          </xdr:cNvPr>
          <xdr:cNvCxnSpPr>
            <a:stCxn id="334" idx="1"/>
            <a:endCxn id="3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Straight Connector 335">
            <a:extLst>
              <a:ext uri="{FF2B5EF4-FFF2-40B4-BE49-F238E27FC236}">
                <a16:creationId xmlns:a16="http://schemas.microsoft.com/office/drawing/2014/main" id="{9648024E-60AB-1BC7-E300-87AEB40B83E0}"/>
              </a:ext>
            </a:extLst>
          </xdr:cNvPr>
          <xdr:cNvCxnSpPr>
            <a:stCxn id="334" idx="3"/>
            <a:endCxn id="3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574140</xdr:colOff>
      <xdr:row>88</xdr:row>
      <xdr:rowOff>49376</xdr:rowOff>
    </xdr:from>
    <xdr:to>
      <xdr:col>8</xdr:col>
      <xdr:colOff>7176</xdr:colOff>
      <xdr:row>89</xdr:row>
      <xdr:rowOff>61612</xdr:rowOff>
    </xdr:to>
    <xdr:grpSp>
      <xdr:nvGrpSpPr>
        <xdr:cNvPr id="512" name="Group 511">
          <a:extLst>
            <a:ext uri="{FF2B5EF4-FFF2-40B4-BE49-F238E27FC236}">
              <a16:creationId xmlns:a16="http://schemas.microsoft.com/office/drawing/2014/main" id="{7765120D-D23D-469D-A2CC-161FA4D286CC}"/>
            </a:ext>
          </a:extLst>
        </xdr:cNvPr>
        <xdr:cNvGrpSpPr/>
      </xdr:nvGrpSpPr>
      <xdr:grpSpPr>
        <a:xfrm>
          <a:off x="4370533" y="17969983"/>
          <a:ext cx="154214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13" name="Oval 512">
            <a:extLst>
              <a:ext uri="{FF2B5EF4-FFF2-40B4-BE49-F238E27FC236}">
                <a16:creationId xmlns:a16="http://schemas.microsoft.com/office/drawing/2014/main" id="{B925D3DA-3A54-7BBF-FCB8-256CB827E7D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14" name="Straight Connector 513">
            <a:extLst>
              <a:ext uri="{FF2B5EF4-FFF2-40B4-BE49-F238E27FC236}">
                <a16:creationId xmlns:a16="http://schemas.microsoft.com/office/drawing/2014/main" id="{B8C02296-5C65-2D39-D1C0-CD5E893785C9}"/>
              </a:ext>
            </a:extLst>
          </xdr:cNvPr>
          <xdr:cNvCxnSpPr>
            <a:stCxn id="513" idx="1"/>
            <a:endCxn id="5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41B20B74-633A-8C93-6A37-62CA5F69AB04}"/>
              </a:ext>
            </a:extLst>
          </xdr:cNvPr>
          <xdr:cNvCxnSpPr>
            <a:stCxn id="513" idx="3"/>
            <a:endCxn id="5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697223</xdr:colOff>
      <xdr:row>89</xdr:row>
      <xdr:rowOff>95144</xdr:rowOff>
    </xdr:from>
    <xdr:to>
      <xdr:col>9</xdr:col>
      <xdr:colOff>137062</xdr:colOff>
      <xdr:row>90</xdr:row>
      <xdr:rowOff>107380</xdr:rowOff>
    </xdr:to>
    <xdr:grpSp>
      <xdr:nvGrpSpPr>
        <xdr:cNvPr id="516" name="Group 515">
          <a:extLst>
            <a:ext uri="{FF2B5EF4-FFF2-40B4-BE49-F238E27FC236}">
              <a16:creationId xmlns:a16="http://schemas.microsoft.com/office/drawing/2014/main" id="{BC9ADA0E-B952-44E5-9591-D0CA305845AF}"/>
            </a:ext>
          </a:extLst>
        </xdr:cNvPr>
        <xdr:cNvGrpSpPr/>
      </xdr:nvGrpSpPr>
      <xdr:grpSpPr>
        <a:xfrm>
          <a:off x="5214794" y="18219858"/>
          <a:ext cx="161018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17" name="Oval 516">
            <a:extLst>
              <a:ext uri="{FF2B5EF4-FFF2-40B4-BE49-F238E27FC236}">
                <a16:creationId xmlns:a16="http://schemas.microsoft.com/office/drawing/2014/main" id="{C486616E-5BC3-137D-F5A1-EC7BF8F9BE0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18" name="Straight Connector 517">
            <a:extLst>
              <a:ext uri="{FF2B5EF4-FFF2-40B4-BE49-F238E27FC236}">
                <a16:creationId xmlns:a16="http://schemas.microsoft.com/office/drawing/2014/main" id="{7CAD2A8F-58BA-999E-A34E-1E58D05FDEA0}"/>
              </a:ext>
            </a:extLst>
          </xdr:cNvPr>
          <xdr:cNvCxnSpPr>
            <a:stCxn id="517" idx="1"/>
            <a:endCxn id="5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9" name="Straight Connector 518">
            <a:extLst>
              <a:ext uri="{FF2B5EF4-FFF2-40B4-BE49-F238E27FC236}">
                <a16:creationId xmlns:a16="http://schemas.microsoft.com/office/drawing/2014/main" id="{5B6E128A-0912-7716-1977-ACD98AFFDA22}"/>
              </a:ext>
            </a:extLst>
          </xdr:cNvPr>
          <xdr:cNvCxnSpPr>
            <a:stCxn id="517" idx="3"/>
            <a:endCxn id="5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186602</xdr:colOff>
      <xdr:row>98</xdr:row>
      <xdr:rowOff>119993</xdr:rowOff>
    </xdr:from>
    <xdr:to>
      <xdr:col>17</xdr:col>
      <xdr:colOff>340224</xdr:colOff>
      <xdr:row>99</xdr:row>
      <xdr:rowOff>132229</xdr:rowOff>
    </xdr:to>
    <xdr:grpSp>
      <xdr:nvGrpSpPr>
        <xdr:cNvPr id="520" name="Group 519">
          <a:extLst>
            <a:ext uri="{FF2B5EF4-FFF2-40B4-BE49-F238E27FC236}">
              <a16:creationId xmlns:a16="http://schemas.microsoft.com/office/drawing/2014/main" id="{E4C5DA4B-D5BD-4E40-B1DB-7C9F9E3D958D}"/>
            </a:ext>
          </a:extLst>
        </xdr:cNvPr>
        <xdr:cNvGrpSpPr/>
      </xdr:nvGrpSpPr>
      <xdr:grpSpPr>
        <a:xfrm>
          <a:off x="11194781" y="20081672"/>
          <a:ext cx="153622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1" name="Oval 520">
            <a:extLst>
              <a:ext uri="{FF2B5EF4-FFF2-40B4-BE49-F238E27FC236}">
                <a16:creationId xmlns:a16="http://schemas.microsoft.com/office/drawing/2014/main" id="{5EB227B3-53A3-4E7E-F28A-B4285270EF1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22" name="Straight Connector 521">
            <a:extLst>
              <a:ext uri="{FF2B5EF4-FFF2-40B4-BE49-F238E27FC236}">
                <a16:creationId xmlns:a16="http://schemas.microsoft.com/office/drawing/2014/main" id="{40DD784F-E117-80D9-058C-A8B3BD1CF38D}"/>
              </a:ext>
            </a:extLst>
          </xdr:cNvPr>
          <xdr:cNvCxnSpPr>
            <a:stCxn id="521" idx="1"/>
            <a:endCxn id="5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3" name="Straight Connector 522">
            <a:extLst>
              <a:ext uri="{FF2B5EF4-FFF2-40B4-BE49-F238E27FC236}">
                <a16:creationId xmlns:a16="http://schemas.microsoft.com/office/drawing/2014/main" id="{81C29DBB-BB44-002A-BAC9-920B809DB524}"/>
              </a:ext>
            </a:extLst>
          </xdr:cNvPr>
          <xdr:cNvCxnSpPr>
            <a:stCxn id="521" idx="3"/>
            <a:endCxn id="5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56679</xdr:colOff>
      <xdr:row>90</xdr:row>
      <xdr:rowOff>123827</xdr:rowOff>
    </xdr:from>
    <xdr:to>
      <xdr:col>10</xdr:col>
      <xdr:colOff>210893</xdr:colOff>
      <xdr:row>91</xdr:row>
      <xdr:rowOff>136062</xdr:rowOff>
    </xdr:to>
    <xdr:grpSp>
      <xdr:nvGrpSpPr>
        <xdr:cNvPr id="524" name="Group 523">
          <a:extLst>
            <a:ext uri="{FF2B5EF4-FFF2-40B4-BE49-F238E27FC236}">
              <a16:creationId xmlns:a16="http://schemas.microsoft.com/office/drawing/2014/main" id="{CE64A5CF-370E-41AB-B908-E07282F7787B}"/>
            </a:ext>
          </a:extLst>
        </xdr:cNvPr>
        <xdr:cNvGrpSpPr/>
      </xdr:nvGrpSpPr>
      <xdr:grpSpPr>
        <a:xfrm>
          <a:off x="6016608" y="18452648"/>
          <a:ext cx="154214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5" name="Oval 524">
            <a:extLst>
              <a:ext uri="{FF2B5EF4-FFF2-40B4-BE49-F238E27FC236}">
                <a16:creationId xmlns:a16="http://schemas.microsoft.com/office/drawing/2014/main" id="{C9AEA454-1A40-C704-A59A-696C4F3A749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26" name="Straight Connector 525">
            <a:extLst>
              <a:ext uri="{FF2B5EF4-FFF2-40B4-BE49-F238E27FC236}">
                <a16:creationId xmlns:a16="http://schemas.microsoft.com/office/drawing/2014/main" id="{6D2B4668-642B-B66B-445C-65A4FB8E078B}"/>
              </a:ext>
            </a:extLst>
          </xdr:cNvPr>
          <xdr:cNvCxnSpPr>
            <a:stCxn id="525" idx="1"/>
            <a:endCxn id="52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7" name="Straight Connector 526">
            <a:extLst>
              <a:ext uri="{FF2B5EF4-FFF2-40B4-BE49-F238E27FC236}">
                <a16:creationId xmlns:a16="http://schemas.microsoft.com/office/drawing/2014/main" id="{1B21BED1-3360-FD26-DC4F-99B5356F8555}"/>
              </a:ext>
            </a:extLst>
          </xdr:cNvPr>
          <xdr:cNvCxnSpPr>
            <a:stCxn id="525" idx="3"/>
            <a:endCxn id="52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85198</xdr:colOff>
      <xdr:row>92</xdr:row>
      <xdr:rowOff>17400</xdr:rowOff>
    </xdr:from>
    <xdr:to>
      <xdr:col>11</xdr:col>
      <xdr:colOff>239412</xdr:colOff>
      <xdr:row>93</xdr:row>
      <xdr:rowOff>5823</xdr:rowOff>
    </xdr:to>
    <xdr:grpSp>
      <xdr:nvGrpSpPr>
        <xdr:cNvPr id="528" name="Group 527">
          <a:extLst>
            <a:ext uri="{FF2B5EF4-FFF2-40B4-BE49-F238E27FC236}">
              <a16:creationId xmlns:a16="http://schemas.microsoft.com/office/drawing/2014/main" id="{C407A957-8FCB-4E58-87D4-2B515965F09B}"/>
            </a:ext>
          </a:extLst>
        </xdr:cNvPr>
        <xdr:cNvGrpSpPr/>
      </xdr:nvGrpSpPr>
      <xdr:grpSpPr>
        <a:xfrm>
          <a:off x="6766305" y="18754436"/>
          <a:ext cx="154214" cy="1925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9" name="Oval 528">
            <a:extLst>
              <a:ext uri="{FF2B5EF4-FFF2-40B4-BE49-F238E27FC236}">
                <a16:creationId xmlns:a16="http://schemas.microsoft.com/office/drawing/2014/main" id="{934917FB-E8B3-3F2C-1F82-C3B62A0DD27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30" name="Straight Connector 529">
            <a:extLst>
              <a:ext uri="{FF2B5EF4-FFF2-40B4-BE49-F238E27FC236}">
                <a16:creationId xmlns:a16="http://schemas.microsoft.com/office/drawing/2014/main" id="{CC64B303-74AB-28E7-EBCE-BE6238DDB927}"/>
              </a:ext>
            </a:extLst>
          </xdr:cNvPr>
          <xdr:cNvCxnSpPr>
            <a:stCxn id="529" idx="1"/>
            <a:endCxn id="5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1" name="Straight Connector 530">
            <a:extLst>
              <a:ext uri="{FF2B5EF4-FFF2-40B4-BE49-F238E27FC236}">
                <a16:creationId xmlns:a16="http://schemas.microsoft.com/office/drawing/2014/main" id="{FE4919F3-9FE7-600F-8CC7-9D3E9F514CF9}"/>
              </a:ext>
            </a:extLst>
          </xdr:cNvPr>
          <xdr:cNvCxnSpPr>
            <a:stCxn id="529" idx="3"/>
            <a:endCxn id="5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134739</xdr:colOff>
      <xdr:row>93</xdr:row>
      <xdr:rowOff>26403</xdr:rowOff>
    </xdr:from>
    <xdr:to>
      <xdr:col>12</xdr:col>
      <xdr:colOff>288362</xdr:colOff>
      <xdr:row>94</xdr:row>
      <xdr:rowOff>14827</xdr:rowOff>
    </xdr:to>
    <xdr:grpSp>
      <xdr:nvGrpSpPr>
        <xdr:cNvPr id="532" name="Group 531">
          <a:extLst>
            <a:ext uri="{FF2B5EF4-FFF2-40B4-BE49-F238E27FC236}">
              <a16:creationId xmlns:a16="http://schemas.microsoft.com/office/drawing/2014/main" id="{0429A27A-DA39-4228-81E3-EA5429C72091}"/>
            </a:ext>
          </a:extLst>
        </xdr:cNvPr>
        <xdr:cNvGrpSpPr/>
      </xdr:nvGrpSpPr>
      <xdr:grpSpPr>
        <a:xfrm>
          <a:off x="7537025" y="18967546"/>
          <a:ext cx="153623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33" name="Oval 532">
            <a:extLst>
              <a:ext uri="{FF2B5EF4-FFF2-40B4-BE49-F238E27FC236}">
                <a16:creationId xmlns:a16="http://schemas.microsoft.com/office/drawing/2014/main" id="{CB267C12-2498-5CC6-A01E-4078DAC8EA5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34" name="Straight Connector 533">
            <a:extLst>
              <a:ext uri="{FF2B5EF4-FFF2-40B4-BE49-F238E27FC236}">
                <a16:creationId xmlns:a16="http://schemas.microsoft.com/office/drawing/2014/main" id="{C43E6259-6DFF-9A6F-EB83-897A0B40BB40}"/>
              </a:ext>
            </a:extLst>
          </xdr:cNvPr>
          <xdr:cNvCxnSpPr>
            <a:stCxn id="533" idx="1"/>
            <a:endCxn id="5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5" name="Straight Connector 534">
            <a:extLst>
              <a:ext uri="{FF2B5EF4-FFF2-40B4-BE49-F238E27FC236}">
                <a16:creationId xmlns:a16="http://schemas.microsoft.com/office/drawing/2014/main" id="{06682E7F-4A11-628F-D8E0-A04E2652CAFA}"/>
              </a:ext>
            </a:extLst>
          </xdr:cNvPr>
          <xdr:cNvCxnSpPr>
            <a:stCxn id="533" idx="3"/>
            <a:endCxn id="5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496826</xdr:colOff>
      <xdr:row>98</xdr:row>
      <xdr:rowOff>106694</xdr:rowOff>
    </xdr:from>
    <xdr:to>
      <xdr:col>18</xdr:col>
      <xdr:colOff>508373</xdr:colOff>
      <xdr:row>105</xdr:row>
      <xdr:rowOff>92981</xdr:rowOff>
    </xdr:to>
    <xdr:cxnSp macro="">
      <xdr:nvCxnSpPr>
        <xdr:cNvPr id="536" name="Straight Connector 535">
          <a:extLst>
            <a:ext uri="{FF2B5EF4-FFF2-40B4-BE49-F238E27FC236}">
              <a16:creationId xmlns:a16="http://schemas.microsoft.com/office/drawing/2014/main" id="{77E41113-3C57-4000-BFC4-B4070E7D8BE2}"/>
            </a:ext>
          </a:extLst>
        </xdr:cNvPr>
        <xdr:cNvCxnSpPr/>
      </xdr:nvCxnSpPr>
      <xdr:spPr>
        <a:xfrm rot="5400000" flipH="1" flipV="1">
          <a:off x="11617987" y="18560658"/>
          <a:ext cx="1010225" cy="1154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41730</xdr:colOff>
      <xdr:row>95</xdr:row>
      <xdr:rowOff>31581</xdr:rowOff>
    </xdr:from>
    <xdr:to>
      <xdr:col>14</xdr:col>
      <xdr:colOff>195944</xdr:colOff>
      <xdr:row>96</xdr:row>
      <xdr:rowOff>43816</xdr:rowOff>
    </xdr:to>
    <xdr:grpSp>
      <xdr:nvGrpSpPr>
        <xdr:cNvPr id="537" name="Group 536">
          <a:extLst>
            <a:ext uri="{FF2B5EF4-FFF2-40B4-BE49-F238E27FC236}">
              <a16:creationId xmlns:a16="http://schemas.microsoft.com/office/drawing/2014/main" id="{7764AAF3-E68A-473D-AD28-EE9CCE3C6BBF}"/>
            </a:ext>
          </a:extLst>
        </xdr:cNvPr>
        <xdr:cNvGrpSpPr/>
      </xdr:nvGrpSpPr>
      <xdr:grpSpPr>
        <a:xfrm>
          <a:off x="8886373" y="19380938"/>
          <a:ext cx="154214" cy="21634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38" name="Oval 537">
            <a:extLst>
              <a:ext uri="{FF2B5EF4-FFF2-40B4-BE49-F238E27FC236}">
                <a16:creationId xmlns:a16="http://schemas.microsoft.com/office/drawing/2014/main" id="{E0133D82-1538-552D-7625-E28ECAD0BE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39" name="Straight Connector 538">
            <a:extLst>
              <a:ext uri="{FF2B5EF4-FFF2-40B4-BE49-F238E27FC236}">
                <a16:creationId xmlns:a16="http://schemas.microsoft.com/office/drawing/2014/main" id="{39B5BA5B-774F-DC5A-EB20-DEB0BF752C5D}"/>
              </a:ext>
            </a:extLst>
          </xdr:cNvPr>
          <xdr:cNvCxnSpPr>
            <a:stCxn id="538" idx="1"/>
            <a:endCxn id="5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0" name="Straight Connector 539">
            <a:extLst>
              <a:ext uri="{FF2B5EF4-FFF2-40B4-BE49-F238E27FC236}">
                <a16:creationId xmlns:a16="http://schemas.microsoft.com/office/drawing/2014/main" id="{9E49AF52-C738-4BE1-54E9-626F857ADB38}"/>
              </a:ext>
            </a:extLst>
          </xdr:cNvPr>
          <xdr:cNvCxnSpPr>
            <a:stCxn id="538" idx="3"/>
            <a:endCxn id="5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61553</xdr:colOff>
      <xdr:row>93</xdr:row>
      <xdr:rowOff>140604</xdr:rowOff>
    </xdr:from>
    <xdr:to>
      <xdr:col>13</xdr:col>
      <xdr:colOff>216178</xdr:colOff>
      <xdr:row>94</xdr:row>
      <xdr:rowOff>129028</xdr:rowOff>
    </xdr:to>
    <xdr:grpSp>
      <xdr:nvGrpSpPr>
        <xdr:cNvPr id="541" name="Group 540">
          <a:extLst>
            <a:ext uri="{FF2B5EF4-FFF2-40B4-BE49-F238E27FC236}">
              <a16:creationId xmlns:a16="http://schemas.microsoft.com/office/drawing/2014/main" id="{534F919E-E89B-4225-9BFD-454CA45380F3}"/>
            </a:ext>
          </a:extLst>
        </xdr:cNvPr>
        <xdr:cNvGrpSpPr/>
      </xdr:nvGrpSpPr>
      <xdr:grpSpPr>
        <a:xfrm>
          <a:off x="8185017" y="19081747"/>
          <a:ext cx="154625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42" name="Oval 541">
            <a:extLst>
              <a:ext uri="{FF2B5EF4-FFF2-40B4-BE49-F238E27FC236}">
                <a16:creationId xmlns:a16="http://schemas.microsoft.com/office/drawing/2014/main" id="{D59415E6-F729-BE64-6C23-D9A63EF867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43" name="Straight Connector 542">
            <a:extLst>
              <a:ext uri="{FF2B5EF4-FFF2-40B4-BE49-F238E27FC236}">
                <a16:creationId xmlns:a16="http://schemas.microsoft.com/office/drawing/2014/main" id="{3BA8AE1A-CDDC-C007-BF7D-9613ECCE3B33}"/>
              </a:ext>
            </a:extLst>
          </xdr:cNvPr>
          <xdr:cNvCxnSpPr>
            <a:stCxn id="542" idx="1"/>
            <a:endCxn id="5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4" name="Straight Connector 543">
            <a:extLst>
              <a:ext uri="{FF2B5EF4-FFF2-40B4-BE49-F238E27FC236}">
                <a16:creationId xmlns:a16="http://schemas.microsoft.com/office/drawing/2014/main" id="{03AF46CA-65F3-7C71-ECFA-9873DB285476}"/>
              </a:ext>
            </a:extLst>
          </xdr:cNvPr>
          <xdr:cNvCxnSpPr>
            <a:stCxn id="542" idx="3"/>
            <a:endCxn id="5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136200</xdr:colOff>
      <xdr:row>96</xdr:row>
      <xdr:rowOff>56116</xdr:rowOff>
    </xdr:from>
    <xdr:to>
      <xdr:col>15</xdr:col>
      <xdr:colOff>290414</xdr:colOff>
      <xdr:row>97</xdr:row>
      <xdr:rowOff>68352</xdr:rowOff>
    </xdr:to>
    <xdr:grpSp>
      <xdr:nvGrpSpPr>
        <xdr:cNvPr id="545" name="Group 544">
          <a:extLst>
            <a:ext uri="{FF2B5EF4-FFF2-40B4-BE49-F238E27FC236}">
              <a16:creationId xmlns:a16="http://schemas.microsoft.com/office/drawing/2014/main" id="{EC2B2DC8-6608-4C09-9E4F-C7444DFD0281}"/>
            </a:ext>
          </a:extLst>
        </xdr:cNvPr>
        <xdr:cNvGrpSpPr/>
      </xdr:nvGrpSpPr>
      <xdr:grpSpPr>
        <a:xfrm>
          <a:off x="9702021" y="19609580"/>
          <a:ext cx="154214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46" name="Oval 545">
            <a:extLst>
              <a:ext uri="{FF2B5EF4-FFF2-40B4-BE49-F238E27FC236}">
                <a16:creationId xmlns:a16="http://schemas.microsoft.com/office/drawing/2014/main" id="{C7E1704C-AD30-AD25-8D36-C8F4E5DC168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47" name="Straight Connector 546">
            <a:extLst>
              <a:ext uri="{FF2B5EF4-FFF2-40B4-BE49-F238E27FC236}">
                <a16:creationId xmlns:a16="http://schemas.microsoft.com/office/drawing/2014/main" id="{21F537AC-5FC1-595B-79E4-E2AC52A774CF}"/>
              </a:ext>
            </a:extLst>
          </xdr:cNvPr>
          <xdr:cNvCxnSpPr>
            <a:stCxn id="546" idx="1"/>
            <a:endCxn id="5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8" name="Straight Connector 547">
            <a:extLst>
              <a:ext uri="{FF2B5EF4-FFF2-40B4-BE49-F238E27FC236}">
                <a16:creationId xmlns:a16="http://schemas.microsoft.com/office/drawing/2014/main" id="{071D9FC9-B418-60D4-D795-06550B364C3D}"/>
              </a:ext>
            </a:extLst>
          </xdr:cNvPr>
          <xdr:cNvCxnSpPr>
            <a:stCxn id="546" idx="3"/>
            <a:endCxn id="5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275553</xdr:colOff>
      <xdr:row>101</xdr:row>
      <xdr:rowOff>19411</xdr:rowOff>
    </xdr:from>
    <xdr:to>
      <xdr:col>19</xdr:col>
      <xdr:colOff>429767</xdr:colOff>
      <xdr:row>102</xdr:row>
      <xdr:rowOff>31647</xdr:rowOff>
    </xdr:to>
    <xdr:grpSp>
      <xdr:nvGrpSpPr>
        <xdr:cNvPr id="549" name="Group 548">
          <a:extLst>
            <a:ext uri="{FF2B5EF4-FFF2-40B4-BE49-F238E27FC236}">
              <a16:creationId xmlns:a16="http://schemas.microsoft.com/office/drawing/2014/main" id="{9D7C2E88-9AB5-4D61-B754-C5E616004F81}"/>
            </a:ext>
          </a:extLst>
        </xdr:cNvPr>
        <xdr:cNvGrpSpPr/>
      </xdr:nvGrpSpPr>
      <xdr:grpSpPr>
        <a:xfrm>
          <a:off x="12726089" y="20593411"/>
          <a:ext cx="154214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50" name="Oval 549">
            <a:extLst>
              <a:ext uri="{FF2B5EF4-FFF2-40B4-BE49-F238E27FC236}">
                <a16:creationId xmlns:a16="http://schemas.microsoft.com/office/drawing/2014/main" id="{BCFFE470-5917-AB22-7E1D-08F66D0C41E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51" name="Straight Connector 550">
            <a:extLst>
              <a:ext uri="{FF2B5EF4-FFF2-40B4-BE49-F238E27FC236}">
                <a16:creationId xmlns:a16="http://schemas.microsoft.com/office/drawing/2014/main" id="{CA1570FC-E73D-0B79-F4D4-5F9BC34573DD}"/>
              </a:ext>
            </a:extLst>
          </xdr:cNvPr>
          <xdr:cNvCxnSpPr>
            <a:stCxn id="550" idx="1"/>
            <a:endCxn id="5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2" name="Straight Connector 551">
            <a:extLst>
              <a:ext uri="{FF2B5EF4-FFF2-40B4-BE49-F238E27FC236}">
                <a16:creationId xmlns:a16="http://schemas.microsoft.com/office/drawing/2014/main" id="{5DD0878B-F748-294F-ED61-A0262BC6229D}"/>
              </a:ext>
            </a:extLst>
          </xdr:cNvPr>
          <xdr:cNvCxnSpPr>
            <a:stCxn id="550" idx="3"/>
            <a:endCxn id="5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136999</xdr:colOff>
      <xdr:row>99</xdr:row>
      <xdr:rowOff>119677</xdr:rowOff>
    </xdr:from>
    <xdr:to>
      <xdr:col>18</xdr:col>
      <xdr:colOff>291626</xdr:colOff>
      <xdr:row>100</xdr:row>
      <xdr:rowOff>126140</xdr:rowOff>
    </xdr:to>
    <xdr:grpSp>
      <xdr:nvGrpSpPr>
        <xdr:cNvPr id="553" name="Group 552">
          <a:extLst>
            <a:ext uri="{FF2B5EF4-FFF2-40B4-BE49-F238E27FC236}">
              <a16:creationId xmlns:a16="http://schemas.microsoft.com/office/drawing/2014/main" id="{1120EB64-2A8C-4F52-94CE-A7682832B1CD}"/>
            </a:ext>
          </a:extLst>
        </xdr:cNvPr>
        <xdr:cNvGrpSpPr/>
      </xdr:nvGrpSpPr>
      <xdr:grpSpPr>
        <a:xfrm>
          <a:off x="11866356" y="20285463"/>
          <a:ext cx="154627" cy="2105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54" name="Oval 553">
            <a:extLst>
              <a:ext uri="{FF2B5EF4-FFF2-40B4-BE49-F238E27FC236}">
                <a16:creationId xmlns:a16="http://schemas.microsoft.com/office/drawing/2014/main" id="{60FE627B-318D-F24E-EC72-8170C4F4EA3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55" name="Straight Connector 554">
            <a:extLst>
              <a:ext uri="{FF2B5EF4-FFF2-40B4-BE49-F238E27FC236}">
                <a16:creationId xmlns:a16="http://schemas.microsoft.com/office/drawing/2014/main" id="{D24231D6-2583-A410-F0FA-9DA7F792B13B}"/>
              </a:ext>
            </a:extLst>
          </xdr:cNvPr>
          <xdr:cNvCxnSpPr>
            <a:stCxn id="554" idx="1"/>
            <a:endCxn id="55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6" name="Straight Connector 555">
            <a:extLst>
              <a:ext uri="{FF2B5EF4-FFF2-40B4-BE49-F238E27FC236}">
                <a16:creationId xmlns:a16="http://schemas.microsoft.com/office/drawing/2014/main" id="{7E96C0FD-F14C-99D5-2E51-E0326DBE09FE}"/>
              </a:ext>
            </a:extLst>
          </xdr:cNvPr>
          <xdr:cNvCxnSpPr>
            <a:stCxn id="554" idx="3"/>
            <a:endCxn id="55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174048</xdr:colOff>
      <xdr:row>84</xdr:row>
      <xdr:rowOff>139240</xdr:rowOff>
    </xdr:from>
    <xdr:to>
      <xdr:col>7</xdr:col>
      <xdr:colOff>651247</xdr:colOff>
      <xdr:row>88</xdr:row>
      <xdr:rowOff>49376</xdr:rowOff>
    </xdr:to>
    <xdr:cxnSp macro="">
      <xdr:nvCxnSpPr>
        <xdr:cNvPr id="557" name="Straight Connector 556">
          <a:extLst>
            <a:ext uri="{FF2B5EF4-FFF2-40B4-BE49-F238E27FC236}">
              <a16:creationId xmlns:a16="http://schemas.microsoft.com/office/drawing/2014/main" id="{055CA776-5117-4B1F-BB73-C153E6180E95}"/>
            </a:ext>
          </a:extLst>
        </xdr:cNvPr>
        <xdr:cNvCxnSpPr>
          <a:stCxn id="513" idx="0"/>
          <a:endCxn id="334" idx="6"/>
        </xdr:cNvCxnSpPr>
      </xdr:nvCxnSpPr>
      <xdr:spPr>
        <a:xfrm flipH="1" flipV="1">
          <a:off x="3970441" y="17243419"/>
          <a:ext cx="477199" cy="726564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84</xdr:row>
      <xdr:rowOff>8843</xdr:rowOff>
    </xdr:from>
    <xdr:to>
      <xdr:col>7</xdr:col>
      <xdr:colOff>95375</xdr:colOff>
      <xdr:row>84</xdr:row>
      <xdr:rowOff>31068</xdr:rowOff>
    </xdr:to>
    <xdr:cxnSp macro="">
      <xdr:nvCxnSpPr>
        <xdr:cNvPr id="558" name="Straight Connector 557">
          <a:extLst>
            <a:ext uri="{FF2B5EF4-FFF2-40B4-BE49-F238E27FC236}">
              <a16:creationId xmlns:a16="http://schemas.microsoft.com/office/drawing/2014/main" id="{ECC833AB-469A-426B-9751-ECDF0B57C412}"/>
            </a:ext>
          </a:extLst>
        </xdr:cNvPr>
        <xdr:cNvCxnSpPr>
          <a:stCxn id="334" idx="0"/>
        </xdr:cNvCxnSpPr>
      </xdr:nvCxnSpPr>
      <xdr:spPr>
        <a:xfrm flipH="1" flipV="1">
          <a:off x="1762125" y="15915593"/>
          <a:ext cx="2095625" cy="2222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103730</xdr:colOff>
      <xdr:row>80</xdr:row>
      <xdr:rowOff>127155</xdr:rowOff>
    </xdr:from>
    <xdr:ext cx="184731" cy="217560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2A889797-27DB-4DEE-8ADF-B0554382A7FA}"/>
            </a:ext>
          </a:extLst>
        </xdr:cNvPr>
        <xdr:cNvSpPr txBox="1"/>
      </xdr:nvSpPr>
      <xdr:spPr>
        <a:xfrm>
          <a:off x="9581105" y="1546240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twoCellAnchor>
    <xdr:from>
      <xdr:col>7</xdr:col>
      <xdr:colOff>679656</xdr:colOff>
      <xdr:row>89</xdr:row>
      <xdr:rowOff>109287</xdr:rowOff>
    </xdr:from>
    <xdr:to>
      <xdr:col>8</xdr:col>
      <xdr:colOff>166008</xdr:colOff>
      <xdr:row>91</xdr:row>
      <xdr:rowOff>56468</xdr:rowOff>
    </xdr:to>
    <xdr:sp macro="" textlink="">
      <xdr:nvSpPr>
        <xdr:cNvPr id="560" name="Isosceles Triangle 559">
          <a:extLst>
            <a:ext uri="{FF2B5EF4-FFF2-40B4-BE49-F238E27FC236}">
              <a16:creationId xmlns:a16="http://schemas.microsoft.com/office/drawing/2014/main" id="{E1662F35-EA93-4480-AC01-0805C4AD8D63}"/>
            </a:ext>
          </a:extLst>
        </xdr:cNvPr>
        <xdr:cNvSpPr/>
      </xdr:nvSpPr>
      <xdr:spPr>
        <a:xfrm>
          <a:off x="4442031" y="16730412"/>
          <a:ext cx="200727" cy="23293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800" b="0"/>
        </a:p>
      </xdr:txBody>
    </xdr:sp>
    <xdr:clientData/>
  </xdr:twoCellAnchor>
  <xdr:twoCellAnchor>
    <xdr:from>
      <xdr:col>7</xdr:col>
      <xdr:colOff>573438</xdr:colOff>
      <xdr:row>95</xdr:row>
      <xdr:rowOff>9997</xdr:rowOff>
    </xdr:from>
    <xdr:to>
      <xdr:col>8</xdr:col>
      <xdr:colOff>15999</xdr:colOff>
      <xdr:row>96</xdr:row>
      <xdr:rowOff>22233</xdr:rowOff>
    </xdr:to>
    <xdr:grpSp>
      <xdr:nvGrpSpPr>
        <xdr:cNvPr id="561" name="Group 560">
          <a:extLst>
            <a:ext uri="{FF2B5EF4-FFF2-40B4-BE49-F238E27FC236}">
              <a16:creationId xmlns:a16="http://schemas.microsoft.com/office/drawing/2014/main" id="{BA3E5C16-8CD6-4C9E-BBED-558D842544A4}"/>
            </a:ext>
          </a:extLst>
        </xdr:cNvPr>
        <xdr:cNvGrpSpPr/>
      </xdr:nvGrpSpPr>
      <xdr:grpSpPr>
        <a:xfrm>
          <a:off x="4369831" y="19359354"/>
          <a:ext cx="163739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62" name="Oval 561">
            <a:extLst>
              <a:ext uri="{FF2B5EF4-FFF2-40B4-BE49-F238E27FC236}">
                <a16:creationId xmlns:a16="http://schemas.microsoft.com/office/drawing/2014/main" id="{60A1222B-4528-B04D-C164-E07BAAF9D83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63" name="Straight Connector 562">
            <a:extLst>
              <a:ext uri="{FF2B5EF4-FFF2-40B4-BE49-F238E27FC236}">
                <a16:creationId xmlns:a16="http://schemas.microsoft.com/office/drawing/2014/main" id="{2CB26A22-BD8E-21AE-E5EA-F6FBC0226F6A}"/>
              </a:ext>
            </a:extLst>
          </xdr:cNvPr>
          <xdr:cNvCxnSpPr>
            <a:stCxn id="562" idx="1"/>
            <a:endCxn id="56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4" name="Straight Connector 563">
            <a:extLst>
              <a:ext uri="{FF2B5EF4-FFF2-40B4-BE49-F238E27FC236}">
                <a16:creationId xmlns:a16="http://schemas.microsoft.com/office/drawing/2014/main" id="{5C967672-6BB9-3D1A-3BC3-55EB9621BC84}"/>
              </a:ext>
            </a:extLst>
          </xdr:cNvPr>
          <xdr:cNvCxnSpPr>
            <a:stCxn id="562" idx="3"/>
            <a:endCxn id="56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299594</xdr:colOff>
      <xdr:row>95</xdr:row>
      <xdr:rowOff>134737</xdr:rowOff>
    </xdr:from>
    <xdr:to>
      <xdr:col>15</xdr:col>
      <xdr:colOff>490094</xdr:colOff>
      <xdr:row>97</xdr:row>
      <xdr:rowOff>72618</xdr:rowOff>
    </xdr:to>
    <xdr:sp macro="" textlink="">
      <xdr:nvSpPr>
        <xdr:cNvPr id="565" name="Isosceles Triangle 564">
          <a:extLst>
            <a:ext uri="{FF2B5EF4-FFF2-40B4-BE49-F238E27FC236}">
              <a16:creationId xmlns:a16="http://schemas.microsoft.com/office/drawing/2014/main" id="{69D05B05-3941-4E32-B7BD-F0D19135B86A}"/>
            </a:ext>
          </a:extLst>
        </xdr:cNvPr>
        <xdr:cNvSpPr/>
      </xdr:nvSpPr>
      <xdr:spPr>
        <a:xfrm>
          <a:off x="9776969" y="17660737"/>
          <a:ext cx="190500" cy="22363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800" b="0"/>
        </a:p>
      </xdr:txBody>
    </xdr:sp>
    <xdr:clientData/>
  </xdr:twoCellAnchor>
  <xdr:oneCellAnchor>
    <xdr:from>
      <xdr:col>15</xdr:col>
      <xdr:colOff>687532</xdr:colOff>
      <xdr:row>88</xdr:row>
      <xdr:rowOff>47520</xdr:rowOff>
    </xdr:from>
    <xdr:ext cx="184731" cy="217560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E2276FFA-8058-4680-A732-92F93D912EE3}"/>
            </a:ext>
          </a:extLst>
        </xdr:cNvPr>
        <xdr:cNvSpPr txBox="1"/>
      </xdr:nvSpPr>
      <xdr:spPr>
        <a:xfrm>
          <a:off x="10164907" y="1652577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twoCellAnchor>
    <xdr:from>
      <xdr:col>15</xdr:col>
      <xdr:colOff>206389</xdr:colOff>
      <xdr:row>98</xdr:row>
      <xdr:rowOff>79479</xdr:rowOff>
    </xdr:from>
    <xdr:to>
      <xdr:col>16</xdr:col>
      <xdr:colOff>296825</xdr:colOff>
      <xdr:row>103</xdr:row>
      <xdr:rowOff>304</xdr:rowOff>
    </xdr:to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740312BE-2826-4C85-9959-46D2B92209A5}"/>
            </a:ext>
          </a:extLst>
        </xdr:cNvPr>
        <xdr:cNvSpPr txBox="1"/>
      </xdr:nvSpPr>
      <xdr:spPr>
        <a:xfrm rot="716547">
          <a:off x="9683764" y="18034104"/>
          <a:ext cx="804811" cy="635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/>
            <a:t>MASJID</a:t>
          </a:r>
        </a:p>
      </xdr:txBody>
    </xdr:sp>
    <xdr:clientData/>
  </xdr:twoCellAnchor>
  <xdr:twoCellAnchor>
    <xdr:from>
      <xdr:col>6</xdr:col>
      <xdr:colOff>692070</xdr:colOff>
      <xdr:row>147</xdr:row>
      <xdr:rowOff>89229</xdr:rowOff>
    </xdr:from>
    <xdr:to>
      <xdr:col>16</xdr:col>
      <xdr:colOff>105189</xdr:colOff>
      <xdr:row>148</xdr:row>
      <xdr:rowOff>79127</xdr:rowOff>
    </xdr:to>
    <xdr:cxnSp macro="">
      <xdr:nvCxnSpPr>
        <xdr:cNvPr id="568" name="Straight Connector 567">
          <a:extLst>
            <a:ext uri="{FF2B5EF4-FFF2-40B4-BE49-F238E27FC236}">
              <a16:creationId xmlns:a16="http://schemas.microsoft.com/office/drawing/2014/main" id="{C279DCC6-9044-4C48-8DDC-9A0700D5F8CA}"/>
            </a:ext>
          </a:extLst>
        </xdr:cNvPr>
        <xdr:cNvCxnSpPr/>
      </xdr:nvCxnSpPr>
      <xdr:spPr>
        <a:xfrm>
          <a:off x="3740070" y="26330604"/>
          <a:ext cx="6556869" cy="132773"/>
        </a:xfrm>
        <a:prstGeom prst="line">
          <a:avLst/>
        </a:prstGeom>
        <a:ln w="381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477447</xdr:colOff>
      <xdr:row>150</xdr:row>
      <xdr:rowOff>122360</xdr:rowOff>
    </xdr:from>
    <xdr:to>
      <xdr:col>14</xdr:col>
      <xdr:colOff>632073</xdr:colOff>
      <xdr:row>151</xdr:row>
      <xdr:rowOff>134595</xdr:rowOff>
    </xdr:to>
    <xdr:grpSp>
      <xdr:nvGrpSpPr>
        <xdr:cNvPr id="569" name="Group 568">
          <a:extLst>
            <a:ext uri="{FF2B5EF4-FFF2-40B4-BE49-F238E27FC236}">
              <a16:creationId xmlns:a16="http://schemas.microsoft.com/office/drawing/2014/main" id="{C81CF5BC-E9CF-4987-8412-6D3C7E07B228}"/>
            </a:ext>
          </a:extLst>
        </xdr:cNvPr>
        <xdr:cNvGrpSpPr/>
      </xdr:nvGrpSpPr>
      <xdr:grpSpPr>
        <a:xfrm>
          <a:off x="9322090" y="30697610"/>
          <a:ext cx="154626" cy="21634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70" name="Oval 569">
            <a:extLst>
              <a:ext uri="{FF2B5EF4-FFF2-40B4-BE49-F238E27FC236}">
                <a16:creationId xmlns:a16="http://schemas.microsoft.com/office/drawing/2014/main" id="{BADE73FC-BD07-E657-A2D7-A944E60F861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457673FF-F863-C015-7642-AE9B522F962F}"/>
              </a:ext>
            </a:extLst>
          </xdr:cNvPr>
          <xdr:cNvCxnSpPr>
            <a:stCxn id="570" idx="1"/>
            <a:endCxn id="57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2" name="Straight Connector 571">
            <a:extLst>
              <a:ext uri="{FF2B5EF4-FFF2-40B4-BE49-F238E27FC236}">
                <a16:creationId xmlns:a16="http://schemas.microsoft.com/office/drawing/2014/main" id="{906EC3F1-DC4B-C7D1-78F7-8CC2BB65A07A}"/>
              </a:ext>
            </a:extLst>
          </xdr:cNvPr>
          <xdr:cNvCxnSpPr>
            <a:stCxn id="570" idx="3"/>
            <a:endCxn id="57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462190</xdr:colOff>
      <xdr:row>150</xdr:row>
      <xdr:rowOff>122361</xdr:rowOff>
    </xdr:from>
    <xdr:to>
      <xdr:col>12</xdr:col>
      <xdr:colOff>616404</xdr:colOff>
      <xdr:row>151</xdr:row>
      <xdr:rowOff>134596</xdr:rowOff>
    </xdr:to>
    <xdr:grpSp>
      <xdr:nvGrpSpPr>
        <xdr:cNvPr id="573" name="Group 572">
          <a:extLst>
            <a:ext uri="{FF2B5EF4-FFF2-40B4-BE49-F238E27FC236}">
              <a16:creationId xmlns:a16="http://schemas.microsoft.com/office/drawing/2014/main" id="{2DA00607-E88F-43EE-AC6C-99B712AC0C9D}"/>
            </a:ext>
          </a:extLst>
        </xdr:cNvPr>
        <xdr:cNvGrpSpPr/>
      </xdr:nvGrpSpPr>
      <xdr:grpSpPr>
        <a:xfrm>
          <a:off x="7864476" y="30697611"/>
          <a:ext cx="154214" cy="21634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74" name="Oval 573">
            <a:extLst>
              <a:ext uri="{FF2B5EF4-FFF2-40B4-BE49-F238E27FC236}">
                <a16:creationId xmlns:a16="http://schemas.microsoft.com/office/drawing/2014/main" id="{3BA21944-BC22-A9C4-ECE6-300B9CCFFC8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75" name="Straight Connector 574">
            <a:extLst>
              <a:ext uri="{FF2B5EF4-FFF2-40B4-BE49-F238E27FC236}">
                <a16:creationId xmlns:a16="http://schemas.microsoft.com/office/drawing/2014/main" id="{CA3076B9-8A92-7E49-7F73-7D819EA52714}"/>
              </a:ext>
            </a:extLst>
          </xdr:cNvPr>
          <xdr:cNvCxnSpPr>
            <a:stCxn id="574" idx="1"/>
            <a:endCxn id="5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80F8BD89-31EC-3D24-B832-D5B05F3766F5}"/>
              </a:ext>
            </a:extLst>
          </xdr:cNvPr>
          <xdr:cNvCxnSpPr>
            <a:stCxn id="574" idx="3"/>
            <a:endCxn id="5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5938</xdr:colOff>
      <xdr:row>149</xdr:row>
      <xdr:rowOff>121638</xdr:rowOff>
    </xdr:from>
    <xdr:to>
      <xdr:col>9</xdr:col>
      <xdr:colOff>160152</xdr:colOff>
      <xdr:row>150</xdr:row>
      <xdr:rowOff>110062</xdr:rowOff>
    </xdr:to>
    <xdr:grpSp>
      <xdr:nvGrpSpPr>
        <xdr:cNvPr id="577" name="Group 576">
          <a:extLst>
            <a:ext uri="{FF2B5EF4-FFF2-40B4-BE49-F238E27FC236}">
              <a16:creationId xmlns:a16="http://schemas.microsoft.com/office/drawing/2014/main" id="{55ADB8F3-4469-4D3E-80C3-4355CF97542A}"/>
            </a:ext>
          </a:extLst>
        </xdr:cNvPr>
        <xdr:cNvGrpSpPr/>
      </xdr:nvGrpSpPr>
      <xdr:grpSpPr>
        <a:xfrm>
          <a:off x="5244688" y="30492781"/>
          <a:ext cx="154214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78" name="Oval 577">
            <a:extLst>
              <a:ext uri="{FF2B5EF4-FFF2-40B4-BE49-F238E27FC236}">
                <a16:creationId xmlns:a16="http://schemas.microsoft.com/office/drawing/2014/main" id="{CC9C2224-70CB-BE08-AEF9-B817E29BB43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79" name="Straight Connector 578">
            <a:extLst>
              <a:ext uri="{FF2B5EF4-FFF2-40B4-BE49-F238E27FC236}">
                <a16:creationId xmlns:a16="http://schemas.microsoft.com/office/drawing/2014/main" id="{A35F3678-F6AB-304F-57EB-BABC09ECF947}"/>
              </a:ext>
            </a:extLst>
          </xdr:cNvPr>
          <xdr:cNvCxnSpPr>
            <a:stCxn id="578" idx="1"/>
            <a:endCxn id="5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Straight Connector 579">
            <a:extLst>
              <a:ext uri="{FF2B5EF4-FFF2-40B4-BE49-F238E27FC236}">
                <a16:creationId xmlns:a16="http://schemas.microsoft.com/office/drawing/2014/main" id="{A7925FA2-4EBF-C3C7-D411-CDB531799B89}"/>
              </a:ext>
            </a:extLst>
          </xdr:cNvPr>
          <xdr:cNvCxnSpPr>
            <a:stCxn id="578" idx="3"/>
            <a:endCxn id="5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423842</xdr:colOff>
      <xdr:row>149</xdr:row>
      <xdr:rowOff>144730</xdr:rowOff>
    </xdr:from>
    <xdr:to>
      <xdr:col>10</xdr:col>
      <xdr:colOff>578056</xdr:colOff>
      <xdr:row>150</xdr:row>
      <xdr:rowOff>133154</xdr:rowOff>
    </xdr:to>
    <xdr:grpSp>
      <xdr:nvGrpSpPr>
        <xdr:cNvPr id="581" name="Group 580">
          <a:extLst>
            <a:ext uri="{FF2B5EF4-FFF2-40B4-BE49-F238E27FC236}">
              <a16:creationId xmlns:a16="http://schemas.microsoft.com/office/drawing/2014/main" id="{2F0D9A73-B097-40F6-B035-7722D261CA9C}"/>
            </a:ext>
          </a:extLst>
        </xdr:cNvPr>
        <xdr:cNvGrpSpPr/>
      </xdr:nvGrpSpPr>
      <xdr:grpSpPr>
        <a:xfrm>
          <a:off x="6383771" y="30515873"/>
          <a:ext cx="154214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82" name="Oval 581">
            <a:extLst>
              <a:ext uri="{FF2B5EF4-FFF2-40B4-BE49-F238E27FC236}">
                <a16:creationId xmlns:a16="http://schemas.microsoft.com/office/drawing/2014/main" id="{DB47D2E7-F164-D6A6-E4B0-03567FC557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83" name="Straight Connector 582">
            <a:extLst>
              <a:ext uri="{FF2B5EF4-FFF2-40B4-BE49-F238E27FC236}">
                <a16:creationId xmlns:a16="http://schemas.microsoft.com/office/drawing/2014/main" id="{84B897B5-8D61-793A-F6A0-DA0D9EF92DAD}"/>
              </a:ext>
            </a:extLst>
          </xdr:cNvPr>
          <xdr:cNvCxnSpPr>
            <a:stCxn id="582" idx="1"/>
            <a:endCxn id="5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828469DE-8199-196E-544D-E9F66F18C33E}"/>
              </a:ext>
            </a:extLst>
          </xdr:cNvPr>
          <xdr:cNvCxnSpPr>
            <a:stCxn id="582" idx="3"/>
            <a:endCxn id="5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383228</xdr:colOff>
      <xdr:row>149</xdr:row>
      <xdr:rowOff>110093</xdr:rowOff>
    </xdr:from>
    <xdr:to>
      <xdr:col>7</xdr:col>
      <xdr:colOff>537442</xdr:colOff>
      <xdr:row>150</xdr:row>
      <xdr:rowOff>98517</xdr:rowOff>
    </xdr:to>
    <xdr:grpSp>
      <xdr:nvGrpSpPr>
        <xdr:cNvPr id="585" name="Group 584">
          <a:extLst>
            <a:ext uri="{FF2B5EF4-FFF2-40B4-BE49-F238E27FC236}">
              <a16:creationId xmlns:a16="http://schemas.microsoft.com/office/drawing/2014/main" id="{33D96417-081A-49A9-AA92-0C3370869EA2}"/>
            </a:ext>
          </a:extLst>
        </xdr:cNvPr>
        <xdr:cNvGrpSpPr/>
      </xdr:nvGrpSpPr>
      <xdr:grpSpPr>
        <a:xfrm>
          <a:off x="4179621" y="30481236"/>
          <a:ext cx="154214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86" name="Oval 585">
            <a:extLst>
              <a:ext uri="{FF2B5EF4-FFF2-40B4-BE49-F238E27FC236}">
                <a16:creationId xmlns:a16="http://schemas.microsoft.com/office/drawing/2014/main" id="{67CD10A7-AE9A-4B49-1E50-D929BBE1AF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4DD019D0-F598-44E8-3CDA-67CC735D898B}"/>
              </a:ext>
            </a:extLst>
          </xdr:cNvPr>
          <xdr:cNvCxnSpPr>
            <a:stCxn id="586" idx="1"/>
            <a:endCxn id="58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B928A2B6-0004-B38F-53C3-BCD2E871D77F}"/>
              </a:ext>
            </a:extLst>
          </xdr:cNvPr>
          <xdr:cNvCxnSpPr>
            <a:stCxn id="586" idx="3"/>
            <a:endCxn id="58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508950</xdr:colOff>
      <xdr:row>130</xdr:row>
      <xdr:rowOff>85706</xdr:rowOff>
    </xdr:from>
    <xdr:to>
      <xdr:col>12</xdr:col>
      <xdr:colOff>532042</xdr:colOff>
      <xdr:row>148</xdr:row>
      <xdr:rowOff>163634</xdr:rowOff>
    </xdr:to>
    <xdr:cxnSp macro="">
      <xdr:nvCxnSpPr>
        <xdr:cNvPr id="589" name="Straight Connector 588">
          <a:extLst>
            <a:ext uri="{FF2B5EF4-FFF2-40B4-BE49-F238E27FC236}">
              <a16:creationId xmlns:a16="http://schemas.microsoft.com/office/drawing/2014/main" id="{763F1139-AE34-4537-86F4-8F496E0E5C0C}"/>
            </a:ext>
          </a:extLst>
        </xdr:cNvPr>
        <xdr:cNvCxnSpPr/>
      </xdr:nvCxnSpPr>
      <xdr:spPr>
        <a:xfrm rot="16200000" flipH="1">
          <a:off x="6529907" y="25211499"/>
          <a:ext cx="2649678" cy="23092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620114</xdr:colOff>
      <xdr:row>151</xdr:row>
      <xdr:rowOff>111881</xdr:rowOff>
    </xdr:from>
    <xdr:to>
      <xdr:col>12</xdr:col>
      <xdr:colOff>484774</xdr:colOff>
      <xdr:row>156</xdr:row>
      <xdr:rowOff>142563</xdr:rowOff>
    </xdr:to>
    <xdr:cxnSp macro="">
      <xdr:nvCxnSpPr>
        <xdr:cNvPr id="590" name="Straight Connector 589">
          <a:extLst>
            <a:ext uri="{FF2B5EF4-FFF2-40B4-BE49-F238E27FC236}">
              <a16:creationId xmlns:a16="http://schemas.microsoft.com/office/drawing/2014/main" id="{88530F81-3E14-4C0B-A587-AF210A3CF853}"/>
            </a:ext>
          </a:extLst>
        </xdr:cNvPr>
        <xdr:cNvCxnSpPr>
          <a:stCxn id="574" idx="3"/>
        </xdr:cNvCxnSpPr>
      </xdr:nvCxnSpPr>
      <xdr:spPr>
        <a:xfrm flipH="1">
          <a:off x="6525614" y="26972381"/>
          <a:ext cx="1293410" cy="745057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484774</xdr:colOff>
      <xdr:row>142</xdr:row>
      <xdr:rowOff>30929</xdr:rowOff>
    </xdr:from>
    <xdr:to>
      <xdr:col>13</xdr:col>
      <xdr:colOff>77201</xdr:colOff>
      <xdr:row>151</xdr:row>
      <xdr:rowOff>2201</xdr:rowOff>
    </xdr:to>
    <xdr:cxnSp macro="">
      <xdr:nvCxnSpPr>
        <xdr:cNvPr id="591" name="Straight Connector 590">
          <a:extLst>
            <a:ext uri="{FF2B5EF4-FFF2-40B4-BE49-F238E27FC236}">
              <a16:creationId xmlns:a16="http://schemas.microsoft.com/office/drawing/2014/main" id="{4829BD1F-4EEF-450A-8A4A-3ADEF680A764}"/>
            </a:ext>
          </a:extLst>
        </xdr:cNvPr>
        <xdr:cNvCxnSpPr>
          <a:stCxn id="595" idx="2"/>
          <a:endCxn id="574" idx="1"/>
        </xdr:cNvCxnSpPr>
      </xdr:nvCxnSpPr>
      <xdr:spPr>
        <a:xfrm flipH="1">
          <a:off x="7819024" y="25557929"/>
          <a:ext cx="306802" cy="1304772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286740</xdr:colOff>
      <xdr:row>84</xdr:row>
      <xdr:rowOff>129562</xdr:rowOff>
    </xdr:from>
    <xdr:to>
      <xdr:col>12</xdr:col>
      <xdr:colOff>66164</xdr:colOff>
      <xdr:row>87</xdr:row>
      <xdr:rowOff>127397</xdr:rowOff>
    </xdr:to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7294DFCE-FBC0-4E98-A655-24660A9CB3F6}"/>
            </a:ext>
          </a:extLst>
        </xdr:cNvPr>
        <xdr:cNvSpPr txBox="1"/>
      </xdr:nvSpPr>
      <xdr:spPr>
        <a:xfrm>
          <a:off x="6906615" y="16036312"/>
          <a:ext cx="493799" cy="42646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/>
            <a:t>MUSHOLA</a:t>
          </a:r>
        </a:p>
      </xdr:txBody>
    </xdr:sp>
    <xdr:clientData/>
  </xdr:twoCellAnchor>
  <xdr:twoCellAnchor>
    <xdr:from>
      <xdr:col>13</xdr:col>
      <xdr:colOff>325912</xdr:colOff>
      <xdr:row>137</xdr:row>
      <xdr:rowOff>42222</xdr:rowOff>
    </xdr:from>
    <xdr:to>
      <xdr:col>14</xdr:col>
      <xdr:colOff>306642</xdr:colOff>
      <xdr:row>141</xdr:row>
      <xdr:rowOff>75840</xdr:rowOff>
    </xdr:to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685AD919-FA33-43AB-BABE-7003F2147D02}"/>
            </a:ext>
          </a:extLst>
        </xdr:cNvPr>
        <xdr:cNvSpPr txBox="1"/>
      </xdr:nvSpPr>
      <xdr:spPr>
        <a:xfrm>
          <a:off x="8374537" y="24854847"/>
          <a:ext cx="695105" cy="60511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/>
            <a:t>MUSHOLA</a:t>
          </a:r>
        </a:p>
      </xdr:txBody>
    </xdr:sp>
    <xdr:clientData/>
  </xdr:twoCellAnchor>
  <xdr:twoCellAnchor>
    <xdr:from>
      <xdr:col>7</xdr:col>
      <xdr:colOff>197995</xdr:colOff>
      <xdr:row>182</xdr:row>
      <xdr:rowOff>36686</xdr:rowOff>
    </xdr:from>
    <xdr:to>
      <xdr:col>7</xdr:col>
      <xdr:colOff>221086</xdr:colOff>
      <xdr:row>214</xdr:row>
      <xdr:rowOff>117293</xdr:rowOff>
    </xdr:to>
    <xdr:cxnSp macro="">
      <xdr:nvCxnSpPr>
        <xdr:cNvPr id="594" name="Straight Connector 593">
          <a:extLst>
            <a:ext uri="{FF2B5EF4-FFF2-40B4-BE49-F238E27FC236}">
              <a16:creationId xmlns:a16="http://schemas.microsoft.com/office/drawing/2014/main" id="{BE3F5D4C-1DF3-4EDD-B671-56AF6E7B9E63}"/>
            </a:ext>
          </a:extLst>
        </xdr:cNvPr>
        <xdr:cNvCxnSpPr/>
      </xdr:nvCxnSpPr>
      <xdr:spPr>
        <a:xfrm rot="16200000" flipH="1">
          <a:off x="1452310" y="36557400"/>
          <a:ext cx="5089637" cy="23091"/>
        </a:xfrm>
        <a:prstGeom prst="line">
          <a:avLst/>
        </a:prstGeom>
        <a:ln w="381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77201</xdr:colOff>
      <xdr:row>141</xdr:row>
      <xdr:rowOff>101645</xdr:rowOff>
    </xdr:from>
    <xdr:to>
      <xdr:col>13</xdr:col>
      <xdr:colOff>234495</xdr:colOff>
      <xdr:row>142</xdr:row>
      <xdr:rowOff>103088</xdr:rowOff>
    </xdr:to>
    <xdr:sp macro="" textlink="">
      <xdr:nvSpPr>
        <xdr:cNvPr id="595" name="Flowchart: Connector 594">
          <a:extLst>
            <a:ext uri="{FF2B5EF4-FFF2-40B4-BE49-F238E27FC236}">
              <a16:creationId xmlns:a16="http://schemas.microsoft.com/office/drawing/2014/main" id="{CC15532A-F382-43BA-B0E0-6872EA6751B7}"/>
            </a:ext>
          </a:extLst>
        </xdr:cNvPr>
        <xdr:cNvSpPr/>
      </xdr:nvSpPr>
      <xdr:spPr>
        <a:xfrm>
          <a:off x="8125826" y="25485770"/>
          <a:ext cx="157294" cy="144318"/>
        </a:xfrm>
        <a:prstGeom prst="flowChartConnector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7</xdr:col>
      <xdr:colOff>691053</xdr:colOff>
      <xdr:row>210</xdr:row>
      <xdr:rowOff>20941</xdr:rowOff>
    </xdr:from>
    <xdr:to>
      <xdr:col>8</xdr:col>
      <xdr:colOff>124379</xdr:colOff>
      <xdr:row>211</xdr:row>
      <xdr:rowOff>22383</xdr:rowOff>
    </xdr:to>
    <xdr:sp macro="" textlink="">
      <xdr:nvSpPr>
        <xdr:cNvPr id="596" name="Flowchart: Connector 595">
          <a:extLst>
            <a:ext uri="{FF2B5EF4-FFF2-40B4-BE49-F238E27FC236}">
              <a16:creationId xmlns:a16="http://schemas.microsoft.com/office/drawing/2014/main" id="{DEFAD7F3-0A21-4FCA-8013-26029A7E249E}"/>
            </a:ext>
          </a:extLst>
        </xdr:cNvPr>
        <xdr:cNvSpPr/>
      </xdr:nvSpPr>
      <xdr:spPr>
        <a:xfrm>
          <a:off x="4478641" y="38389882"/>
          <a:ext cx="150503" cy="158325"/>
        </a:xfrm>
        <a:prstGeom prst="flowChartConnector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9</xdr:col>
      <xdr:colOff>375594</xdr:colOff>
      <xdr:row>205</xdr:row>
      <xdr:rowOff>124169</xdr:rowOff>
    </xdr:from>
    <xdr:to>
      <xdr:col>9</xdr:col>
      <xdr:colOff>532889</xdr:colOff>
      <xdr:row>206</xdr:row>
      <xdr:rowOff>101799</xdr:rowOff>
    </xdr:to>
    <xdr:sp macro="" textlink="">
      <xdr:nvSpPr>
        <xdr:cNvPr id="597" name="Flowchart: Connector 596">
          <a:extLst>
            <a:ext uri="{FF2B5EF4-FFF2-40B4-BE49-F238E27FC236}">
              <a16:creationId xmlns:a16="http://schemas.microsoft.com/office/drawing/2014/main" id="{16EB93DA-1DF6-4D8E-8A29-52237C293691}"/>
            </a:ext>
          </a:extLst>
        </xdr:cNvPr>
        <xdr:cNvSpPr/>
      </xdr:nvSpPr>
      <xdr:spPr>
        <a:xfrm>
          <a:off x="5566719" y="36271544"/>
          <a:ext cx="157295" cy="144318"/>
        </a:xfrm>
        <a:prstGeom prst="flowChartConnector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7</xdr:col>
      <xdr:colOff>678832</xdr:colOff>
      <xdr:row>196</xdr:row>
      <xdr:rowOff>19455</xdr:rowOff>
    </xdr:from>
    <xdr:to>
      <xdr:col>8</xdr:col>
      <xdr:colOff>112158</xdr:colOff>
      <xdr:row>197</xdr:row>
      <xdr:rowOff>20898</xdr:rowOff>
    </xdr:to>
    <xdr:sp macro="" textlink="">
      <xdr:nvSpPr>
        <xdr:cNvPr id="598" name="Flowchart: Connector 597">
          <a:extLst>
            <a:ext uri="{FF2B5EF4-FFF2-40B4-BE49-F238E27FC236}">
              <a16:creationId xmlns:a16="http://schemas.microsoft.com/office/drawing/2014/main" id="{EE8073E1-F2C0-4C93-A4F1-FF7ECAEFE81F}"/>
            </a:ext>
          </a:extLst>
        </xdr:cNvPr>
        <xdr:cNvSpPr/>
      </xdr:nvSpPr>
      <xdr:spPr>
        <a:xfrm>
          <a:off x="4466420" y="36203249"/>
          <a:ext cx="150503" cy="158325"/>
        </a:xfrm>
        <a:prstGeom prst="flowChartConnector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12</xdr:col>
      <xdr:colOff>300554</xdr:colOff>
      <xdr:row>151</xdr:row>
      <xdr:rowOff>112258</xdr:rowOff>
    </xdr:from>
    <xdr:to>
      <xdr:col>12</xdr:col>
      <xdr:colOff>554553</xdr:colOff>
      <xdr:row>153</xdr:row>
      <xdr:rowOff>45915</xdr:rowOff>
    </xdr:to>
    <xdr:sp macro="" textlink="">
      <xdr:nvSpPr>
        <xdr:cNvPr id="599" name="Isosceles Triangle 598">
          <a:extLst>
            <a:ext uri="{FF2B5EF4-FFF2-40B4-BE49-F238E27FC236}">
              <a16:creationId xmlns:a16="http://schemas.microsoft.com/office/drawing/2014/main" id="{19F6EDB5-4DBC-4F52-B604-6294E06638EE}"/>
            </a:ext>
          </a:extLst>
        </xdr:cNvPr>
        <xdr:cNvSpPr/>
      </xdr:nvSpPr>
      <xdr:spPr>
        <a:xfrm>
          <a:off x="7634804" y="26972758"/>
          <a:ext cx="253999" cy="219407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800" b="0"/>
        </a:p>
      </xdr:txBody>
    </xdr:sp>
    <xdr:clientData/>
  </xdr:twoCellAnchor>
  <xdr:twoCellAnchor>
    <xdr:from>
      <xdr:col>12</xdr:col>
      <xdr:colOff>616404</xdr:colOff>
      <xdr:row>151</xdr:row>
      <xdr:rowOff>57040</xdr:rowOff>
    </xdr:from>
    <xdr:to>
      <xdr:col>14</xdr:col>
      <xdr:colOff>477447</xdr:colOff>
      <xdr:row>151</xdr:row>
      <xdr:rowOff>57041</xdr:rowOff>
    </xdr:to>
    <xdr:cxnSp macro="">
      <xdr:nvCxnSpPr>
        <xdr:cNvPr id="600" name="Straight Connector 599">
          <a:extLst>
            <a:ext uri="{FF2B5EF4-FFF2-40B4-BE49-F238E27FC236}">
              <a16:creationId xmlns:a16="http://schemas.microsoft.com/office/drawing/2014/main" id="{76E78B16-F6A5-4AF1-BA87-DEC72F50568D}"/>
            </a:ext>
          </a:extLst>
        </xdr:cNvPr>
        <xdr:cNvCxnSpPr>
          <a:stCxn id="570" idx="2"/>
          <a:endCxn id="574" idx="6"/>
        </xdr:cNvCxnSpPr>
      </xdr:nvCxnSpPr>
      <xdr:spPr>
        <a:xfrm flipH="1">
          <a:off x="7950654" y="26917540"/>
          <a:ext cx="1289793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182021</xdr:colOff>
      <xdr:row>274</xdr:row>
      <xdr:rowOff>95249</xdr:rowOff>
    </xdr:from>
    <xdr:ext cx="184731" cy="217560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61CA88AA-4037-4AE4-B470-4546421FC012}"/>
            </a:ext>
          </a:extLst>
        </xdr:cNvPr>
        <xdr:cNvSpPr txBox="1"/>
      </xdr:nvSpPr>
      <xdr:spPr>
        <a:xfrm>
          <a:off x="7516271" y="48744187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15</xdr:col>
      <xdr:colOff>175568</xdr:colOff>
      <xdr:row>275</xdr:row>
      <xdr:rowOff>1220</xdr:rowOff>
    </xdr:from>
    <xdr:ext cx="184731" cy="217560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207A75AA-195E-4161-AF32-621943029420}"/>
            </a:ext>
          </a:extLst>
        </xdr:cNvPr>
        <xdr:cNvSpPr txBox="1"/>
      </xdr:nvSpPr>
      <xdr:spPr>
        <a:xfrm>
          <a:off x="9652943" y="48793033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11</xdr:col>
      <xdr:colOff>147306</xdr:colOff>
      <xdr:row>274</xdr:row>
      <xdr:rowOff>95248</xdr:rowOff>
    </xdr:from>
    <xdr:ext cx="184731" cy="217560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180BD577-48E2-4AB8-A4B3-B929465245E8}"/>
            </a:ext>
          </a:extLst>
        </xdr:cNvPr>
        <xdr:cNvSpPr txBox="1"/>
      </xdr:nvSpPr>
      <xdr:spPr>
        <a:xfrm>
          <a:off x="6767181" y="48744186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14</xdr:col>
      <xdr:colOff>121314</xdr:colOff>
      <xdr:row>274</xdr:row>
      <xdr:rowOff>114787</xdr:rowOff>
    </xdr:from>
    <xdr:ext cx="184731" cy="217560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CC2F4D3D-C6A9-41F7-965E-F67FC36E9740}"/>
            </a:ext>
          </a:extLst>
        </xdr:cNvPr>
        <xdr:cNvSpPr txBox="1"/>
      </xdr:nvSpPr>
      <xdr:spPr>
        <a:xfrm>
          <a:off x="8884314" y="4876372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8</xdr:col>
      <xdr:colOff>635943</xdr:colOff>
      <xdr:row>274</xdr:row>
      <xdr:rowOff>12210</xdr:rowOff>
    </xdr:from>
    <xdr:ext cx="184731" cy="217560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A3D16DD0-C061-4489-8882-A73B7F5189F9}"/>
            </a:ext>
          </a:extLst>
        </xdr:cNvPr>
        <xdr:cNvSpPr txBox="1"/>
      </xdr:nvSpPr>
      <xdr:spPr>
        <a:xfrm>
          <a:off x="5112693" y="48661148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7</xdr:col>
      <xdr:colOff>678968</xdr:colOff>
      <xdr:row>287</xdr:row>
      <xdr:rowOff>68567</xdr:rowOff>
    </xdr:from>
    <xdr:ext cx="184731" cy="217560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050BC4D9-3AE9-40E0-833E-D1DC18418CBB}"/>
            </a:ext>
          </a:extLst>
        </xdr:cNvPr>
        <xdr:cNvSpPr txBox="1"/>
      </xdr:nvSpPr>
      <xdr:spPr>
        <a:xfrm>
          <a:off x="4441343" y="5062250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19</xdr:col>
      <xdr:colOff>200277</xdr:colOff>
      <xdr:row>288</xdr:row>
      <xdr:rowOff>86885</xdr:rowOff>
    </xdr:from>
    <xdr:ext cx="184731" cy="217560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84593510-FA95-4234-8121-48B26BD0C770}"/>
            </a:ext>
          </a:extLst>
        </xdr:cNvPr>
        <xdr:cNvSpPr txBox="1"/>
      </xdr:nvSpPr>
      <xdr:spPr>
        <a:xfrm>
          <a:off x="12535152" y="50783698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oneCellAnchor>
    <xdr:from>
      <xdr:col>16</xdr:col>
      <xdr:colOff>412297</xdr:colOff>
      <xdr:row>284</xdr:row>
      <xdr:rowOff>89142</xdr:rowOff>
    </xdr:from>
    <xdr:ext cx="184731" cy="217560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FA54EA9A-8950-4E47-BA2F-99C480DAD82F}"/>
            </a:ext>
          </a:extLst>
        </xdr:cNvPr>
        <xdr:cNvSpPr txBox="1"/>
      </xdr:nvSpPr>
      <xdr:spPr>
        <a:xfrm>
          <a:off x="10604047" y="5021445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800" b="0"/>
        </a:p>
      </xdr:txBody>
    </xdr:sp>
    <xdr:clientData/>
  </xdr:oneCellAnchor>
  <xdr:twoCellAnchor>
    <xdr:from>
      <xdr:col>5</xdr:col>
      <xdr:colOff>135790</xdr:colOff>
      <xdr:row>16</xdr:row>
      <xdr:rowOff>48998</xdr:rowOff>
    </xdr:from>
    <xdr:to>
      <xdr:col>6</xdr:col>
      <xdr:colOff>95480</xdr:colOff>
      <xdr:row>21</xdr:row>
      <xdr:rowOff>168088</xdr:rowOff>
    </xdr:to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FCC66DB1-5B16-476F-ACA9-2C1FEB5F56C9}"/>
            </a:ext>
          </a:extLst>
        </xdr:cNvPr>
        <xdr:cNvSpPr txBox="1"/>
      </xdr:nvSpPr>
      <xdr:spPr>
        <a:xfrm>
          <a:off x="2489025" y="3231469"/>
          <a:ext cx="676867" cy="112761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PWI</a:t>
          </a:r>
          <a:r>
            <a:rPr lang="en-ID" sz="800" b="1" u="sng" baseline="0">
              <a:solidFill>
                <a:srgbClr val="FF0000"/>
              </a:solidFill>
            </a:rPr>
            <a:t> 06</a:t>
          </a:r>
        </a:p>
        <a:p>
          <a:pPr algn="ctr"/>
          <a:r>
            <a:rPr lang="en-ID" sz="800" b="1" u="sng" baseline="0">
              <a:solidFill>
                <a:srgbClr val="FF0000"/>
              </a:solidFill>
            </a:rPr>
            <a:t>T1-180/36/1</a:t>
          </a:r>
          <a:endParaRPr lang="en-ID" sz="800" b="1" u="sng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C12-350</a:t>
          </a:r>
        </a:p>
        <a:p>
          <a:r>
            <a:rPr lang="en-ID" sz="800" b="0" baseline="0">
              <a:solidFill>
                <a:srgbClr val="FF0000"/>
              </a:solidFill>
            </a:rPr>
            <a:t>1 CC8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ABSW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362423</xdr:colOff>
      <xdr:row>22</xdr:row>
      <xdr:rowOff>183725</xdr:rowOff>
    </xdr:from>
    <xdr:to>
      <xdr:col>5</xdr:col>
      <xdr:colOff>519950</xdr:colOff>
      <xdr:row>23</xdr:row>
      <xdr:rowOff>123634</xdr:rowOff>
    </xdr:to>
    <xdr:grpSp>
      <xdr:nvGrpSpPr>
        <xdr:cNvPr id="611" name="Group 610">
          <a:extLst>
            <a:ext uri="{FF2B5EF4-FFF2-40B4-BE49-F238E27FC236}">
              <a16:creationId xmlns:a16="http://schemas.microsoft.com/office/drawing/2014/main" id="{1FAFAF0A-BA34-4491-897A-A9E41A105251}"/>
            </a:ext>
          </a:extLst>
        </xdr:cNvPr>
        <xdr:cNvGrpSpPr/>
      </xdr:nvGrpSpPr>
      <xdr:grpSpPr>
        <a:xfrm>
          <a:off x="2716459" y="4633261"/>
          <a:ext cx="157527" cy="1440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12" name="Oval 611">
            <a:extLst>
              <a:ext uri="{FF2B5EF4-FFF2-40B4-BE49-F238E27FC236}">
                <a16:creationId xmlns:a16="http://schemas.microsoft.com/office/drawing/2014/main" id="{94D0D2A6-46FC-EDA4-F4F3-EEB2232F8C7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613" name="Straight Connector 612">
            <a:extLst>
              <a:ext uri="{FF2B5EF4-FFF2-40B4-BE49-F238E27FC236}">
                <a16:creationId xmlns:a16="http://schemas.microsoft.com/office/drawing/2014/main" id="{E81DDEC9-58A7-79BE-A975-FED6C65E5BA0}"/>
              </a:ext>
            </a:extLst>
          </xdr:cNvPr>
          <xdr:cNvCxnSpPr>
            <a:stCxn id="612" idx="1"/>
            <a:endCxn id="6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3B262A1F-EE27-998B-1EFE-CDAC1223F6A1}"/>
              </a:ext>
            </a:extLst>
          </xdr:cNvPr>
          <xdr:cNvCxnSpPr>
            <a:stCxn id="612" idx="3"/>
            <a:endCxn id="6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181448</xdr:colOff>
      <xdr:row>22</xdr:row>
      <xdr:rowOff>211058</xdr:rowOff>
    </xdr:from>
    <xdr:to>
      <xdr:col>6</xdr:col>
      <xdr:colOff>338384</xdr:colOff>
      <xdr:row>23</xdr:row>
      <xdr:rowOff>150967</xdr:rowOff>
    </xdr:to>
    <xdr:grpSp>
      <xdr:nvGrpSpPr>
        <xdr:cNvPr id="615" name="Group 614">
          <a:extLst>
            <a:ext uri="{FF2B5EF4-FFF2-40B4-BE49-F238E27FC236}">
              <a16:creationId xmlns:a16="http://schemas.microsoft.com/office/drawing/2014/main" id="{D699DC33-F412-440B-B31F-64AE6BDABBF9}"/>
            </a:ext>
          </a:extLst>
        </xdr:cNvPr>
        <xdr:cNvGrpSpPr/>
      </xdr:nvGrpSpPr>
      <xdr:grpSpPr>
        <a:xfrm>
          <a:off x="3256662" y="4651069"/>
          <a:ext cx="156936" cy="15354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16" name="Oval 615">
            <a:extLst>
              <a:ext uri="{FF2B5EF4-FFF2-40B4-BE49-F238E27FC236}">
                <a16:creationId xmlns:a16="http://schemas.microsoft.com/office/drawing/2014/main" id="{F11FF393-A53F-C9E3-531C-3F66B028074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617" name="Straight Connector 616">
            <a:extLst>
              <a:ext uri="{FF2B5EF4-FFF2-40B4-BE49-F238E27FC236}">
                <a16:creationId xmlns:a16="http://schemas.microsoft.com/office/drawing/2014/main" id="{8A06F449-9680-0706-ED1E-4EBE65D78D98}"/>
              </a:ext>
            </a:extLst>
          </xdr:cNvPr>
          <xdr:cNvCxnSpPr>
            <a:stCxn id="616" idx="1"/>
            <a:endCxn id="61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8" name="Straight Connector 617">
            <a:extLst>
              <a:ext uri="{FF2B5EF4-FFF2-40B4-BE49-F238E27FC236}">
                <a16:creationId xmlns:a16="http://schemas.microsoft.com/office/drawing/2014/main" id="{CE56256F-F295-1EFC-4423-DD40571A16FE}"/>
              </a:ext>
            </a:extLst>
          </xdr:cNvPr>
          <xdr:cNvCxnSpPr>
            <a:stCxn id="616" idx="3"/>
            <a:endCxn id="61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607610</xdr:colOff>
      <xdr:row>18</xdr:row>
      <xdr:rowOff>74394</xdr:rowOff>
    </xdr:from>
    <xdr:to>
      <xdr:col>8</xdr:col>
      <xdr:colOff>525888</xdr:colOff>
      <xdr:row>22</xdr:row>
      <xdr:rowOff>57150</xdr:rowOff>
    </xdr:to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id="{12FA6382-DBE9-4850-B1C2-0E070E80F620}"/>
            </a:ext>
          </a:extLst>
        </xdr:cNvPr>
        <xdr:cNvSpPr txBox="1"/>
      </xdr:nvSpPr>
      <xdr:spPr>
        <a:xfrm>
          <a:off x="4369985" y="3636744"/>
          <a:ext cx="632653" cy="78285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8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C11-200</a:t>
          </a:r>
          <a:endParaRPr lang="en-ID" sz="800" b="0"/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666158</xdr:colOff>
      <xdr:row>18</xdr:row>
      <xdr:rowOff>79809</xdr:rowOff>
    </xdr:from>
    <xdr:to>
      <xdr:col>9</xdr:col>
      <xdr:colOff>594946</xdr:colOff>
      <xdr:row>22</xdr:row>
      <xdr:rowOff>66675</xdr:rowOff>
    </xdr:to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264D1BF0-2575-45B9-A5E9-CEAD41F06300}"/>
            </a:ext>
          </a:extLst>
        </xdr:cNvPr>
        <xdr:cNvSpPr txBox="1"/>
      </xdr:nvSpPr>
      <xdr:spPr>
        <a:xfrm>
          <a:off x="5142908" y="3642159"/>
          <a:ext cx="643163" cy="78696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 1</a:t>
          </a:r>
        </a:p>
        <a:p>
          <a:r>
            <a:rPr lang="en-ID" sz="800" b="0"/>
            <a:t>1</a:t>
          </a:r>
          <a:r>
            <a:rPr lang="en-ID" sz="800" b="0" baseline="0"/>
            <a:t> CJ6</a:t>
          </a:r>
          <a:endParaRPr lang="en-ID" sz="800" b="0"/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10601</xdr:colOff>
      <xdr:row>18</xdr:row>
      <xdr:rowOff>72483</xdr:rowOff>
    </xdr:from>
    <xdr:to>
      <xdr:col>10</xdr:col>
      <xdr:colOff>624777</xdr:colOff>
      <xdr:row>21</xdr:row>
      <xdr:rowOff>202056</xdr:rowOff>
    </xdr:to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86A820A0-1CA4-47FE-B330-5CA33B384A0C}"/>
            </a:ext>
          </a:extLst>
        </xdr:cNvPr>
        <xdr:cNvSpPr txBox="1"/>
      </xdr:nvSpPr>
      <xdr:spPr>
        <a:xfrm>
          <a:off x="5916101" y="3882483"/>
          <a:ext cx="614176" cy="77251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50310</xdr:colOff>
      <xdr:row>18</xdr:row>
      <xdr:rowOff>79810</xdr:rowOff>
    </xdr:from>
    <xdr:to>
      <xdr:col>11</xdr:col>
      <xdr:colOff>669262</xdr:colOff>
      <xdr:row>21</xdr:row>
      <xdr:rowOff>201738</xdr:rowOff>
    </xdr:to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id="{4782BDB3-FB94-4357-B03A-45539E756671}"/>
            </a:ext>
          </a:extLst>
        </xdr:cNvPr>
        <xdr:cNvSpPr txBox="1"/>
      </xdr:nvSpPr>
      <xdr:spPr>
        <a:xfrm>
          <a:off x="6670185" y="3889810"/>
          <a:ext cx="618952" cy="76486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</a:t>
          </a:r>
          <a:r>
            <a:rPr lang="en-ID" sz="800" b="0" baseline="0"/>
            <a:t> CJ6</a:t>
          </a:r>
          <a:endParaRPr lang="en-ID" sz="800" b="0"/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90017</xdr:colOff>
      <xdr:row>18</xdr:row>
      <xdr:rowOff>87136</xdr:rowOff>
    </xdr:from>
    <xdr:to>
      <xdr:col>13</xdr:col>
      <xdr:colOff>28681</xdr:colOff>
      <xdr:row>22</xdr:row>
      <xdr:rowOff>3035</xdr:rowOff>
    </xdr:to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B58C94C9-E504-4B15-A3FA-0202CEB5A7EB}"/>
            </a:ext>
          </a:extLst>
        </xdr:cNvPr>
        <xdr:cNvSpPr txBox="1"/>
      </xdr:nvSpPr>
      <xdr:spPr>
        <a:xfrm>
          <a:off x="7424267" y="3897136"/>
          <a:ext cx="653039" cy="7731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110655</xdr:colOff>
      <xdr:row>18</xdr:row>
      <xdr:rowOff>79810</xdr:rowOff>
    </xdr:from>
    <xdr:to>
      <xdr:col>14</xdr:col>
      <xdr:colOff>26065</xdr:colOff>
      <xdr:row>22</xdr:row>
      <xdr:rowOff>19282</xdr:rowOff>
    </xdr:to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id="{72FBE7E1-CD95-4CA8-9546-85241D1C28EB}"/>
            </a:ext>
          </a:extLst>
        </xdr:cNvPr>
        <xdr:cNvSpPr txBox="1"/>
      </xdr:nvSpPr>
      <xdr:spPr>
        <a:xfrm>
          <a:off x="8159280" y="3889810"/>
          <a:ext cx="629785" cy="79672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134115</xdr:colOff>
      <xdr:row>24</xdr:row>
      <xdr:rowOff>126161</xdr:rowOff>
    </xdr:from>
    <xdr:to>
      <xdr:col>15</xdr:col>
      <xdr:colOff>42516</xdr:colOff>
      <xdr:row>28</xdr:row>
      <xdr:rowOff>50024</xdr:rowOff>
    </xdr:to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CAE8D20C-118E-4034-8F00-9D17C014D5A2}"/>
            </a:ext>
          </a:extLst>
        </xdr:cNvPr>
        <xdr:cNvSpPr txBox="1"/>
      </xdr:nvSpPr>
      <xdr:spPr>
        <a:xfrm>
          <a:off x="8897115" y="5222036"/>
          <a:ext cx="622776" cy="78111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213005</xdr:colOff>
      <xdr:row>24</xdr:row>
      <xdr:rowOff>158654</xdr:rowOff>
    </xdr:from>
    <xdr:to>
      <xdr:col>16</xdr:col>
      <xdr:colOff>82222</xdr:colOff>
      <xdr:row>28</xdr:row>
      <xdr:rowOff>112059</xdr:rowOff>
    </xdr:to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id="{0EDA122E-7428-41BD-9BA3-4FD61FC34FA1}"/>
            </a:ext>
          </a:extLst>
        </xdr:cNvPr>
        <xdr:cNvSpPr txBox="1"/>
      </xdr:nvSpPr>
      <xdr:spPr>
        <a:xfrm>
          <a:off x="9738005" y="4954772"/>
          <a:ext cx="586393" cy="7602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193776</xdr:colOff>
      <xdr:row>24</xdr:row>
      <xdr:rowOff>153239</xdr:rowOff>
    </xdr:from>
    <xdr:to>
      <xdr:col>17</xdr:col>
      <xdr:colOff>99310</xdr:colOff>
      <xdr:row>28</xdr:row>
      <xdr:rowOff>70093</xdr:rowOff>
    </xdr:to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id="{F2F4A261-4708-4EF2-AA3F-F8D468A78CE3}"/>
            </a:ext>
          </a:extLst>
        </xdr:cNvPr>
        <xdr:cNvSpPr txBox="1"/>
      </xdr:nvSpPr>
      <xdr:spPr>
        <a:xfrm>
          <a:off x="10385526" y="5249114"/>
          <a:ext cx="619909" cy="77410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176893</xdr:colOff>
      <xdr:row>24</xdr:row>
      <xdr:rowOff>97169</xdr:rowOff>
    </xdr:from>
    <xdr:to>
      <xdr:col>18</xdr:col>
      <xdr:colOff>134239</xdr:colOff>
      <xdr:row>29</xdr:row>
      <xdr:rowOff>122465</xdr:rowOff>
    </xdr:to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id="{016A4531-49E6-4F57-B476-9C7BC9C91477}"/>
            </a:ext>
          </a:extLst>
        </xdr:cNvPr>
        <xdr:cNvSpPr txBox="1"/>
      </xdr:nvSpPr>
      <xdr:spPr>
        <a:xfrm>
          <a:off x="11185072" y="4954919"/>
          <a:ext cx="678524" cy="104583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</a:t>
          </a:r>
          <a:r>
            <a:rPr lang="en-ID" sz="800" b="0" baseline="0"/>
            <a:t> CJ6</a:t>
          </a:r>
          <a:endParaRPr lang="en-ID" sz="800" b="0"/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CC8</a:t>
          </a:r>
        </a:p>
        <a:p>
          <a:r>
            <a:rPr lang="en-ID" sz="800" b="0" baseline="0">
              <a:solidFill>
                <a:srgbClr val="FF0000"/>
              </a:solidFill>
            </a:rPr>
            <a:t>3 CM5-6</a:t>
          </a:r>
        </a:p>
        <a:p>
          <a:r>
            <a:rPr lang="en-ID" sz="800" b="0" baseline="0">
              <a:solidFill>
                <a:srgbClr val="FF0000"/>
              </a:solidFill>
            </a:rPr>
            <a:t>3 CM2-11M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245838</xdr:colOff>
      <xdr:row>24</xdr:row>
      <xdr:rowOff>153645</xdr:rowOff>
    </xdr:from>
    <xdr:to>
      <xdr:col>19</xdr:col>
      <xdr:colOff>164115</xdr:colOff>
      <xdr:row>28</xdr:row>
      <xdr:rowOff>68182</xdr:rowOff>
    </xdr:to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id="{BCB2696E-5B32-4DCE-8C68-B6CC59AF1D3A}"/>
            </a:ext>
          </a:extLst>
        </xdr:cNvPr>
        <xdr:cNvSpPr txBox="1"/>
      </xdr:nvSpPr>
      <xdr:spPr>
        <a:xfrm>
          <a:off x="11866338" y="5249520"/>
          <a:ext cx="632652" cy="77178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</a:t>
          </a:r>
          <a:r>
            <a:rPr lang="en-ID" sz="800" b="0" baseline="0"/>
            <a:t> C11-200</a:t>
          </a:r>
          <a:endParaRPr lang="en-ID" sz="800" b="0"/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CC2-1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276307</xdr:colOff>
      <xdr:row>24</xdr:row>
      <xdr:rowOff>163433</xdr:rowOff>
    </xdr:from>
    <xdr:to>
      <xdr:col>20</xdr:col>
      <xdr:colOff>291353</xdr:colOff>
      <xdr:row>30</xdr:row>
      <xdr:rowOff>89648</xdr:rowOff>
    </xdr:to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1CA2735A-217F-470F-A527-BF3F5E96133B}"/>
            </a:ext>
          </a:extLst>
        </xdr:cNvPr>
        <xdr:cNvSpPr txBox="1"/>
      </xdr:nvSpPr>
      <xdr:spPr>
        <a:xfrm>
          <a:off x="12670013" y="4959551"/>
          <a:ext cx="732222" cy="11364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</a:t>
          </a:r>
          <a:r>
            <a:rPr lang="en-ID" sz="800" b="0" baseline="0"/>
            <a:t> CA1</a:t>
          </a:r>
        </a:p>
        <a:p>
          <a:r>
            <a:rPr lang="en-ID" sz="800" b="0" baseline="0"/>
            <a:t>I CJ5</a:t>
          </a:r>
          <a:endParaRPr lang="en-ID" sz="800" b="0"/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CC10</a:t>
          </a:r>
        </a:p>
        <a:p>
          <a:r>
            <a:rPr lang="en-ID" sz="800" b="0" baseline="0">
              <a:solidFill>
                <a:srgbClr val="FF0000"/>
              </a:solidFill>
            </a:rPr>
            <a:t>1 CE1-3</a:t>
          </a:r>
        </a:p>
        <a:p>
          <a:r>
            <a:rPr lang="en-ID" sz="800" b="0" baseline="0">
              <a:solidFill>
                <a:srgbClr val="FF0000"/>
              </a:solidFill>
            </a:rPr>
            <a:t>1 F1-3</a:t>
          </a:r>
        </a:p>
        <a:p>
          <a:r>
            <a:rPr lang="en-ID" sz="800" b="0" baseline="0">
              <a:solidFill>
                <a:srgbClr val="FF0000"/>
              </a:solidFill>
            </a:rPr>
            <a:t>1 CM2-12A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341895</xdr:colOff>
      <xdr:row>22</xdr:row>
      <xdr:rowOff>76879</xdr:rowOff>
    </xdr:from>
    <xdr:to>
      <xdr:col>5</xdr:col>
      <xdr:colOff>348343</xdr:colOff>
      <xdr:row>24</xdr:row>
      <xdr:rowOff>42920</xdr:rowOff>
    </xdr:to>
    <xdr:cxnSp macro="">
      <xdr:nvCxnSpPr>
        <xdr:cNvPr id="631" name="Straight Connector 630">
          <a:extLst>
            <a:ext uri="{FF2B5EF4-FFF2-40B4-BE49-F238E27FC236}">
              <a16:creationId xmlns:a16="http://schemas.microsoft.com/office/drawing/2014/main" id="{BD687C07-70DE-4FAB-9914-B27DCC191A15}"/>
            </a:ext>
          </a:extLst>
        </xdr:cNvPr>
        <xdr:cNvCxnSpPr/>
      </xdr:nvCxnSpPr>
      <xdr:spPr>
        <a:xfrm flipH="1">
          <a:off x="2675520" y="4439329"/>
          <a:ext cx="6448" cy="36609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541328</xdr:colOff>
      <xdr:row>22</xdr:row>
      <xdr:rowOff>65156</xdr:rowOff>
    </xdr:from>
    <xdr:to>
      <xdr:col>5</xdr:col>
      <xdr:colOff>543239</xdr:colOff>
      <xdr:row>24</xdr:row>
      <xdr:rowOff>30911</xdr:rowOff>
    </xdr:to>
    <xdr:cxnSp macro="">
      <xdr:nvCxnSpPr>
        <xdr:cNvPr id="632" name="Straight Connector 631">
          <a:extLst>
            <a:ext uri="{FF2B5EF4-FFF2-40B4-BE49-F238E27FC236}">
              <a16:creationId xmlns:a16="http://schemas.microsoft.com/office/drawing/2014/main" id="{30E3B1D2-09AA-449C-AC7D-AB34595A7CC5}"/>
            </a:ext>
          </a:extLst>
        </xdr:cNvPr>
        <xdr:cNvCxnSpPr/>
      </xdr:nvCxnSpPr>
      <xdr:spPr>
        <a:xfrm flipH="1">
          <a:off x="2874953" y="4427606"/>
          <a:ext cx="1911" cy="3658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140267</xdr:colOff>
      <xdr:row>79</xdr:row>
      <xdr:rowOff>143314</xdr:rowOff>
    </xdr:from>
    <xdr:to>
      <xdr:col>5</xdr:col>
      <xdr:colOff>51467</xdr:colOff>
      <xdr:row>83</xdr:row>
      <xdr:rowOff>56029</xdr:rowOff>
    </xdr:to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F8CC9ABD-A551-4D98-ACCF-CEE125140763}"/>
            </a:ext>
          </a:extLst>
        </xdr:cNvPr>
        <xdr:cNvSpPr txBox="1"/>
      </xdr:nvSpPr>
      <xdr:spPr>
        <a:xfrm>
          <a:off x="1776326" y="16033255"/>
          <a:ext cx="628376" cy="71953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CC10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364818</xdr:colOff>
      <xdr:row>80</xdr:row>
      <xdr:rowOff>91207</xdr:rowOff>
    </xdr:from>
    <xdr:to>
      <xdr:col>6</xdr:col>
      <xdr:colOff>309042</xdr:colOff>
      <xdr:row>82</xdr:row>
      <xdr:rowOff>190501</xdr:rowOff>
    </xdr:to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88AC6347-65D8-4E10-95E4-565B3A2E5E68}"/>
            </a:ext>
          </a:extLst>
        </xdr:cNvPr>
        <xdr:cNvSpPr txBox="1"/>
      </xdr:nvSpPr>
      <xdr:spPr>
        <a:xfrm>
          <a:off x="2718053" y="16182854"/>
          <a:ext cx="661401" cy="50270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</xdr:txBody>
    </xdr:sp>
    <xdr:clientData/>
  </xdr:twoCellAnchor>
  <xdr:twoCellAnchor>
    <xdr:from>
      <xdr:col>6</xdr:col>
      <xdr:colOff>552867</xdr:colOff>
      <xdr:row>80</xdr:row>
      <xdr:rowOff>109063</xdr:rowOff>
    </xdr:from>
    <xdr:to>
      <xdr:col>7</xdr:col>
      <xdr:colOff>525357</xdr:colOff>
      <xdr:row>83</xdr:row>
      <xdr:rowOff>1</xdr:rowOff>
    </xdr:to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978868D2-9456-4FC0-804B-A438645464D1}"/>
            </a:ext>
          </a:extLst>
        </xdr:cNvPr>
        <xdr:cNvSpPr txBox="1"/>
      </xdr:nvSpPr>
      <xdr:spPr>
        <a:xfrm>
          <a:off x="3623279" y="16200710"/>
          <a:ext cx="689666" cy="49605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</xdr:txBody>
    </xdr:sp>
    <xdr:clientData/>
  </xdr:twoCellAnchor>
  <xdr:twoCellAnchor>
    <xdr:from>
      <xdr:col>8</xdr:col>
      <xdr:colOff>360235</xdr:colOff>
      <xdr:row>83</xdr:row>
      <xdr:rowOff>67184</xdr:rowOff>
    </xdr:from>
    <xdr:to>
      <xdr:col>9</xdr:col>
      <xdr:colOff>271123</xdr:colOff>
      <xdr:row>87</xdr:row>
      <xdr:rowOff>44824</xdr:rowOff>
    </xdr:to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id="{3BFA223B-E8E1-4C52-84B3-8AE8BA422792}"/>
            </a:ext>
          </a:extLst>
        </xdr:cNvPr>
        <xdr:cNvSpPr txBox="1"/>
      </xdr:nvSpPr>
      <xdr:spPr>
        <a:xfrm>
          <a:off x="4865000" y="16763949"/>
          <a:ext cx="628064" cy="78446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533504</xdr:colOff>
      <xdr:row>84</xdr:row>
      <xdr:rowOff>108855</xdr:rowOff>
    </xdr:from>
    <xdr:to>
      <xdr:col>10</xdr:col>
      <xdr:colOff>442063</xdr:colOff>
      <xdr:row>88</xdr:row>
      <xdr:rowOff>134471</xdr:rowOff>
    </xdr:to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DE7D5A2F-62A3-4991-A4F7-23472EE94D8F}"/>
            </a:ext>
          </a:extLst>
        </xdr:cNvPr>
        <xdr:cNvSpPr txBox="1"/>
      </xdr:nvSpPr>
      <xdr:spPr>
        <a:xfrm>
          <a:off x="5755445" y="17007326"/>
          <a:ext cx="625736" cy="83243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464063</xdr:colOff>
      <xdr:row>93</xdr:row>
      <xdr:rowOff>62783</xdr:rowOff>
    </xdr:from>
    <xdr:to>
      <xdr:col>11</xdr:col>
      <xdr:colOff>368222</xdr:colOff>
      <xdr:row>96</xdr:row>
      <xdr:rowOff>190500</xdr:rowOff>
    </xdr:to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id="{88469838-672E-4D82-A252-485F50030B3F}"/>
            </a:ext>
          </a:extLst>
        </xdr:cNvPr>
        <xdr:cNvSpPr txBox="1"/>
      </xdr:nvSpPr>
      <xdr:spPr>
        <a:xfrm>
          <a:off x="6403181" y="18776607"/>
          <a:ext cx="621335" cy="73283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567004</xdr:colOff>
      <xdr:row>95</xdr:row>
      <xdr:rowOff>27066</xdr:rowOff>
    </xdr:from>
    <xdr:to>
      <xdr:col>12</xdr:col>
      <xdr:colOff>557893</xdr:colOff>
      <xdr:row>100</xdr:row>
      <xdr:rowOff>40821</xdr:rowOff>
    </xdr:to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8C85F78F-CB0C-488C-B7BD-697AFCD6F816}"/>
            </a:ext>
          </a:extLst>
        </xdr:cNvPr>
        <xdr:cNvSpPr txBox="1"/>
      </xdr:nvSpPr>
      <xdr:spPr>
        <a:xfrm>
          <a:off x="7248111" y="19376423"/>
          <a:ext cx="712068" cy="10342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CC8</a:t>
          </a:r>
        </a:p>
        <a:p>
          <a:r>
            <a:rPr lang="en-ID" sz="800" b="0" baseline="0">
              <a:solidFill>
                <a:srgbClr val="FF0000"/>
              </a:solidFill>
            </a:rPr>
            <a:t>3 CM5-6</a:t>
          </a:r>
        </a:p>
        <a:p>
          <a:r>
            <a:rPr lang="en-ID" sz="800" b="0" baseline="0">
              <a:solidFill>
                <a:srgbClr val="FF0000"/>
              </a:solidFill>
            </a:rPr>
            <a:t>1 CM2-11M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638889</xdr:colOff>
      <xdr:row>95</xdr:row>
      <xdr:rowOff>126458</xdr:rowOff>
    </xdr:from>
    <xdr:to>
      <xdr:col>13</xdr:col>
      <xdr:colOff>553397</xdr:colOff>
      <xdr:row>99</xdr:row>
      <xdr:rowOff>33618</xdr:rowOff>
    </xdr:to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0800B116-8B54-43BA-B988-F3159B281A12}"/>
            </a:ext>
          </a:extLst>
        </xdr:cNvPr>
        <xdr:cNvSpPr txBox="1"/>
      </xdr:nvSpPr>
      <xdr:spPr>
        <a:xfrm>
          <a:off x="8012360" y="19243693"/>
          <a:ext cx="631684" cy="71398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CC2A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677637</xdr:colOff>
      <xdr:row>96</xdr:row>
      <xdr:rowOff>124385</xdr:rowOff>
    </xdr:from>
    <xdr:to>
      <xdr:col>14</xdr:col>
      <xdr:colOff>592149</xdr:colOff>
      <xdr:row>100</xdr:row>
      <xdr:rowOff>33617</xdr:rowOff>
    </xdr:to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C87C0A28-99AA-4E8E-8E50-A67DDA2BD2AF}"/>
            </a:ext>
          </a:extLst>
        </xdr:cNvPr>
        <xdr:cNvSpPr txBox="1"/>
      </xdr:nvSpPr>
      <xdr:spPr>
        <a:xfrm>
          <a:off x="8768284" y="19443326"/>
          <a:ext cx="631689" cy="71605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CC2-1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20911</xdr:colOff>
      <xdr:row>90</xdr:row>
      <xdr:rowOff>131450</xdr:rowOff>
    </xdr:from>
    <xdr:to>
      <xdr:col>15</xdr:col>
      <xdr:colOff>641513</xdr:colOff>
      <xdr:row>95</xdr:row>
      <xdr:rowOff>89647</xdr:rowOff>
    </xdr:to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id="{B15BE20F-F125-449B-A4B6-51F22DBDF5E7}"/>
            </a:ext>
          </a:extLst>
        </xdr:cNvPr>
        <xdr:cNvSpPr txBox="1"/>
      </xdr:nvSpPr>
      <xdr:spPr>
        <a:xfrm>
          <a:off x="9545911" y="18240156"/>
          <a:ext cx="620602" cy="96672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CG105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CC10</a:t>
          </a:r>
        </a:p>
        <a:p>
          <a:r>
            <a:rPr lang="en-ID" sz="800" b="0" baseline="0">
              <a:solidFill>
                <a:srgbClr val="FF0000"/>
              </a:solidFill>
            </a:rPr>
            <a:t>1 CM5-9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20944</xdr:colOff>
      <xdr:row>93</xdr:row>
      <xdr:rowOff>78441</xdr:rowOff>
    </xdr:from>
    <xdr:to>
      <xdr:col>17</xdr:col>
      <xdr:colOff>691243</xdr:colOff>
      <xdr:row>97</xdr:row>
      <xdr:rowOff>33618</xdr:rowOff>
    </xdr:to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id="{42CCEE86-8D9F-4985-9B0B-079EAD2F7EC1}"/>
            </a:ext>
          </a:extLst>
        </xdr:cNvPr>
        <xdr:cNvSpPr txBox="1"/>
      </xdr:nvSpPr>
      <xdr:spPr>
        <a:xfrm>
          <a:off x="10980297" y="18792265"/>
          <a:ext cx="670299" cy="762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CC2-1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18279</xdr:colOff>
      <xdr:row>94</xdr:row>
      <xdr:rowOff>67236</xdr:rowOff>
    </xdr:from>
    <xdr:to>
      <xdr:col>18</xdr:col>
      <xdr:colOff>638885</xdr:colOff>
      <xdr:row>98</xdr:row>
      <xdr:rowOff>67235</xdr:rowOff>
    </xdr:to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CC0D6453-96AA-42D7-9DEE-D4168A7E490A}"/>
            </a:ext>
          </a:extLst>
        </xdr:cNvPr>
        <xdr:cNvSpPr txBox="1"/>
      </xdr:nvSpPr>
      <xdr:spPr>
        <a:xfrm>
          <a:off x="11694808" y="18982765"/>
          <a:ext cx="620606" cy="8068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</a:t>
          </a:r>
          <a:r>
            <a:rPr lang="en-ID" sz="800" b="0" baseline="0"/>
            <a:t> C11-200</a:t>
          </a:r>
          <a:endParaRPr lang="en-ID" sz="800" b="0"/>
        </a:p>
        <a:p>
          <a:r>
            <a:rPr lang="en-ID" sz="800" b="0"/>
            <a:t>1 CA2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73597</xdr:colOff>
      <xdr:row>102</xdr:row>
      <xdr:rowOff>111960</xdr:rowOff>
    </xdr:from>
    <xdr:to>
      <xdr:col>20</xdr:col>
      <xdr:colOff>4673</xdr:colOff>
      <xdr:row>106</xdr:row>
      <xdr:rowOff>89647</xdr:rowOff>
    </xdr:to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id="{E1A686C4-FED9-48A4-8601-07ED2304CA21}"/>
            </a:ext>
          </a:extLst>
        </xdr:cNvPr>
        <xdr:cNvSpPr txBox="1"/>
      </xdr:nvSpPr>
      <xdr:spPr>
        <a:xfrm>
          <a:off x="12467303" y="20641136"/>
          <a:ext cx="648252" cy="78451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2 CA5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587508</xdr:colOff>
      <xdr:row>90</xdr:row>
      <xdr:rowOff>167675</xdr:rowOff>
    </xdr:from>
    <xdr:to>
      <xdr:col>7</xdr:col>
      <xdr:colOff>551716</xdr:colOff>
      <xdr:row>95</xdr:row>
      <xdr:rowOff>134472</xdr:rowOff>
    </xdr:to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id="{33603F33-EFFD-40DE-A6C5-CBDBC52EDCB9}"/>
            </a:ext>
          </a:extLst>
        </xdr:cNvPr>
        <xdr:cNvSpPr txBox="1"/>
      </xdr:nvSpPr>
      <xdr:spPr>
        <a:xfrm>
          <a:off x="3657920" y="18276381"/>
          <a:ext cx="681384" cy="97532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CG105</a:t>
          </a:r>
        </a:p>
        <a:p>
          <a:r>
            <a:rPr lang="en-ID" sz="800" b="0"/>
            <a:t>1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CC8A</a:t>
          </a:r>
        </a:p>
        <a:p>
          <a:r>
            <a:rPr lang="en-ID" sz="800" b="0" baseline="0">
              <a:solidFill>
                <a:srgbClr val="FF0000"/>
              </a:solidFill>
            </a:rPr>
            <a:t>2 CM5-9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197541</xdr:colOff>
      <xdr:row>97</xdr:row>
      <xdr:rowOff>97216</xdr:rowOff>
    </xdr:from>
    <xdr:to>
      <xdr:col>16</xdr:col>
      <xdr:colOff>351755</xdr:colOff>
      <xdr:row>98</xdr:row>
      <xdr:rowOff>109452</xdr:rowOff>
    </xdr:to>
    <xdr:grpSp>
      <xdr:nvGrpSpPr>
        <xdr:cNvPr id="647" name="Group 646">
          <a:extLst>
            <a:ext uri="{FF2B5EF4-FFF2-40B4-BE49-F238E27FC236}">
              <a16:creationId xmlns:a16="http://schemas.microsoft.com/office/drawing/2014/main" id="{BF2367A3-75D2-4728-810E-5C48D67BE013}"/>
            </a:ext>
          </a:extLst>
        </xdr:cNvPr>
        <xdr:cNvGrpSpPr/>
      </xdr:nvGrpSpPr>
      <xdr:grpSpPr>
        <a:xfrm>
          <a:off x="10484541" y="19854787"/>
          <a:ext cx="154214" cy="21634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8" name="Oval 647">
            <a:extLst>
              <a:ext uri="{FF2B5EF4-FFF2-40B4-BE49-F238E27FC236}">
                <a16:creationId xmlns:a16="http://schemas.microsoft.com/office/drawing/2014/main" id="{4D1AF897-3C66-7E51-2717-652E8BAD851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C6897C01-9B8A-CCB2-AD1D-4BCFC258B43D}"/>
              </a:ext>
            </a:extLst>
          </xdr:cNvPr>
          <xdr:cNvCxnSpPr>
            <a:stCxn id="648" idx="1"/>
            <a:endCxn id="6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id="{2DEAD29D-EEF8-F3B8-B9AF-AA9DB25CD5E9}"/>
              </a:ext>
            </a:extLst>
          </xdr:cNvPr>
          <xdr:cNvCxnSpPr>
            <a:stCxn id="648" idx="3"/>
            <a:endCxn id="6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713132</xdr:colOff>
      <xdr:row>92</xdr:row>
      <xdr:rowOff>22411</xdr:rowOff>
    </xdr:from>
    <xdr:to>
      <xdr:col>16</xdr:col>
      <xdr:colOff>619362</xdr:colOff>
      <xdr:row>95</xdr:row>
      <xdr:rowOff>168089</xdr:rowOff>
    </xdr:to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EF344FE9-434B-44BF-968A-D91E8C705383}"/>
            </a:ext>
          </a:extLst>
        </xdr:cNvPr>
        <xdr:cNvSpPr txBox="1"/>
      </xdr:nvSpPr>
      <xdr:spPr>
        <a:xfrm>
          <a:off x="10238132" y="18534529"/>
          <a:ext cx="623406" cy="75079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CC10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618540</xdr:colOff>
      <xdr:row>85</xdr:row>
      <xdr:rowOff>64238</xdr:rowOff>
    </xdr:from>
    <xdr:to>
      <xdr:col>6</xdr:col>
      <xdr:colOff>59383</xdr:colOff>
      <xdr:row>86</xdr:row>
      <xdr:rowOff>76474</xdr:rowOff>
    </xdr:to>
    <xdr:grpSp>
      <xdr:nvGrpSpPr>
        <xdr:cNvPr id="652" name="Group 651">
          <a:extLst>
            <a:ext uri="{FF2B5EF4-FFF2-40B4-BE49-F238E27FC236}">
              <a16:creationId xmlns:a16="http://schemas.microsoft.com/office/drawing/2014/main" id="{B8575F95-790F-44D9-B19C-4D037D08559D}"/>
            </a:ext>
          </a:extLst>
        </xdr:cNvPr>
        <xdr:cNvGrpSpPr/>
      </xdr:nvGrpSpPr>
      <xdr:grpSpPr>
        <a:xfrm>
          <a:off x="2972576" y="17372524"/>
          <a:ext cx="162021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53" name="Oval 652">
            <a:extLst>
              <a:ext uri="{FF2B5EF4-FFF2-40B4-BE49-F238E27FC236}">
                <a16:creationId xmlns:a16="http://schemas.microsoft.com/office/drawing/2014/main" id="{00F94733-E0CA-AA9B-DEB0-48A6313EA1D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654" name="Straight Connector 653">
            <a:extLst>
              <a:ext uri="{FF2B5EF4-FFF2-40B4-BE49-F238E27FC236}">
                <a16:creationId xmlns:a16="http://schemas.microsoft.com/office/drawing/2014/main" id="{CCB03113-5DC0-4C63-7BBE-714CD41CC539}"/>
              </a:ext>
            </a:extLst>
          </xdr:cNvPr>
          <xdr:cNvCxnSpPr>
            <a:stCxn id="653" idx="1"/>
            <a:endCxn id="6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5" name="Straight Connector 654">
            <a:extLst>
              <a:ext uri="{FF2B5EF4-FFF2-40B4-BE49-F238E27FC236}">
                <a16:creationId xmlns:a16="http://schemas.microsoft.com/office/drawing/2014/main" id="{43E6F941-D315-382A-CA11-FC2DA1B6D722}"/>
              </a:ext>
            </a:extLst>
          </xdr:cNvPr>
          <xdr:cNvCxnSpPr>
            <a:stCxn id="653" idx="3"/>
            <a:endCxn id="6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657706</xdr:colOff>
      <xdr:row>85</xdr:row>
      <xdr:rowOff>84530</xdr:rowOff>
    </xdr:from>
    <xdr:to>
      <xdr:col>7</xdr:col>
      <xdr:colOff>95236</xdr:colOff>
      <xdr:row>86</xdr:row>
      <xdr:rowOff>96766</xdr:rowOff>
    </xdr:to>
    <xdr:grpSp>
      <xdr:nvGrpSpPr>
        <xdr:cNvPr id="656" name="Group 655">
          <a:extLst>
            <a:ext uri="{FF2B5EF4-FFF2-40B4-BE49-F238E27FC236}">
              <a16:creationId xmlns:a16="http://schemas.microsoft.com/office/drawing/2014/main" id="{CF2FB4DC-3EB5-4327-A782-5298721E41B4}"/>
            </a:ext>
          </a:extLst>
        </xdr:cNvPr>
        <xdr:cNvGrpSpPr/>
      </xdr:nvGrpSpPr>
      <xdr:grpSpPr>
        <a:xfrm>
          <a:off x="3732920" y="17392816"/>
          <a:ext cx="158709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57" name="Oval 656">
            <a:extLst>
              <a:ext uri="{FF2B5EF4-FFF2-40B4-BE49-F238E27FC236}">
                <a16:creationId xmlns:a16="http://schemas.microsoft.com/office/drawing/2014/main" id="{411A507D-056D-C1DD-D3CF-66E02690CE6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658" name="Straight Connector 657">
            <a:extLst>
              <a:ext uri="{FF2B5EF4-FFF2-40B4-BE49-F238E27FC236}">
                <a16:creationId xmlns:a16="http://schemas.microsoft.com/office/drawing/2014/main" id="{9C384B05-4A0D-9EF6-0D3E-A4F6D4CE6C99}"/>
              </a:ext>
            </a:extLst>
          </xdr:cNvPr>
          <xdr:cNvCxnSpPr>
            <a:stCxn id="657" idx="1"/>
            <a:endCxn id="65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9" name="Straight Connector 658">
            <a:extLst>
              <a:ext uri="{FF2B5EF4-FFF2-40B4-BE49-F238E27FC236}">
                <a16:creationId xmlns:a16="http://schemas.microsoft.com/office/drawing/2014/main" id="{535A358F-90E3-53B5-820C-EEE1FA7B23DF}"/>
              </a:ext>
            </a:extLst>
          </xdr:cNvPr>
          <xdr:cNvCxnSpPr>
            <a:stCxn id="657" idx="3"/>
            <a:endCxn id="65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202117</xdr:colOff>
      <xdr:row>144</xdr:row>
      <xdr:rowOff>1053</xdr:rowOff>
    </xdr:from>
    <xdr:to>
      <xdr:col>8</xdr:col>
      <xdr:colOff>174608</xdr:colOff>
      <xdr:row>148</xdr:row>
      <xdr:rowOff>1</xdr:rowOff>
    </xdr:to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id="{11ACC302-673A-4530-BFC3-CF88137764E0}"/>
            </a:ext>
          </a:extLst>
        </xdr:cNvPr>
        <xdr:cNvSpPr txBox="1"/>
      </xdr:nvSpPr>
      <xdr:spPr>
        <a:xfrm>
          <a:off x="3989705" y="29001877"/>
          <a:ext cx="689668" cy="80577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2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CC10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474598</xdr:colOff>
      <xdr:row>152</xdr:row>
      <xdr:rowOff>68774</xdr:rowOff>
    </xdr:from>
    <xdr:to>
      <xdr:col>9</xdr:col>
      <xdr:colOff>473529</xdr:colOff>
      <xdr:row>156</xdr:row>
      <xdr:rowOff>11206</xdr:rowOff>
    </xdr:to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id="{CF81F890-C266-444F-BE89-AEDA3954B6E6}"/>
            </a:ext>
          </a:extLst>
        </xdr:cNvPr>
        <xdr:cNvSpPr txBox="1"/>
      </xdr:nvSpPr>
      <xdr:spPr>
        <a:xfrm>
          <a:off x="4979363" y="30683245"/>
          <a:ext cx="716107" cy="74925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2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CC2-1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241878</xdr:colOff>
      <xdr:row>149</xdr:row>
      <xdr:rowOff>155405</xdr:rowOff>
    </xdr:from>
    <xdr:to>
      <xdr:col>10</xdr:col>
      <xdr:colOff>396092</xdr:colOff>
      <xdr:row>151</xdr:row>
      <xdr:rowOff>954</xdr:rowOff>
    </xdr:to>
    <xdr:grpSp>
      <xdr:nvGrpSpPr>
        <xdr:cNvPr id="662" name="Group 661">
          <a:extLst>
            <a:ext uri="{FF2B5EF4-FFF2-40B4-BE49-F238E27FC236}">
              <a16:creationId xmlns:a16="http://schemas.microsoft.com/office/drawing/2014/main" id="{FFC7341F-A906-491A-A959-7C4034CBD3EC}"/>
            </a:ext>
          </a:extLst>
        </xdr:cNvPr>
        <xdr:cNvGrpSpPr/>
      </xdr:nvGrpSpPr>
      <xdr:grpSpPr>
        <a:xfrm>
          <a:off x="6201807" y="30526548"/>
          <a:ext cx="154214" cy="2537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3" name="Oval 662">
            <a:extLst>
              <a:ext uri="{FF2B5EF4-FFF2-40B4-BE49-F238E27FC236}">
                <a16:creationId xmlns:a16="http://schemas.microsoft.com/office/drawing/2014/main" id="{AC1B82BC-342F-EC59-3076-CE8AAD72D42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64" name="Straight Connector 663">
            <a:extLst>
              <a:ext uri="{FF2B5EF4-FFF2-40B4-BE49-F238E27FC236}">
                <a16:creationId xmlns:a16="http://schemas.microsoft.com/office/drawing/2014/main" id="{5A99FFE9-153D-9BAC-4B61-65FC7DDD1918}"/>
              </a:ext>
            </a:extLst>
          </xdr:cNvPr>
          <xdr:cNvCxnSpPr>
            <a:stCxn id="663" idx="1"/>
            <a:endCxn id="6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5" name="Straight Connector 664">
            <a:extLst>
              <a:ext uri="{FF2B5EF4-FFF2-40B4-BE49-F238E27FC236}">
                <a16:creationId xmlns:a16="http://schemas.microsoft.com/office/drawing/2014/main" id="{5B33931A-259B-51BC-791A-2DAE17EC2788}"/>
              </a:ext>
            </a:extLst>
          </xdr:cNvPr>
          <xdr:cNvCxnSpPr>
            <a:stCxn id="663" idx="3"/>
            <a:endCxn id="6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409258</xdr:colOff>
      <xdr:row>145</xdr:row>
      <xdr:rowOff>131308</xdr:rowOff>
    </xdr:from>
    <xdr:to>
      <xdr:col>11</xdr:col>
      <xdr:colOff>310244</xdr:colOff>
      <xdr:row>148</xdr:row>
      <xdr:rowOff>78441</xdr:rowOff>
    </xdr:to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id="{8EA16B7E-111A-40F6-93FB-DC1B5C873F85}"/>
            </a:ext>
          </a:extLst>
        </xdr:cNvPr>
        <xdr:cNvSpPr txBox="1"/>
      </xdr:nvSpPr>
      <xdr:spPr>
        <a:xfrm>
          <a:off x="6348376" y="29333837"/>
          <a:ext cx="618162" cy="55225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C12-200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CJ6</a:t>
          </a:r>
        </a:p>
      </xdr:txBody>
    </xdr:sp>
    <xdr:clientData/>
  </xdr:twoCellAnchor>
  <xdr:twoCellAnchor>
    <xdr:from>
      <xdr:col>12</xdr:col>
      <xdr:colOff>244394</xdr:colOff>
      <xdr:row>153</xdr:row>
      <xdr:rowOff>104500</xdr:rowOff>
    </xdr:from>
    <xdr:to>
      <xdr:col>13</xdr:col>
      <xdr:colOff>208602</xdr:colOff>
      <xdr:row>159</xdr:row>
      <xdr:rowOff>204106</xdr:rowOff>
    </xdr:to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id="{E0A439CB-B614-4E27-901B-82B7B29AD43B}"/>
            </a:ext>
          </a:extLst>
        </xdr:cNvPr>
        <xdr:cNvSpPr txBox="1"/>
      </xdr:nvSpPr>
      <xdr:spPr>
        <a:xfrm>
          <a:off x="7646680" y="31292071"/>
          <a:ext cx="685386" cy="13242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1 CA5</a:t>
          </a:r>
        </a:p>
        <a:p>
          <a:r>
            <a:rPr lang="en-ID" sz="800" b="0"/>
            <a:t>1 CG105</a:t>
          </a:r>
        </a:p>
        <a:p>
          <a:r>
            <a:rPr lang="en-ID" sz="800" b="0"/>
            <a:t>3 CJ6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CC8A</a:t>
          </a:r>
        </a:p>
        <a:p>
          <a:r>
            <a:rPr lang="en-ID" sz="800" b="0" baseline="0">
              <a:solidFill>
                <a:srgbClr val="FF0000"/>
              </a:solidFill>
            </a:rPr>
            <a:t>1 CA5</a:t>
          </a:r>
        </a:p>
        <a:p>
          <a:r>
            <a:rPr lang="en-ID" sz="800" b="0">
              <a:solidFill>
                <a:srgbClr val="FF0000"/>
              </a:solidFill>
            </a:rPr>
            <a:t>1 CM5-9</a:t>
          </a:r>
        </a:p>
      </xdr:txBody>
    </xdr:sp>
    <xdr:clientData/>
  </xdr:twoCellAnchor>
  <xdr:twoCellAnchor>
    <xdr:from>
      <xdr:col>13</xdr:col>
      <xdr:colOff>275001</xdr:colOff>
      <xdr:row>142</xdr:row>
      <xdr:rowOff>141825</xdr:rowOff>
    </xdr:from>
    <xdr:to>
      <xdr:col>14</xdr:col>
      <xdr:colOff>183938</xdr:colOff>
      <xdr:row>146</xdr:row>
      <xdr:rowOff>156883</xdr:rowOff>
    </xdr:to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id="{3BB30103-DE00-430C-B393-9B71B4AABC60}"/>
            </a:ext>
          </a:extLst>
        </xdr:cNvPr>
        <xdr:cNvSpPr txBox="1"/>
      </xdr:nvSpPr>
      <xdr:spPr>
        <a:xfrm>
          <a:off x="8365648" y="28739237"/>
          <a:ext cx="626114" cy="82188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C11-200</a:t>
          </a:r>
        </a:p>
        <a:p>
          <a:r>
            <a:rPr lang="en-ID" sz="800" b="0"/>
            <a:t>1 CA1</a:t>
          </a:r>
        </a:p>
        <a:p>
          <a:r>
            <a:rPr lang="en-ID" sz="800" b="0"/>
            <a:t>3 CJ5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CC10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78920</xdr:colOff>
      <xdr:row>202</xdr:row>
      <xdr:rowOff>63113</xdr:rowOff>
    </xdr:from>
    <xdr:to>
      <xdr:col>8</xdr:col>
      <xdr:colOff>240338</xdr:colOff>
      <xdr:row>203</xdr:row>
      <xdr:rowOff>61341</xdr:rowOff>
    </xdr:to>
    <xdr:grpSp>
      <xdr:nvGrpSpPr>
        <xdr:cNvPr id="669" name="Group 668">
          <a:extLst>
            <a:ext uri="{FF2B5EF4-FFF2-40B4-BE49-F238E27FC236}">
              <a16:creationId xmlns:a16="http://schemas.microsoft.com/office/drawing/2014/main" id="{1781F24E-2B64-49EC-B99D-741D16A4B5E9}"/>
            </a:ext>
          </a:extLst>
        </xdr:cNvPr>
        <xdr:cNvGrpSpPr/>
      </xdr:nvGrpSpPr>
      <xdr:grpSpPr>
        <a:xfrm>
          <a:off x="4596491" y="41251934"/>
          <a:ext cx="161418" cy="20233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70" name="Oval 669">
            <a:extLst>
              <a:ext uri="{FF2B5EF4-FFF2-40B4-BE49-F238E27FC236}">
                <a16:creationId xmlns:a16="http://schemas.microsoft.com/office/drawing/2014/main" id="{FF940DB4-B1F5-7B1C-BFBD-132695E54DD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71" name="Straight Connector 670">
            <a:extLst>
              <a:ext uri="{FF2B5EF4-FFF2-40B4-BE49-F238E27FC236}">
                <a16:creationId xmlns:a16="http://schemas.microsoft.com/office/drawing/2014/main" id="{A77CF969-155A-C9AA-7A3B-6A21C3FF5503}"/>
              </a:ext>
            </a:extLst>
          </xdr:cNvPr>
          <xdr:cNvCxnSpPr>
            <a:stCxn id="670" idx="1"/>
            <a:endCxn id="67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2" name="Straight Connector 671">
            <a:extLst>
              <a:ext uri="{FF2B5EF4-FFF2-40B4-BE49-F238E27FC236}">
                <a16:creationId xmlns:a16="http://schemas.microsoft.com/office/drawing/2014/main" id="{78569AC0-B55A-BD4C-DA0D-C92B715AE98D}"/>
              </a:ext>
            </a:extLst>
          </xdr:cNvPr>
          <xdr:cNvCxnSpPr>
            <a:stCxn id="670" idx="3"/>
            <a:endCxn id="67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284902</xdr:colOff>
      <xdr:row>198</xdr:row>
      <xdr:rowOff>149683</xdr:rowOff>
    </xdr:from>
    <xdr:to>
      <xdr:col>9</xdr:col>
      <xdr:colOff>441917</xdr:colOff>
      <xdr:row>199</xdr:row>
      <xdr:rowOff>138107</xdr:rowOff>
    </xdr:to>
    <xdr:grpSp>
      <xdr:nvGrpSpPr>
        <xdr:cNvPr id="673" name="Group 672">
          <a:extLst>
            <a:ext uri="{FF2B5EF4-FFF2-40B4-BE49-F238E27FC236}">
              <a16:creationId xmlns:a16="http://schemas.microsoft.com/office/drawing/2014/main" id="{3B2F42E7-BE79-4ED6-8A6B-E4E89706AEFD}"/>
            </a:ext>
          </a:extLst>
        </xdr:cNvPr>
        <xdr:cNvGrpSpPr/>
      </xdr:nvGrpSpPr>
      <xdr:grpSpPr>
        <a:xfrm>
          <a:off x="5523652" y="40522076"/>
          <a:ext cx="157015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74" name="Oval 673">
            <a:extLst>
              <a:ext uri="{FF2B5EF4-FFF2-40B4-BE49-F238E27FC236}">
                <a16:creationId xmlns:a16="http://schemas.microsoft.com/office/drawing/2014/main" id="{DB979143-944F-E90F-E5D6-618D7F6E5C5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75" name="Straight Connector 674">
            <a:extLst>
              <a:ext uri="{FF2B5EF4-FFF2-40B4-BE49-F238E27FC236}">
                <a16:creationId xmlns:a16="http://schemas.microsoft.com/office/drawing/2014/main" id="{D6CEF552-CBDB-253F-28DF-F0357BC0FC47}"/>
              </a:ext>
            </a:extLst>
          </xdr:cNvPr>
          <xdr:cNvCxnSpPr>
            <a:stCxn id="674" idx="1"/>
            <a:endCxn id="6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6" name="Straight Connector 675">
            <a:extLst>
              <a:ext uri="{FF2B5EF4-FFF2-40B4-BE49-F238E27FC236}">
                <a16:creationId xmlns:a16="http://schemas.microsoft.com/office/drawing/2014/main" id="{B21E134B-18CF-83BA-20CD-B8C6E7F7B4F4}"/>
              </a:ext>
            </a:extLst>
          </xdr:cNvPr>
          <xdr:cNvCxnSpPr>
            <a:stCxn id="674" idx="3"/>
            <a:endCxn id="6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678831</xdr:colOff>
      <xdr:row>203</xdr:row>
      <xdr:rowOff>99705</xdr:rowOff>
    </xdr:from>
    <xdr:to>
      <xdr:col>8</xdr:col>
      <xdr:colOff>112157</xdr:colOff>
      <xdr:row>204</xdr:row>
      <xdr:rowOff>81368</xdr:rowOff>
    </xdr:to>
    <xdr:sp macro="" textlink="">
      <xdr:nvSpPr>
        <xdr:cNvPr id="677" name="Flowchart: Connector 676">
          <a:extLst>
            <a:ext uri="{FF2B5EF4-FFF2-40B4-BE49-F238E27FC236}">
              <a16:creationId xmlns:a16="http://schemas.microsoft.com/office/drawing/2014/main" id="{09E0B1EE-00DA-419A-8A86-ED74E37B4942}"/>
            </a:ext>
          </a:extLst>
        </xdr:cNvPr>
        <xdr:cNvSpPr/>
      </xdr:nvSpPr>
      <xdr:spPr>
        <a:xfrm>
          <a:off x="4466419" y="37370470"/>
          <a:ext cx="150503" cy="138545"/>
        </a:xfrm>
        <a:prstGeom prst="flowChartConnector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7</xdr:col>
      <xdr:colOff>335056</xdr:colOff>
      <xdr:row>89</xdr:row>
      <xdr:rowOff>29209</xdr:rowOff>
    </xdr:from>
    <xdr:to>
      <xdr:col>7</xdr:col>
      <xdr:colOff>507697</xdr:colOff>
      <xdr:row>90</xdr:row>
      <xdr:rowOff>45062</xdr:rowOff>
    </xdr:to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5B222433-31A8-2CDD-B028-7018264E6DEC}"/>
            </a:ext>
          </a:extLst>
        </xdr:cNvPr>
        <xdr:cNvSpPr txBox="1"/>
      </xdr:nvSpPr>
      <xdr:spPr>
        <a:xfrm>
          <a:off x="4122644" y="17936209"/>
          <a:ext cx="172641" cy="21755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200" b="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7</xdr:col>
      <xdr:colOff>369206</xdr:colOff>
      <xdr:row>89</xdr:row>
      <xdr:rowOff>9606</xdr:rowOff>
    </xdr:from>
    <xdr:to>
      <xdr:col>7</xdr:col>
      <xdr:colOff>485855</xdr:colOff>
      <xdr:row>90</xdr:row>
      <xdr:rowOff>186570</xdr:rowOff>
    </xdr:to>
    <xdr:cxnSp macro="">
      <xdr:nvCxnSpPr>
        <xdr:cNvPr id="680" name="Straight Connector 679">
          <a:extLst>
            <a:ext uri="{FF2B5EF4-FFF2-40B4-BE49-F238E27FC236}">
              <a16:creationId xmlns:a16="http://schemas.microsoft.com/office/drawing/2014/main" id="{0D462DA3-0BA5-8800-E12A-4B1980F0D365}"/>
            </a:ext>
          </a:extLst>
        </xdr:cNvPr>
        <xdr:cNvCxnSpPr/>
      </xdr:nvCxnSpPr>
      <xdr:spPr>
        <a:xfrm flipH="1">
          <a:off x="4165599" y="18134320"/>
          <a:ext cx="116649" cy="38107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153762</xdr:colOff>
      <xdr:row>22</xdr:row>
      <xdr:rowOff>164985</xdr:rowOff>
    </xdr:from>
    <xdr:to>
      <xdr:col>7</xdr:col>
      <xdr:colOff>302590</xdr:colOff>
      <xdr:row>23</xdr:row>
      <xdr:rowOff>212610</xdr:rowOff>
    </xdr:to>
    <xdr:grpSp>
      <xdr:nvGrpSpPr>
        <xdr:cNvPr id="681" name="Group 680">
          <a:extLst>
            <a:ext uri="{FF2B5EF4-FFF2-40B4-BE49-F238E27FC236}">
              <a16:creationId xmlns:a16="http://schemas.microsoft.com/office/drawing/2014/main" id="{6641CC3F-6700-4087-AB80-A53A70642DB2}"/>
            </a:ext>
          </a:extLst>
        </xdr:cNvPr>
        <xdr:cNvGrpSpPr/>
      </xdr:nvGrpSpPr>
      <xdr:grpSpPr>
        <a:xfrm>
          <a:off x="3950155" y="4614521"/>
          <a:ext cx="148828" cy="242207"/>
          <a:chOff x="4857750" y="2598185"/>
          <a:chExt cx="189313" cy="320320"/>
        </a:xfrm>
      </xdr:grpSpPr>
      <xdr:sp macro="" textlink="">
        <xdr:nvSpPr>
          <xdr:cNvPr id="682" name="TextBox 681">
            <a:extLst>
              <a:ext uri="{FF2B5EF4-FFF2-40B4-BE49-F238E27FC236}">
                <a16:creationId xmlns:a16="http://schemas.microsoft.com/office/drawing/2014/main" id="{DBC15210-8EB4-EFFE-CCD3-2384E83A09C0}"/>
              </a:ext>
            </a:extLst>
          </xdr:cNvPr>
          <xdr:cNvSpPr txBox="1"/>
        </xdr:nvSpPr>
        <xdr:spPr>
          <a:xfrm>
            <a:off x="4857750" y="2607468"/>
            <a:ext cx="17264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/>
          <a:p>
            <a:r>
              <a:rPr lang="en-US" sz="800" b="0"/>
              <a:t>S</a:t>
            </a:r>
          </a:p>
        </xdr:txBody>
      </xdr:sp>
      <xdr:cxnSp macro="">
        <xdr:nvCxnSpPr>
          <xdr:cNvPr id="683" name="Straight Connector 682">
            <a:extLst>
              <a:ext uri="{FF2B5EF4-FFF2-40B4-BE49-F238E27FC236}">
                <a16:creationId xmlns:a16="http://schemas.microsoft.com/office/drawing/2014/main" id="{64762DD8-FD2E-9DB7-7E38-8566366A77EC}"/>
              </a:ext>
            </a:extLst>
          </xdr:cNvPr>
          <xdr:cNvCxnSpPr/>
        </xdr:nvCxnSpPr>
        <xdr:spPr>
          <a:xfrm flipH="1">
            <a:off x="4922317" y="2598185"/>
            <a:ext cx="124746" cy="320320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630603</xdr:colOff>
      <xdr:row>22</xdr:row>
      <xdr:rowOff>144797</xdr:rowOff>
    </xdr:from>
    <xdr:to>
      <xdr:col>7</xdr:col>
      <xdr:colOff>48750</xdr:colOff>
      <xdr:row>23</xdr:row>
      <xdr:rowOff>79570</xdr:rowOff>
    </xdr:to>
    <xdr:sp macro="" textlink="">
      <xdr:nvSpPr>
        <xdr:cNvPr id="684" name="Isosceles Triangle 683">
          <a:extLst>
            <a:ext uri="{FF2B5EF4-FFF2-40B4-BE49-F238E27FC236}">
              <a16:creationId xmlns:a16="http://schemas.microsoft.com/office/drawing/2014/main" id="{3D943095-193C-401A-A15A-99E4A582C0C0}"/>
            </a:ext>
          </a:extLst>
        </xdr:cNvPr>
        <xdr:cNvSpPr/>
      </xdr:nvSpPr>
      <xdr:spPr>
        <a:xfrm>
          <a:off x="3678603" y="4812047"/>
          <a:ext cx="132522" cy="14908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7</xdr:col>
      <xdr:colOff>164114</xdr:colOff>
      <xdr:row>25</xdr:row>
      <xdr:rowOff>106489</xdr:rowOff>
    </xdr:from>
    <xdr:to>
      <xdr:col>7</xdr:col>
      <xdr:colOff>321485</xdr:colOff>
      <xdr:row>26</xdr:row>
      <xdr:rowOff>90959</xdr:rowOff>
    </xdr:to>
    <xdr:sp macro="" textlink="">
      <xdr:nvSpPr>
        <xdr:cNvPr id="685" name="Isosceles Triangle 684">
          <a:extLst>
            <a:ext uri="{FF2B5EF4-FFF2-40B4-BE49-F238E27FC236}">
              <a16:creationId xmlns:a16="http://schemas.microsoft.com/office/drawing/2014/main" id="{1CFF79D3-BDC1-46B8-98B8-2D1C6051F4F4}"/>
            </a:ext>
          </a:extLst>
        </xdr:cNvPr>
        <xdr:cNvSpPr/>
      </xdr:nvSpPr>
      <xdr:spPr>
        <a:xfrm>
          <a:off x="3926489" y="5416677"/>
          <a:ext cx="157371" cy="198782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oneCellAnchor>
    <xdr:from>
      <xdr:col>6</xdr:col>
      <xdr:colOff>406972</xdr:colOff>
      <xdr:row>22</xdr:row>
      <xdr:rowOff>95101</xdr:rowOff>
    </xdr:from>
    <xdr:ext cx="289695" cy="217560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id="{EC6AC0B3-918B-4AED-BF98-3C2915179967}"/>
            </a:ext>
          </a:extLst>
        </xdr:cNvPr>
        <xdr:cNvSpPr txBox="1"/>
      </xdr:nvSpPr>
      <xdr:spPr>
        <a:xfrm>
          <a:off x="3454972" y="4762351"/>
          <a:ext cx="28969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800" b="0">
              <a:solidFill>
                <a:schemeClr val="tx1"/>
              </a:solidFill>
              <a:latin typeface="+mn-lt"/>
              <a:ea typeface="+mn-ea"/>
              <a:cs typeface="+mn-cs"/>
            </a:rPr>
            <a:t>1P</a:t>
          </a:r>
          <a:endParaRPr lang="en-US" sz="800" b="0"/>
        </a:p>
      </xdr:txBody>
    </xdr:sp>
    <xdr:clientData/>
  </xdr:oneCellAnchor>
  <xdr:twoCellAnchor>
    <xdr:from>
      <xdr:col>6</xdr:col>
      <xdr:colOff>467397</xdr:colOff>
      <xdr:row>14</xdr:row>
      <xdr:rowOff>75369</xdr:rowOff>
    </xdr:from>
    <xdr:to>
      <xdr:col>7</xdr:col>
      <xdr:colOff>427087</xdr:colOff>
      <xdr:row>22</xdr:row>
      <xdr:rowOff>135420</xdr:rowOff>
    </xdr:to>
    <xdr:grpSp>
      <xdr:nvGrpSpPr>
        <xdr:cNvPr id="687" name="Group 686">
          <a:extLst>
            <a:ext uri="{FF2B5EF4-FFF2-40B4-BE49-F238E27FC236}">
              <a16:creationId xmlns:a16="http://schemas.microsoft.com/office/drawing/2014/main" id="{7303A2EA-48CA-4825-89DF-90743161A615}"/>
            </a:ext>
          </a:extLst>
        </xdr:cNvPr>
        <xdr:cNvGrpSpPr/>
      </xdr:nvGrpSpPr>
      <xdr:grpSpPr>
        <a:xfrm>
          <a:off x="3542611" y="2892048"/>
          <a:ext cx="680869" cy="1692908"/>
          <a:chOff x="2710901" y="2848528"/>
          <a:chExt cx="674657" cy="1774550"/>
        </a:xfrm>
      </xdr:grpSpPr>
      <xdr:sp macro="" textlink="">
        <xdr:nvSpPr>
          <xdr:cNvPr id="688" name="TextBox 687">
            <a:extLst>
              <a:ext uri="{FF2B5EF4-FFF2-40B4-BE49-F238E27FC236}">
                <a16:creationId xmlns:a16="http://schemas.microsoft.com/office/drawing/2014/main" id="{8AD72D03-49E7-44FD-4FE1-6226186A5CDA}"/>
              </a:ext>
            </a:extLst>
          </xdr:cNvPr>
          <xdr:cNvSpPr txBox="1"/>
        </xdr:nvSpPr>
        <xdr:spPr>
          <a:xfrm>
            <a:off x="2710901" y="2848528"/>
            <a:ext cx="674657" cy="177455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800" b="1" i="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T1-180/63</a:t>
            </a:r>
          </a:p>
          <a:p>
            <a:pPr algn="ctr"/>
            <a:r>
              <a:rPr lang="en-US" sz="800" b="1" i="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/7/1</a:t>
            </a:r>
          </a:p>
          <a:p>
            <a:endParaRPr lang="en-ID" sz="800" b="0">
              <a:solidFill>
                <a:sysClr val="windowText" lastClr="000000"/>
              </a:solidFill>
            </a:endParaRPr>
          </a:p>
          <a:p>
            <a:r>
              <a:rPr lang="en-ID" sz="800" b="0">
                <a:solidFill>
                  <a:sysClr val="windowText" lastClr="000000"/>
                </a:solidFill>
              </a:rPr>
              <a:t>1 C12-200</a:t>
            </a:r>
          </a:p>
          <a:p>
            <a:r>
              <a:rPr lang="en-ID" sz="800" b="0">
                <a:solidFill>
                  <a:sysClr val="windowText" lastClr="000000"/>
                </a:solidFill>
              </a:rPr>
              <a:t>1</a:t>
            </a:r>
            <a:r>
              <a:rPr lang="en-ID" sz="800" b="0" baseline="0">
                <a:solidFill>
                  <a:sysClr val="windowText" lastClr="000000"/>
                </a:solidFill>
              </a:rPr>
              <a:t> P12C-2</a:t>
            </a:r>
          </a:p>
          <a:p>
            <a:r>
              <a:rPr lang="en-ID" sz="800" b="0" baseline="0">
                <a:solidFill>
                  <a:sysClr val="windowText" lastClr="000000"/>
                </a:solidFill>
              </a:rPr>
              <a:t>1 CC8A</a:t>
            </a:r>
          </a:p>
          <a:p>
            <a:r>
              <a:rPr lang="en-ID" sz="800" b="0" baseline="0">
                <a:solidFill>
                  <a:sysClr val="windowText" lastClr="000000"/>
                </a:solidFill>
              </a:rPr>
              <a:t>1 CE1-3</a:t>
            </a:r>
          </a:p>
          <a:p>
            <a:r>
              <a:rPr lang="en-ID" sz="800" b="0" baseline="0">
                <a:solidFill>
                  <a:sysClr val="windowText" lastClr="000000"/>
                </a:solidFill>
              </a:rPr>
              <a:t>1 F1-3</a:t>
            </a:r>
          </a:p>
          <a:p>
            <a:r>
              <a:rPr lang="en-ID" sz="800" b="0" baseline="0">
                <a:solidFill>
                  <a:sysClr val="windowText" lastClr="000000"/>
                </a:solidFill>
              </a:rPr>
              <a:t>1 CM2-12A</a:t>
            </a:r>
          </a:p>
          <a:p>
            <a:r>
              <a:rPr lang="en-ID" sz="800" b="0" baseline="0">
                <a:solidFill>
                  <a:sysClr val="windowText" lastClr="000000"/>
                </a:solidFill>
              </a:rPr>
              <a:t>1 CM5-6</a:t>
            </a:r>
          </a:p>
          <a:p>
            <a:r>
              <a:rPr lang="en-ID" sz="800" b="0" baseline="0">
                <a:solidFill>
                  <a:srgbClr val="FF0000"/>
                </a:solidFill>
              </a:rPr>
              <a:t>3 CM5-8</a:t>
            </a:r>
          </a:p>
          <a:p>
            <a:r>
              <a:rPr lang="en-ID" sz="800" b="0" baseline="0">
                <a:solidFill>
                  <a:srgbClr val="FF0000"/>
                </a:solidFill>
              </a:rPr>
              <a:t>3 CM5-5</a:t>
            </a:r>
          </a:p>
          <a:p>
            <a:endParaRPr lang="en-ID" sz="800" b="0" baseline="0">
              <a:solidFill>
                <a:sysClr val="windowText" lastClr="000000"/>
              </a:solidFill>
            </a:endParaRPr>
          </a:p>
          <a:p>
            <a:endParaRPr lang="en-ID" sz="800" b="0">
              <a:solidFill>
                <a:srgbClr val="FF0000"/>
              </a:solidFill>
            </a:endParaRPr>
          </a:p>
        </xdr:txBody>
      </xdr:sp>
      <xdr:cxnSp macro="">
        <xdr:nvCxnSpPr>
          <xdr:cNvPr id="689" name="Straight Connector 688">
            <a:extLst>
              <a:ext uri="{FF2B5EF4-FFF2-40B4-BE49-F238E27FC236}">
                <a16:creationId xmlns:a16="http://schemas.microsoft.com/office/drawing/2014/main" id="{62A515CA-BFD9-A2BF-C280-C436441CF790}"/>
              </a:ext>
            </a:extLst>
          </xdr:cNvPr>
          <xdr:cNvCxnSpPr/>
        </xdr:nvCxnSpPr>
        <xdr:spPr>
          <a:xfrm flipH="1">
            <a:off x="2739900" y="4153667"/>
            <a:ext cx="530087" cy="509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627940</xdr:colOff>
      <xdr:row>19</xdr:row>
      <xdr:rowOff>100276</xdr:rowOff>
    </xdr:from>
    <xdr:to>
      <xdr:col>8</xdr:col>
      <xdr:colOff>285692</xdr:colOff>
      <xdr:row>19</xdr:row>
      <xdr:rowOff>105374</xdr:rowOff>
    </xdr:to>
    <xdr:cxnSp macro="">
      <xdr:nvCxnSpPr>
        <xdr:cNvPr id="690" name="Straight Connector 689">
          <a:extLst>
            <a:ext uri="{FF2B5EF4-FFF2-40B4-BE49-F238E27FC236}">
              <a16:creationId xmlns:a16="http://schemas.microsoft.com/office/drawing/2014/main" id="{BC503FF5-0E90-4174-8B48-155A2EB79D26}"/>
            </a:ext>
          </a:extLst>
        </xdr:cNvPr>
        <xdr:cNvCxnSpPr/>
      </xdr:nvCxnSpPr>
      <xdr:spPr>
        <a:xfrm flipH="1">
          <a:off x="4390315" y="4124589"/>
          <a:ext cx="372127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682347</xdr:colOff>
      <xdr:row>19</xdr:row>
      <xdr:rowOff>107285</xdr:rowOff>
    </xdr:from>
    <xdr:to>
      <xdr:col>9</xdr:col>
      <xdr:colOff>335912</xdr:colOff>
      <xdr:row>19</xdr:row>
      <xdr:rowOff>112383</xdr:rowOff>
    </xdr:to>
    <xdr:cxnSp macro="">
      <xdr:nvCxnSpPr>
        <xdr:cNvPr id="691" name="Straight Connector 690">
          <a:extLst>
            <a:ext uri="{FF2B5EF4-FFF2-40B4-BE49-F238E27FC236}">
              <a16:creationId xmlns:a16="http://schemas.microsoft.com/office/drawing/2014/main" id="{E6E8A7A6-B9F6-410C-9059-76AEA96E3520}"/>
            </a:ext>
          </a:extLst>
        </xdr:cNvPr>
        <xdr:cNvCxnSpPr/>
      </xdr:nvCxnSpPr>
      <xdr:spPr>
        <a:xfrm flipH="1">
          <a:off x="5159097" y="4131598"/>
          <a:ext cx="367940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78399</xdr:colOff>
      <xdr:row>19</xdr:row>
      <xdr:rowOff>77978</xdr:rowOff>
    </xdr:from>
    <xdr:to>
      <xdr:col>10</xdr:col>
      <xdr:colOff>450526</xdr:colOff>
      <xdr:row>19</xdr:row>
      <xdr:rowOff>83076</xdr:rowOff>
    </xdr:to>
    <xdr:cxnSp macro="">
      <xdr:nvCxnSpPr>
        <xdr:cNvPr id="692" name="Straight Connector 691">
          <a:extLst>
            <a:ext uri="{FF2B5EF4-FFF2-40B4-BE49-F238E27FC236}">
              <a16:creationId xmlns:a16="http://schemas.microsoft.com/office/drawing/2014/main" id="{BF313479-F07E-497C-B2B1-0997BEB7ADA1}"/>
            </a:ext>
          </a:extLst>
        </xdr:cNvPr>
        <xdr:cNvCxnSpPr/>
      </xdr:nvCxnSpPr>
      <xdr:spPr>
        <a:xfrm flipH="1">
          <a:off x="5983899" y="4102291"/>
          <a:ext cx="372127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78922</xdr:colOff>
      <xdr:row>19</xdr:row>
      <xdr:rowOff>99958</xdr:rowOff>
    </xdr:from>
    <xdr:to>
      <xdr:col>11</xdr:col>
      <xdr:colOff>451049</xdr:colOff>
      <xdr:row>19</xdr:row>
      <xdr:rowOff>105056</xdr:rowOff>
    </xdr:to>
    <xdr:cxnSp macro="">
      <xdr:nvCxnSpPr>
        <xdr:cNvPr id="693" name="Straight Connector 692">
          <a:extLst>
            <a:ext uri="{FF2B5EF4-FFF2-40B4-BE49-F238E27FC236}">
              <a16:creationId xmlns:a16="http://schemas.microsoft.com/office/drawing/2014/main" id="{7ACA62D9-3EC4-4F68-9F05-22A2C948AB4D}"/>
            </a:ext>
          </a:extLst>
        </xdr:cNvPr>
        <xdr:cNvCxnSpPr/>
      </xdr:nvCxnSpPr>
      <xdr:spPr>
        <a:xfrm flipH="1">
          <a:off x="6698797" y="4124271"/>
          <a:ext cx="372127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145388</xdr:colOff>
      <xdr:row>19</xdr:row>
      <xdr:rowOff>107285</xdr:rowOff>
    </xdr:from>
    <xdr:to>
      <xdr:col>12</xdr:col>
      <xdr:colOff>517515</xdr:colOff>
      <xdr:row>19</xdr:row>
      <xdr:rowOff>112383</xdr:rowOff>
    </xdr:to>
    <xdr:cxnSp macro="">
      <xdr:nvCxnSpPr>
        <xdr:cNvPr id="694" name="Straight Connector 693">
          <a:extLst>
            <a:ext uri="{FF2B5EF4-FFF2-40B4-BE49-F238E27FC236}">
              <a16:creationId xmlns:a16="http://schemas.microsoft.com/office/drawing/2014/main" id="{87EA7D80-0819-4BB0-9B3E-E47A1CAF4F3A}"/>
            </a:ext>
          </a:extLst>
        </xdr:cNvPr>
        <xdr:cNvCxnSpPr/>
      </xdr:nvCxnSpPr>
      <xdr:spPr>
        <a:xfrm flipH="1">
          <a:off x="7479638" y="4131598"/>
          <a:ext cx="372127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145876</xdr:colOff>
      <xdr:row>22</xdr:row>
      <xdr:rowOff>172129</xdr:rowOff>
    </xdr:from>
    <xdr:to>
      <xdr:col>20</xdr:col>
      <xdr:colOff>451026</xdr:colOff>
      <xdr:row>23</xdr:row>
      <xdr:rowOff>85304</xdr:rowOff>
    </xdr:to>
    <xdr:cxnSp macro="">
      <xdr:nvCxnSpPr>
        <xdr:cNvPr id="695" name="Straight Connector 694">
          <a:extLst>
            <a:ext uri="{FF2B5EF4-FFF2-40B4-BE49-F238E27FC236}">
              <a16:creationId xmlns:a16="http://schemas.microsoft.com/office/drawing/2014/main" id="{9AA8D406-DF27-4CDD-9FC5-8F57D14B2149}"/>
            </a:ext>
          </a:extLst>
        </xdr:cNvPr>
        <xdr:cNvCxnSpPr>
          <a:stCxn id="17" idx="0"/>
        </xdr:cNvCxnSpPr>
      </xdr:nvCxnSpPr>
      <xdr:spPr>
        <a:xfrm>
          <a:off x="3908251" y="4839379"/>
          <a:ext cx="9592025" cy="1274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377233</xdr:colOff>
      <xdr:row>23</xdr:row>
      <xdr:rowOff>41342</xdr:rowOff>
    </xdr:from>
    <xdr:to>
      <xdr:col>7</xdr:col>
      <xdr:colOff>611693</xdr:colOff>
      <xdr:row>24</xdr:row>
      <xdr:rowOff>16257</xdr:rowOff>
    </xdr:to>
    <xdr:grpSp>
      <xdr:nvGrpSpPr>
        <xdr:cNvPr id="696" name="Group 695">
          <a:extLst>
            <a:ext uri="{FF2B5EF4-FFF2-40B4-BE49-F238E27FC236}">
              <a16:creationId xmlns:a16="http://schemas.microsoft.com/office/drawing/2014/main" id="{C268B2B9-9B74-4C55-8DA3-6B55178650A5}"/>
            </a:ext>
          </a:extLst>
        </xdr:cNvPr>
        <xdr:cNvGrpSpPr/>
      </xdr:nvGrpSpPr>
      <xdr:grpSpPr>
        <a:xfrm>
          <a:off x="4173626" y="4694985"/>
          <a:ext cx="234460" cy="179022"/>
          <a:chOff x="3927232" y="6117981"/>
          <a:chExt cx="351692" cy="416361"/>
        </a:xfrm>
      </xdr:grpSpPr>
      <xdr:cxnSp macro="">
        <xdr:nvCxnSpPr>
          <xdr:cNvPr id="697" name="Straight Connector 696">
            <a:extLst>
              <a:ext uri="{FF2B5EF4-FFF2-40B4-BE49-F238E27FC236}">
                <a16:creationId xmlns:a16="http://schemas.microsoft.com/office/drawing/2014/main" id="{7CCA3DBC-B83C-B3DA-C082-024458EF6F6F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98" name="Straight Connector 697">
            <a:extLst>
              <a:ext uri="{FF2B5EF4-FFF2-40B4-BE49-F238E27FC236}">
                <a16:creationId xmlns:a16="http://schemas.microsoft.com/office/drawing/2014/main" id="{98C7E455-AD0F-88FD-C401-A888020692AF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473006</xdr:colOff>
      <xdr:row>23</xdr:row>
      <xdr:rowOff>48670</xdr:rowOff>
    </xdr:from>
    <xdr:to>
      <xdr:col>8</xdr:col>
      <xdr:colOff>711653</xdr:colOff>
      <xdr:row>24</xdr:row>
      <xdr:rowOff>23585</xdr:rowOff>
    </xdr:to>
    <xdr:grpSp>
      <xdr:nvGrpSpPr>
        <xdr:cNvPr id="699" name="Group 698">
          <a:extLst>
            <a:ext uri="{FF2B5EF4-FFF2-40B4-BE49-F238E27FC236}">
              <a16:creationId xmlns:a16="http://schemas.microsoft.com/office/drawing/2014/main" id="{69AF6DDA-9BA2-444F-8F14-C462656D4202}"/>
            </a:ext>
          </a:extLst>
        </xdr:cNvPr>
        <xdr:cNvGrpSpPr/>
      </xdr:nvGrpSpPr>
      <xdr:grpSpPr>
        <a:xfrm>
          <a:off x="4990577" y="4702313"/>
          <a:ext cx="238647" cy="179022"/>
          <a:chOff x="3927232" y="6117981"/>
          <a:chExt cx="351692" cy="416361"/>
        </a:xfrm>
      </xdr:grpSpPr>
      <xdr:cxnSp macro="">
        <xdr:nvCxnSpPr>
          <xdr:cNvPr id="700" name="Straight Connector 699">
            <a:extLst>
              <a:ext uri="{FF2B5EF4-FFF2-40B4-BE49-F238E27FC236}">
                <a16:creationId xmlns:a16="http://schemas.microsoft.com/office/drawing/2014/main" id="{53B675FF-13E1-03DC-B5E9-A1FE66E367DF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01" name="Straight Connector 700">
            <a:extLst>
              <a:ext uri="{FF2B5EF4-FFF2-40B4-BE49-F238E27FC236}">
                <a16:creationId xmlns:a16="http://schemas.microsoft.com/office/drawing/2014/main" id="{1E55AEC9-BA2D-C52F-0D06-AAE237F9372F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502837</xdr:colOff>
      <xdr:row>23</xdr:row>
      <xdr:rowOff>48669</xdr:rowOff>
    </xdr:from>
    <xdr:to>
      <xdr:col>10</xdr:col>
      <xdr:colOff>27108</xdr:colOff>
      <xdr:row>24</xdr:row>
      <xdr:rowOff>23584</xdr:rowOff>
    </xdr:to>
    <xdr:grpSp>
      <xdr:nvGrpSpPr>
        <xdr:cNvPr id="702" name="Group 701">
          <a:extLst>
            <a:ext uri="{FF2B5EF4-FFF2-40B4-BE49-F238E27FC236}">
              <a16:creationId xmlns:a16="http://schemas.microsoft.com/office/drawing/2014/main" id="{1ABEDC2B-43D7-4EAB-B18E-A3F3BA6AD30B}"/>
            </a:ext>
          </a:extLst>
        </xdr:cNvPr>
        <xdr:cNvGrpSpPr/>
      </xdr:nvGrpSpPr>
      <xdr:grpSpPr>
        <a:xfrm>
          <a:off x="5741587" y="4702312"/>
          <a:ext cx="245450" cy="179022"/>
          <a:chOff x="3927232" y="6117981"/>
          <a:chExt cx="351692" cy="416361"/>
        </a:xfrm>
      </xdr:grpSpPr>
      <xdr:cxnSp macro="">
        <xdr:nvCxnSpPr>
          <xdr:cNvPr id="703" name="Straight Connector 702">
            <a:extLst>
              <a:ext uri="{FF2B5EF4-FFF2-40B4-BE49-F238E27FC236}">
                <a16:creationId xmlns:a16="http://schemas.microsoft.com/office/drawing/2014/main" id="{305E045D-6A02-92C8-D234-2B64910EDF29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04" name="Straight Connector 703">
            <a:extLst>
              <a:ext uri="{FF2B5EF4-FFF2-40B4-BE49-F238E27FC236}">
                <a16:creationId xmlns:a16="http://schemas.microsoft.com/office/drawing/2014/main" id="{D5B3ABA2-64B5-12FD-6682-99A1003AD689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602797</xdr:colOff>
      <xdr:row>23</xdr:row>
      <xdr:rowOff>63324</xdr:rowOff>
    </xdr:from>
    <xdr:to>
      <xdr:col>11</xdr:col>
      <xdr:colOff>122882</xdr:colOff>
      <xdr:row>24</xdr:row>
      <xdr:rowOff>38239</xdr:rowOff>
    </xdr:to>
    <xdr:grpSp>
      <xdr:nvGrpSpPr>
        <xdr:cNvPr id="705" name="Group 704">
          <a:extLst>
            <a:ext uri="{FF2B5EF4-FFF2-40B4-BE49-F238E27FC236}">
              <a16:creationId xmlns:a16="http://schemas.microsoft.com/office/drawing/2014/main" id="{11F6AD8B-75DC-4F46-9445-C5B5FD89D274}"/>
            </a:ext>
          </a:extLst>
        </xdr:cNvPr>
        <xdr:cNvGrpSpPr/>
      </xdr:nvGrpSpPr>
      <xdr:grpSpPr>
        <a:xfrm>
          <a:off x="6562726" y="4716967"/>
          <a:ext cx="241263" cy="179022"/>
          <a:chOff x="3927232" y="6117981"/>
          <a:chExt cx="351692" cy="416361"/>
        </a:xfrm>
      </xdr:grpSpPr>
      <xdr:cxnSp macro="">
        <xdr:nvCxnSpPr>
          <xdr:cNvPr id="706" name="Straight Connector 705">
            <a:extLst>
              <a:ext uri="{FF2B5EF4-FFF2-40B4-BE49-F238E27FC236}">
                <a16:creationId xmlns:a16="http://schemas.microsoft.com/office/drawing/2014/main" id="{6858C41C-437F-E83A-811D-B6580585DBD9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07" name="Straight Connector 706">
            <a:extLst>
              <a:ext uri="{FF2B5EF4-FFF2-40B4-BE49-F238E27FC236}">
                <a16:creationId xmlns:a16="http://schemas.microsoft.com/office/drawing/2014/main" id="{D830D5B1-F186-69A9-6B9F-2CF80B87F70B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610648</xdr:colOff>
      <xdr:row>23</xdr:row>
      <xdr:rowOff>70650</xdr:rowOff>
    </xdr:from>
    <xdr:to>
      <xdr:col>12</xdr:col>
      <xdr:colOff>130733</xdr:colOff>
      <xdr:row>24</xdr:row>
      <xdr:rowOff>45565</xdr:rowOff>
    </xdr:to>
    <xdr:grpSp>
      <xdr:nvGrpSpPr>
        <xdr:cNvPr id="708" name="Group 707">
          <a:extLst>
            <a:ext uri="{FF2B5EF4-FFF2-40B4-BE49-F238E27FC236}">
              <a16:creationId xmlns:a16="http://schemas.microsoft.com/office/drawing/2014/main" id="{3BEEEC17-9134-452F-8950-26155260C75C}"/>
            </a:ext>
          </a:extLst>
        </xdr:cNvPr>
        <xdr:cNvGrpSpPr/>
      </xdr:nvGrpSpPr>
      <xdr:grpSpPr>
        <a:xfrm>
          <a:off x="7291755" y="4724293"/>
          <a:ext cx="241264" cy="179022"/>
          <a:chOff x="3927232" y="6117981"/>
          <a:chExt cx="351692" cy="416361"/>
        </a:xfrm>
      </xdr:grpSpPr>
      <xdr:cxnSp macro="">
        <xdr:nvCxnSpPr>
          <xdr:cNvPr id="709" name="Straight Connector 708">
            <a:extLst>
              <a:ext uri="{FF2B5EF4-FFF2-40B4-BE49-F238E27FC236}">
                <a16:creationId xmlns:a16="http://schemas.microsoft.com/office/drawing/2014/main" id="{A86B4FFF-DECE-9BCD-735E-FBFF2B5EA52F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0" name="Straight Connector 709">
            <a:extLst>
              <a:ext uri="{FF2B5EF4-FFF2-40B4-BE49-F238E27FC236}">
                <a16:creationId xmlns:a16="http://schemas.microsoft.com/office/drawing/2014/main" id="{BC799CF8-5582-7A64-13EF-0C2412C2BB18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640479</xdr:colOff>
      <xdr:row>23</xdr:row>
      <xdr:rowOff>85304</xdr:rowOff>
    </xdr:from>
    <xdr:to>
      <xdr:col>13</xdr:col>
      <xdr:colOff>164751</xdr:colOff>
      <xdr:row>24</xdr:row>
      <xdr:rowOff>60219</xdr:rowOff>
    </xdr:to>
    <xdr:grpSp>
      <xdr:nvGrpSpPr>
        <xdr:cNvPr id="711" name="Group 710">
          <a:extLst>
            <a:ext uri="{FF2B5EF4-FFF2-40B4-BE49-F238E27FC236}">
              <a16:creationId xmlns:a16="http://schemas.microsoft.com/office/drawing/2014/main" id="{BDE61C45-6FB8-429C-88A1-A5B11D585FB1}"/>
            </a:ext>
          </a:extLst>
        </xdr:cNvPr>
        <xdr:cNvGrpSpPr/>
      </xdr:nvGrpSpPr>
      <xdr:grpSpPr>
        <a:xfrm>
          <a:off x="8042765" y="4738947"/>
          <a:ext cx="245450" cy="179022"/>
          <a:chOff x="3927232" y="6117981"/>
          <a:chExt cx="351692" cy="416361"/>
        </a:xfrm>
      </xdr:grpSpPr>
      <xdr:cxnSp macro="">
        <xdr:nvCxnSpPr>
          <xdr:cNvPr id="712" name="Straight Connector 711">
            <a:extLst>
              <a:ext uri="{FF2B5EF4-FFF2-40B4-BE49-F238E27FC236}">
                <a16:creationId xmlns:a16="http://schemas.microsoft.com/office/drawing/2014/main" id="{9E8BF939-2BB8-7370-B3D5-99934050C03A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3" name="Straight Connector 712">
            <a:extLst>
              <a:ext uri="{FF2B5EF4-FFF2-40B4-BE49-F238E27FC236}">
                <a16:creationId xmlns:a16="http://schemas.microsoft.com/office/drawing/2014/main" id="{5E509473-A959-6DA8-6E4F-C64A561FE4C7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662983</xdr:colOff>
      <xdr:row>23</xdr:row>
      <xdr:rowOff>92631</xdr:rowOff>
    </xdr:from>
    <xdr:to>
      <xdr:col>14</xdr:col>
      <xdr:colOff>187255</xdr:colOff>
      <xdr:row>24</xdr:row>
      <xdr:rowOff>67546</xdr:rowOff>
    </xdr:to>
    <xdr:grpSp>
      <xdr:nvGrpSpPr>
        <xdr:cNvPr id="714" name="Group 713">
          <a:extLst>
            <a:ext uri="{FF2B5EF4-FFF2-40B4-BE49-F238E27FC236}">
              <a16:creationId xmlns:a16="http://schemas.microsoft.com/office/drawing/2014/main" id="{9DB10116-1DE6-4BAD-966B-12CA80642AE1}"/>
            </a:ext>
          </a:extLst>
        </xdr:cNvPr>
        <xdr:cNvGrpSpPr/>
      </xdr:nvGrpSpPr>
      <xdr:grpSpPr>
        <a:xfrm>
          <a:off x="8786447" y="4746274"/>
          <a:ext cx="245451" cy="179022"/>
          <a:chOff x="3927232" y="6117981"/>
          <a:chExt cx="351692" cy="416361"/>
        </a:xfrm>
      </xdr:grpSpPr>
      <xdr:cxnSp macro="">
        <xdr:nvCxnSpPr>
          <xdr:cNvPr id="715" name="Straight Connector 714">
            <a:extLst>
              <a:ext uri="{FF2B5EF4-FFF2-40B4-BE49-F238E27FC236}">
                <a16:creationId xmlns:a16="http://schemas.microsoft.com/office/drawing/2014/main" id="{77E022C0-F9B4-934C-9C15-E982DC396ADD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6" name="Straight Connector 715">
            <a:extLst>
              <a:ext uri="{FF2B5EF4-FFF2-40B4-BE49-F238E27FC236}">
                <a16:creationId xmlns:a16="http://schemas.microsoft.com/office/drawing/2014/main" id="{06D457D0-30E3-10D5-A37E-3C7B3CBB25FB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707512</xdr:colOff>
      <xdr:row>23</xdr:row>
      <xdr:rowOff>113126</xdr:rowOff>
    </xdr:from>
    <xdr:to>
      <xdr:col>15</xdr:col>
      <xdr:colOff>227597</xdr:colOff>
      <xdr:row>24</xdr:row>
      <xdr:rowOff>88041</xdr:rowOff>
    </xdr:to>
    <xdr:grpSp>
      <xdr:nvGrpSpPr>
        <xdr:cNvPr id="717" name="Group 716">
          <a:extLst>
            <a:ext uri="{FF2B5EF4-FFF2-40B4-BE49-F238E27FC236}">
              <a16:creationId xmlns:a16="http://schemas.microsoft.com/office/drawing/2014/main" id="{E22AEFFC-9B7E-4C26-9666-C2CD7687395F}"/>
            </a:ext>
          </a:extLst>
        </xdr:cNvPr>
        <xdr:cNvGrpSpPr/>
      </xdr:nvGrpSpPr>
      <xdr:grpSpPr>
        <a:xfrm>
          <a:off x="9552155" y="4766769"/>
          <a:ext cx="241263" cy="179022"/>
          <a:chOff x="3927232" y="6117981"/>
          <a:chExt cx="351692" cy="416361"/>
        </a:xfrm>
      </xdr:grpSpPr>
      <xdr:cxnSp macro="">
        <xdr:nvCxnSpPr>
          <xdr:cNvPr id="718" name="Straight Connector 717">
            <a:extLst>
              <a:ext uri="{FF2B5EF4-FFF2-40B4-BE49-F238E27FC236}">
                <a16:creationId xmlns:a16="http://schemas.microsoft.com/office/drawing/2014/main" id="{87397D4A-11A1-24C0-13AD-2513DFCC14C4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BFE4C2C4-5380-964C-FA51-A32D853FFFCE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638908</xdr:colOff>
      <xdr:row>23</xdr:row>
      <xdr:rowOff>121939</xdr:rowOff>
    </xdr:from>
    <xdr:to>
      <xdr:col>16</xdr:col>
      <xdr:colOff>158993</xdr:colOff>
      <xdr:row>24</xdr:row>
      <xdr:rowOff>96854</xdr:rowOff>
    </xdr:to>
    <xdr:grpSp>
      <xdr:nvGrpSpPr>
        <xdr:cNvPr id="720" name="Group 719">
          <a:extLst>
            <a:ext uri="{FF2B5EF4-FFF2-40B4-BE49-F238E27FC236}">
              <a16:creationId xmlns:a16="http://schemas.microsoft.com/office/drawing/2014/main" id="{721B5B76-1303-4666-82AB-696FE080AF49}"/>
            </a:ext>
          </a:extLst>
        </xdr:cNvPr>
        <xdr:cNvGrpSpPr/>
      </xdr:nvGrpSpPr>
      <xdr:grpSpPr>
        <a:xfrm>
          <a:off x="10204729" y="4775582"/>
          <a:ext cx="241264" cy="179022"/>
          <a:chOff x="3927232" y="6117981"/>
          <a:chExt cx="351692" cy="416361"/>
        </a:xfrm>
      </xdr:grpSpPr>
      <xdr:cxnSp macro="">
        <xdr:nvCxnSpPr>
          <xdr:cNvPr id="721" name="Straight Connector 720">
            <a:extLst>
              <a:ext uri="{FF2B5EF4-FFF2-40B4-BE49-F238E27FC236}">
                <a16:creationId xmlns:a16="http://schemas.microsoft.com/office/drawing/2014/main" id="{74AFC846-19B5-D365-C291-EF6CAE713991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22" name="Straight Connector 721">
            <a:extLst>
              <a:ext uri="{FF2B5EF4-FFF2-40B4-BE49-F238E27FC236}">
                <a16:creationId xmlns:a16="http://schemas.microsoft.com/office/drawing/2014/main" id="{33AFED76-62CA-89F6-E805-0CCBD3466C55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698047</xdr:colOff>
      <xdr:row>23</xdr:row>
      <xdr:rowOff>99958</xdr:rowOff>
    </xdr:from>
    <xdr:to>
      <xdr:col>17</xdr:col>
      <xdr:colOff>218132</xdr:colOff>
      <xdr:row>24</xdr:row>
      <xdr:rowOff>74873</xdr:rowOff>
    </xdr:to>
    <xdr:grpSp>
      <xdr:nvGrpSpPr>
        <xdr:cNvPr id="723" name="Group 722">
          <a:extLst>
            <a:ext uri="{FF2B5EF4-FFF2-40B4-BE49-F238E27FC236}">
              <a16:creationId xmlns:a16="http://schemas.microsoft.com/office/drawing/2014/main" id="{B5838ED8-0930-40CD-A646-FE97DB6CCD0E}"/>
            </a:ext>
          </a:extLst>
        </xdr:cNvPr>
        <xdr:cNvGrpSpPr/>
      </xdr:nvGrpSpPr>
      <xdr:grpSpPr>
        <a:xfrm>
          <a:off x="10985047" y="4753601"/>
          <a:ext cx="241264" cy="179022"/>
          <a:chOff x="3927232" y="6117981"/>
          <a:chExt cx="351692" cy="416361"/>
        </a:xfrm>
      </xdr:grpSpPr>
      <xdr:cxnSp macro="">
        <xdr:nvCxnSpPr>
          <xdr:cNvPr id="724" name="Straight Connector 723">
            <a:extLst>
              <a:ext uri="{FF2B5EF4-FFF2-40B4-BE49-F238E27FC236}">
                <a16:creationId xmlns:a16="http://schemas.microsoft.com/office/drawing/2014/main" id="{3ED2838E-FFE7-E5B2-2498-9582E124BA9A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25" name="Straight Connector 724">
            <a:extLst>
              <a:ext uri="{FF2B5EF4-FFF2-40B4-BE49-F238E27FC236}">
                <a16:creationId xmlns:a16="http://schemas.microsoft.com/office/drawing/2014/main" id="{6C5AFC17-D58A-E725-F148-2FF77CE92F40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691243</xdr:colOff>
      <xdr:row>23</xdr:row>
      <xdr:rowOff>151247</xdr:rowOff>
    </xdr:from>
    <xdr:to>
      <xdr:col>18</xdr:col>
      <xdr:colOff>215515</xdr:colOff>
      <xdr:row>24</xdr:row>
      <xdr:rowOff>126162</xdr:rowOff>
    </xdr:to>
    <xdr:grpSp>
      <xdr:nvGrpSpPr>
        <xdr:cNvPr id="726" name="Group 725">
          <a:extLst>
            <a:ext uri="{FF2B5EF4-FFF2-40B4-BE49-F238E27FC236}">
              <a16:creationId xmlns:a16="http://schemas.microsoft.com/office/drawing/2014/main" id="{E4302AED-7C45-4873-B533-419E62B40EDA}"/>
            </a:ext>
          </a:extLst>
        </xdr:cNvPr>
        <xdr:cNvGrpSpPr/>
      </xdr:nvGrpSpPr>
      <xdr:grpSpPr>
        <a:xfrm>
          <a:off x="11699422" y="4804890"/>
          <a:ext cx="245450" cy="179022"/>
          <a:chOff x="3927232" y="6117981"/>
          <a:chExt cx="351692" cy="416361"/>
        </a:xfrm>
      </xdr:grpSpPr>
      <xdr:cxnSp macro="">
        <xdr:nvCxnSpPr>
          <xdr:cNvPr id="727" name="Straight Connector 726">
            <a:extLst>
              <a:ext uri="{FF2B5EF4-FFF2-40B4-BE49-F238E27FC236}">
                <a16:creationId xmlns:a16="http://schemas.microsoft.com/office/drawing/2014/main" id="{FC6CE1E1-7738-0129-317B-D80562DD795E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28" name="Straight Connector 727">
            <a:extLst>
              <a:ext uri="{FF2B5EF4-FFF2-40B4-BE49-F238E27FC236}">
                <a16:creationId xmlns:a16="http://schemas.microsoft.com/office/drawing/2014/main" id="{9CA5F4BC-33BC-8135-1E2E-1351BC6713F4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567209</xdr:colOff>
      <xdr:row>23</xdr:row>
      <xdr:rowOff>151246</xdr:rowOff>
    </xdr:from>
    <xdr:to>
      <xdr:col>19</xdr:col>
      <xdr:colOff>87294</xdr:colOff>
      <xdr:row>24</xdr:row>
      <xdr:rowOff>126161</xdr:rowOff>
    </xdr:to>
    <xdr:grpSp>
      <xdr:nvGrpSpPr>
        <xdr:cNvPr id="729" name="Group 728">
          <a:extLst>
            <a:ext uri="{FF2B5EF4-FFF2-40B4-BE49-F238E27FC236}">
              <a16:creationId xmlns:a16="http://schemas.microsoft.com/office/drawing/2014/main" id="{C9973990-D8DF-4A77-88E4-872F26D7554E}"/>
            </a:ext>
          </a:extLst>
        </xdr:cNvPr>
        <xdr:cNvGrpSpPr/>
      </xdr:nvGrpSpPr>
      <xdr:grpSpPr>
        <a:xfrm>
          <a:off x="12296566" y="4804889"/>
          <a:ext cx="241264" cy="179022"/>
          <a:chOff x="3927232" y="6117981"/>
          <a:chExt cx="351692" cy="416361"/>
        </a:xfrm>
      </xdr:grpSpPr>
      <xdr:cxnSp macro="">
        <xdr:nvCxnSpPr>
          <xdr:cNvPr id="730" name="Straight Connector 729">
            <a:extLst>
              <a:ext uri="{FF2B5EF4-FFF2-40B4-BE49-F238E27FC236}">
                <a16:creationId xmlns:a16="http://schemas.microsoft.com/office/drawing/2014/main" id="{758FC272-8AF3-A16A-9AFB-A90695D8014F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31" name="Straight Connector 730">
            <a:extLst>
              <a:ext uri="{FF2B5EF4-FFF2-40B4-BE49-F238E27FC236}">
                <a16:creationId xmlns:a16="http://schemas.microsoft.com/office/drawing/2014/main" id="{FFB117FF-C5A8-E335-EB9D-1AA001F596C1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381070</xdr:colOff>
      <xdr:row>21</xdr:row>
      <xdr:rowOff>176891</xdr:rowOff>
    </xdr:from>
    <xdr:to>
      <xdr:col>19</xdr:col>
      <xdr:colOff>386283</xdr:colOff>
      <xdr:row>23</xdr:row>
      <xdr:rowOff>69674</xdr:rowOff>
    </xdr:to>
    <xdr:cxnSp macro="">
      <xdr:nvCxnSpPr>
        <xdr:cNvPr id="732" name="Straight Arrow Connector 731">
          <a:extLst>
            <a:ext uri="{FF2B5EF4-FFF2-40B4-BE49-F238E27FC236}">
              <a16:creationId xmlns:a16="http://schemas.microsoft.com/office/drawing/2014/main" id="{2DB51803-C158-4077-910D-92953EEBE31B}"/>
            </a:ext>
          </a:extLst>
        </xdr:cNvPr>
        <xdr:cNvCxnSpPr>
          <a:stCxn id="37" idx="0"/>
        </xdr:cNvCxnSpPr>
      </xdr:nvCxnSpPr>
      <xdr:spPr>
        <a:xfrm flipV="1">
          <a:off x="12715945" y="4629829"/>
          <a:ext cx="5213" cy="3214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174172</xdr:colOff>
      <xdr:row>83</xdr:row>
      <xdr:rowOff>75518</xdr:rowOff>
    </xdr:from>
    <xdr:to>
      <xdr:col>5</xdr:col>
      <xdr:colOff>405493</xdr:colOff>
      <xdr:row>85</xdr:row>
      <xdr:rowOff>17095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B606D2B8-F4A4-4493-8453-D40D54524E2C}"/>
            </a:ext>
          </a:extLst>
        </xdr:cNvPr>
        <xdr:cNvGrpSpPr/>
      </xdr:nvGrpSpPr>
      <xdr:grpSpPr>
        <a:xfrm>
          <a:off x="2528208" y="16975589"/>
          <a:ext cx="231321" cy="349792"/>
          <a:chOff x="3927232" y="6117981"/>
          <a:chExt cx="351692" cy="416361"/>
        </a:xfrm>
      </xdr:grpSpPr>
      <xdr:cxnSp macro="">
        <xdr:nvCxnSpPr>
          <xdr:cNvPr id="734" name="Straight Connector 733">
            <a:extLst>
              <a:ext uri="{FF2B5EF4-FFF2-40B4-BE49-F238E27FC236}">
                <a16:creationId xmlns:a16="http://schemas.microsoft.com/office/drawing/2014/main" id="{4F1D628F-22A3-B3CA-CD21-4774E7698AD7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35" name="Straight Connector 734">
            <a:extLst>
              <a:ext uri="{FF2B5EF4-FFF2-40B4-BE49-F238E27FC236}">
                <a16:creationId xmlns:a16="http://schemas.microsoft.com/office/drawing/2014/main" id="{2D0DD1A9-7A3D-67CC-636E-0706F8E26FF3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651247</xdr:colOff>
      <xdr:row>89</xdr:row>
      <xdr:rowOff>61612</xdr:rowOff>
    </xdr:from>
    <xdr:to>
      <xdr:col>7</xdr:col>
      <xdr:colOff>690763</xdr:colOff>
      <xdr:row>96</xdr:row>
      <xdr:rowOff>4802</xdr:rowOff>
    </xdr:to>
    <xdr:cxnSp macro="">
      <xdr:nvCxnSpPr>
        <xdr:cNvPr id="736" name="Straight Connector 735">
          <a:extLst>
            <a:ext uri="{FF2B5EF4-FFF2-40B4-BE49-F238E27FC236}">
              <a16:creationId xmlns:a16="http://schemas.microsoft.com/office/drawing/2014/main" id="{129E2943-31C2-432C-B214-D144C348704D}"/>
            </a:ext>
          </a:extLst>
        </xdr:cNvPr>
        <xdr:cNvCxnSpPr>
          <a:endCxn id="513" idx="4"/>
        </xdr:cNvCxnSpPr>
      </xdr:nvCxnSpPr>
      <xdr:spPr>
        <a:xfrm flipH="1" flipV="1">
          <a:off x="4447640" y="18186326"/>
          <a:ext cx="39516" cy="137194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32658</xdr:colOff>
      <xdr:row>89</xdr:row>
      <xdr:rowOff>75518</xdr:rowOff>
    </xdr:from>
    <xdr:ext cx="289695" cy="217560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D17CAD5E-4B63-49EC-9C94-85D1E692463B}"/>
            </a:ext>
          </a:extLst>
        </xdr:cNvPr>
        <xdr:cNvSpPr txBox="1"/>
      </xdr:nvSpPr>
      <xdr:spPr>
        <a:xfrm>
          <a:off x="4509408" y="16696643"/>
          <a:ext cx="28969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800" b="0">
              <a:solidFill>
                <a:schemeClr val="tx1"/>
              </a:solidFill>
              <a:latin typeface="+mn-lt"/>
              <a:ea typeface="+mn-ea"/>
              <a:cs typeface="+mn-cs"/>
            </a:rPr>
            <a:t>1P</a:t>
          </a:r>
          <a:endParaRPr lang="en-US" sz="800" b="0"/>
        </a:p>
      </xdr:txBody>
    </xdr:sp>
    <xdr:clientData/>
  </xdr:oneCellAnchor>
  <xdr:twoCellAnchor>
    <xdr:from>
      <xdr:col>6</xdr:col>
      <xdr:colOff>313764</xdr:colOff>
      <xdr:row>83</xdr:row>
      <xdr:rowOff>56027</xdr:rowOff>
    </xdr:from>
    <xdr:to>
      <xdr:col>6</xdr:col>
      <xdr:colOff>547728</xdr:colOff>
      <xdr:row>84</xdr:row>
      <xdr:rowOff>161088</xdr:rowOff>
    </xdr:to>
    <xdr:grpSp>
      <xdr:nvGrpSpPr>
        <xdr:cNvPr id="738" name="Group 737">
          <a:extLst>
            <a:ext uri="{FF2B5EF4-FFF2-40B4-BE49-F238E27FC236}">
              <a16:creationId xmlns:a16="http://schemas.microsoft.com/office/drawing/2014/main" id="{69FB1B54-6831-43A9-A130-8ED30B9764E1}"/>
            </a:ext>
          </a:extLst>
        </xdr:cNvPr>
        <xdr:cNvGrpSpPr/>
      </xdr:nvGrpSpPr>
      <xdr:grpSpPr>
        <a:xfrm>
          <a:off x="3388978" y="16956098"/>
          <a:ext cx="233964" cy="309169"/>
          <a:chOff x="3927232" y="6117981"/>
          <a:chExt cx="351692" cy="416361"/>
        </a:xfrm>
      </xdr:grpSpPr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6BC4662D-79A6-D80F-5746-D725F8B7A621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3D4B56FC-2962-B4FF-B51A-7D4381A84D2E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190500</xdr:colOff>
      <xdr:row>85</xdr:row>
      <xdr:rowOff>37418</xdr:rowOff>
    </xdr:from>
    <xdr:to>
      <xdr:col>5</xdr:col>
      <xdr:colOff>618540</xdr:colOff>
      <xdr:row>85</xdr:row>
      <xdr:rowOff>141794</xdr:rowOff>
    </xdr:to>
    <xdr:cxnSp macro="">
      <xdr:nvCxnSpPr>
        <xdr:cNvPr id="741" name="Straight Connector 740">
          <a:extLst>
            <a:ext uri="{FF2B5EF4-FFF2-40B4-BE49-F238E27FC236}">
              <a16:creationId xmlns:a16="http://schemas.microsoft.com/office/drawing/2014/main" id="{A4A09B08-C6C4-4C3B-805D-8D93FCDB9F18}"/>
            </a:ext>
          </a:extLst>
        </xdr:cNvPr>
        <xdr:cNvCxnSpPr>
          <a:endCxn id="653" idx="2"/>
        </xdr:cNvCxnSpPr>
      </xdr:nvCxnSpPr>
      <xdr:spPr>
        <a:xfrm>
          <a:off x="1809750" y="16087043"/>
          <a:ext cx="1142415" cy="10437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59383</xdr:colOff>
      <xdr:row>85</xdr:row>
      <xdr:rowOff>141794</xdr:rowOff>
    </xdr:from>
    <xdr:to>
      <xdr:col>6</xdr:col>
      <xdr:colOff>657706</xdr:colOff>
      <xdr:row>86</xdr:row>
      <xdr:rowOff>19211</xdr:rowOff>
    </xdr:to>
    <xdr:cxnSp macro="">
      <xdr:nvCxnSpPr>
        <xdr:cNvPr id="742" name="Straight Connector 741">
          <a:extLst>
            <a:ext uri="{FF2B5EF4-FFF2-40B4-BE49-F238E27FC236}">
              <a16:creationId xmlns:a16="http://schemas.microsoft.com/office/drawing/2014/main" id="{8E8B67F3-9E42-42E9-874E-07A340452B89}"/>
            </a:ext>
          </a:extLst>
        </xdr:cNvPr>
        <xdr:cNvCxnSpPr>
          <a:stCxn id="653" idx="6"/>
          <a:endCxn id="657" idx="2"/>
        </xdr:cNvCxnSpPr>
      </xdr:nvCxnSpPr>
      <xdr:spPr>
        <a:xfrm>
          <a:off x="3107383" y="16191419"/>
          <a:ext cx="598323" cy="202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71994</xdr:colOff>
      <xdr:row>86</xdr:row>
      <xdr:rowOff>65083</xdr:rowOff>
    </xdr:from>
    <xdr:to>
      <xdr:col>7</xdr:col>
      <xdr:colOff>574140</xdr:colOff>
      <xdr:row>88</xdr:row>
      <xdr:rowOff>157548</xdr:rowOff>
    </xdr:to>
    <xdr:cxnSp macro="">
      <xdr:nvCxnSpPr>
        <xdr:cNvPr id="743" name="Straight Connector 742">
          <a:extLst>
            <a:ext uri="{FF2B5EF4-FFF2-40B4-BE49-F238E27FC236}">
              <a16:creationId xmlns:a16="http://schemas.microsoft.com/office/drawing/2014/main" id="{6C539BC5-F3E6-4B38-8C54-0C5A1F807588}"/>
            </a:ext>
          </a:extLst>
        </xdr:cNvPr>
        <xdr:cNvCxnSpPr>
          <a:stCxn id="657" idx="5"/>
          <a:endCxn id="513" idx="2"/>
        </xdr:cNvCxnSpPr>
      </xdr:nvCxnSpPr>
      <xdr:spPr>
        <a:xfrm>
          <a:off x="3868387" y="17577476"/>
          <a:ext cx="502146" cy="50067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651247</xdr:colOff>
      <xdr:row>89</xdr:row>
      <xdr:rowOff>61612</xdr:rowOff>
    </xdr:from>
    <xdr:to>
      <xdr:col>9</xdr:col>
      <xdr:colOff>56553</xdr:colOff>
      <xdr:row>90</xdr:row>
      <xdr:rowOff>107380</xdr:rowOff>
    </xdr:to>
    <xdr:cxnSp macro="">
      <xdr:nvCxnSpPr>
        <xdr:cNvPr id="744" name="Straight Connector 743">
          <a:extLst>
            <a:ext uri="{FF2B5EF4-FFF2-40B4-BE49-F238E27FC236}">
              <a16:creationId xmlns:a16="http://schemas.microsoft.com/office/drawing/2014/main" id="{F390128F-AD70-4E7F-9E85-6BBB435D18C9}"/>
            </a:ext>
          </a:extLst>
        </xdr:cNvPr>
        <xdr:cNvCxnSpPr>
          <a:stCxn id="513" idx="4"/>
          <a:endCxn id="517" idx="4"/>
        </xdr:cNvCxnSpPr>
      </xdr:nvCxnSpPr>
      <xdr:spPr>
        <a:xfrm>
          <a:off x="4447640" y="18186326"/>
          <a:ext cx="847663" cy="2498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59955</xdr:colOff>
      <xdr:row>90</xdr:row>
      <xdr:rowOff>107380</xdr:rowOff>
    </xdr:from>
    <xdr:to>
      <xdr:col>18</xdr:col>
      <xdr:colOff>214017</xdr:colOff>
      <xdr:row>100</xdr:row>
      <xdr:rowOff>126140</xdr:rowOff>
    </xdr:to>
    <xdr:cxnSp macro="">
      <xdr:nvCxnSpPr>
        <xdr:cNvPr id="745" name="Straight Connector 744">
          <a:extLst>
            <a:ext uri="{FF2B5EF4-FFF2-40B4-BE49-F238E27FC236}">
              <a16:creationId xmlns:a16="http://schemas.microsoft.com/office/drawing/2014/main" id="{09B96C32-07D9-4072-9102-E59E3B36CD5E}"/>
            </a:ext>
          </a:extLst>
        </xdr:cNvPr>
        <xdr:cNvCxnSpPr>
          <a:stCxn id="517" idx="4"/>
          <a:endCxn id="554" idx="4"/>
        </xdr:cNvCxnSpPr>
      </xdr:nvCxnSpPr>
      <xdr:spPr>
        <a:xfrm>
          <a:off x="5251080" y="16871380"/>
          <a:ext cx="6583437" cy="14951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166008</xdr:colOff>
      <xdr:row>25</xdr:row>
      <xdr:rowOff>129266</xdr:rowOff>
    </xdr:from>
    <xdr:to>
      <xdr:col>14</xdr:col>
      <xdr:colOff>535413</xdr:colOff>
      <xdr:row>25</xdr:row>
      <xdr:rowOff>134364</xdr:rowOff>
    </xdr:to>
    <xdr:cxnSp macro="">
      <xdr:nvCxnSpPr>
        <xdr:cNvPr id="746" name="Straight Connector 745">
          <a:extLst>
            <a:ext uri="{FF2B5EF4-FFF2-40B4-BE49-F238E27FC236}">
              <a16:creationId xmlns:a16="http://schemas.microsoft.com/office/drawing/2014/main" id="{AC817FC7-881C-4833-B403-72C995584B7D}"/>
            </a:ext>
          </a:extLst>
        </xdr:cNvPr>
        <xdr:cNvCxnSpPr/>
      </xdr:nvCxnSpPr>
      <xdr:spPr>
        <a:xfrm flipH="1">
          <a:off x="8929008" y="5439454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216354</xdr:colOff>
      <xdr:row>25</xdr:row>
      <xdr:rowOff>157841</xdr:rowOff>
    </xdr:from>
    <xdr:to>
      <xdr:col>15</xdr:col>
      <xdr:colOff>588480</xdr:colOff>
      <xdr:row>25</xdr:row>
      <xdr:rowOff>162939</xdr:rowOff>
    </xdr:to>
    <xdr:cxnSp macro="">
      <xdr:nvCxnSpPr>
        <xdr:cNvPr id="747" name="Straight Connector 746">
          <a:extLst>
            <a:ext uri="{FF2B5EF4-FFF2-40B4-BE49-F238E27FC236}">
              <a16:creationId xmlns:a16="http://schemas.microsoft.com/office/drawing/2014/main" id="{4FE842EC-FBD5-49AE-9663-62EE30EB4CBE}"/>
            </a:ext>
          </a:extLst>
        </xdr:cNvPr>
        <xdr:cNvCxnSpPr/>
      </xdr:nvCxnSpPr>
      <xdr:spPr>
        <a:xfrm flipH="1">
          <a:off x="9693729" y="5468029"/>
          <a:ext cx="372126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209550</xdr:colOff>
      <xdr:row>25</xdr:row>
      <xdr:rowOff>176891</xdr:rowOff>
    </xdr:from>
    <xdr:to>
      <xdr:col>16</xdr:col>
      <xdr:colOff>581677</xdr:colOff>
      <xdr:row>25</xdr:row>
      <xdr:rowOff>181989</xdr:rowOff>
    </xdr:to>
    <xdr:cxnSp macro="">
      <xdr:nvCxnSpPr>
        <xdr:cNvPr id="748" name="Straight Connector 747">
          <a:extLst>
            <a:ext uri="{FF2B5EF4-FFF2-40B4-BE49-F238E27FC236}">
              <a16:creationId xmlns:a16="http://schemas.microsoft.com/office/drawing/2014/main" id="{981849C5-2469-4BB2-B6FE-80B8DE54F6FD}"/>
            </a:ext>
          </a:extLst>
        </xdr:cNvPr>
        <xdr:cNvCxnSpPr/>
      </xdr:nvCxnSpPr>
      <xdr:spPr>
        <a:xfrm flipH="1">
          <a:off x="10401300" y="5487079"/>
          <a:ext cx="372127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240847</xdr:colOff>
      <xdr:row>25</xdr:row>
      <xdr:rowOff>119741</xdr:rowOff>
    </xdr:from>
    <xdr:to>
      <xdr:col>17</xdr:col>
      <xdr:colOff>612973</xdr:colOff>
      <xdr:row>25</xdr:row>
      <xdr:rowOff>124839</xdr:rowOff>
    </xdr:to>
    <xdr:cxnSp macro="">
      <xdr:nvCxnSpPr>
        <xdr:cNvPr id="749" name="Straight Connector 748">
          <a:extLst>
            <a:ext uri="{FF2B5EF4-FFF2-40B4-BE49-F238E27FC236}">
              <a16:creationId xmlns:a16="http://schemas.microsoft.com/office/drawing/2014/main" id="{407193A8-F50C-4539-8EE1-B8F1E2F2BB0B}"/>
            </a:ext>
          </a:extLst>
        </xdr:cNvPr>
        <xdr:cNvCxnSpPr/>
      </xdr:nvCxnSpPr>
      <xdr:spPr>
        <a:xfrm flipH="1">
          <a:off x="11146972" y="5429929"/>
          <a:ext cx="372126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255815</xdr:colOff>
      <xdr:row>25</xdr:row>
      <xdr:rowOff>176891</xdr:rowOff>
    </xdr:from>
    <xdr:to>
      <xdr:col>18</xdr:col>
      <xdr:colOff>625220</xdr:colOff>
      <xdr:row>25</xdr:row>
      <xdr:rowOff>181989</xdr:rowOff>
    </xdr:to>
    <xdr:cxnSp macro="">
      <xdr:nvCxnSpPr>
        <xdr:cNvPr id="750" name="Straight Connector 749">
          <a:extLst>
            <a:ext uri="{FF2B5EF4-FFF2-40B4-BE49-F238E27FC236}">
              <a16:creationId xmlns:a16="http://schemas.microsoft.com/office/drawing/2014/main" id="{436C0A1F-F699-49D8-A26C-4C3EB55F06A7}"/>
            </a:ext>
          </a:extLst>
        </xdr:cNvPr>
        <xdr:cNvCxnSpPr/>
      </xdr:nvCxnSpPr>
      <xdr:spPr>
        <a:xfrm flipH="1">
          <a:off x="11876315" y="5487079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325211</xdr:colOff>
      <xdr:row>25</xdr:row>
      <xdr:rowOff>167366</xdr:rowOff>
    </xdr:from>
    <xdr:to>
      <xdr:col>19</xdr:col>
      <xdr:colOff>694616</xdr:colOff>
      <xdr:row>25</xdr:row>
      <xdr:rowOff>172464</xdr:rowOff>
    </xdr:to>
    <xdr:cxnSp macro="">
      <xdr:nvCxnSpPr>
        <xdr:cNvPr id="751" name="Straight Connector 750">
          <a:extLst>
            <a:ext uri="{FF2B5EF4-FFF2-40B4-BE49-F238E27FC236}">
              <a16:creationId xmlns:a16="http://schemas.microsoft.com/office/drawing/2014/main" id="{F1AFA3DC-38B5-48F4-83D2-82B7C771BA82}"/>
            </a:ext>
          </a:extLst>
        </xdr:cNvPr>
        <xdr:cNvCxnSpPr/>
      </xdr:nvCxnSpPr>
      <xdr:spPr>
        <a:xfrm flipH="1">
          <a:off x="12660086" y="5477554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214017</xdr:colOff>
      <xdr:row>100</xdr:row>
      <xdr:rowOff>126140</xdr:rowOff>
    </xdr:from>
    <xdr:to>
      <xdr:col>20</xdr:col>
      <xdr:colOff>120039</xdr:colOff>
      <xdr:row>102</xdr:row>
      <xdr:rowOff>128527</xdr:rowOff>
    </xdr:to>
    <xdr:cxnSp macro="">
      <xdr:nvCxnSpPr>
        <xdr:cNvPr id="752" name="Straight Connector 751">
          <a:extLst>
            <a:ext uri="{FF2B5EF4-FFF2-40B4-BE49-F238E27FC236}">
              <a16:creationId xmlns:a16="http://schemas.microsoft.com/office/drawing/2014/main" id="{71EBD91C-817A-486D-8722-9959633B4FA7}"/>
            </a:ext>
          </a:extLst>
        </xdr:cNvPr>
        <xdr:cNvCxnSpPr>
          <a:stCxn id="554" idx="4"/>
        </xdr:cNvCxnSpPr>
      </xdr:nvCxnSpPr>
      <xdr:spPr>
        <a:xfrm>
          <a:off x="11834517" y="18366515"/>
          <a:ext cx="1334772" cy="28813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252449</xdr:colOff>
      <xdr:row>85</xdr:row>
      <xdr:rowOff>137635</xdr:rowOff>
    </xdr:from>
    <xdr:to>
      <xdr:col>7</xdr:col>
      <xdr:colOff>479776</xdr:colOff>
      <xdr:row>87</xdr:row>
      <xdr:rowOff>80485</xdr:rowOff>
    </xdr:to>
    <xdr:grpSp>
      <xdr:nvGrpSpPr>
        <xdr:cNvPr id="753" name="Group 752">
          <a:extLst>
            <a:ext uri="{FF2B5EF4-FFF2-40B4-BE49-F238E27FC236}">
              <a16:creationId xmlns:a16="http://schemas.microsoft.com/office/drawing/2014/main" id="{50C4B64B-C14E-42BD-8ADC-43935FF0FF21}"/>
            </a:ext>
          </a:extLst>
        </xdr:cNvPr>
        <xdr:cNvGrpSpPr/>
      </xdr:nvGrpSpPr>
      <xdr:grpSpPr>
        <a:xfrm rot="2934720">
          <a:off x="3986974" y="17507789"/>
          <a:ext cx="351064" cy="227327"/>
          <a:chOff x="3927232" y="6117981"/>
          <a:chExt cx="351692" cy="416361"/>
        </a:xfrm>
      </xdr:grpSpPr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CA467CC9-5CAF-6B2D-CE5F-6699D86F4B39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32DE8E82-6AD9-054D-148C-B8E046680285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261819</xdr:colOff>
      <xdr:row>88</xdr:row>
      <xdr:rowOff>101851</xdr:rowOff>
    </xdr:from>
    <xdr:to>
      <xdr:col>8</xdr:col>
      <xdr:colOff>490419</xdr:colOff>
      <xdr:row>90</xdr:row>
      <xdr:rowOff>43428</xdr:rowOff>
    </xdr:to>
    <xdr:grpSp>
      <xdr:nvGrpSpPr>
        <xdr:cNvPr id="756" name="Group 755">
          <a:extLst>
            <a:ext uri="{FF2B5EF4-FFF2-40B4-BE49-F238E27FC236}">
              <a16:creationId xmlns:a16="http://schemas.microsoft.com/office/drawing/2014/main" id="{5562740D-29B0-41D6-8D1B-4DEFA49CC618}"/>
            </a:ext>
          </a:extLst>
        </xdr:cNvPr>
        <xdr:cNvGrpSpPr/>
      </xdr:nvGrpSpPr>
      <xdr:grpSpPr>
        <a:xfrm>
          <a:off x="4779390" y="18022458"/>
          <a:ext cx="228600" cy="349791"/>
          <a:chOff x="3927232" y="6117981"/>
          <a:chExt cx="351692" cy="416361"/>
        </a:xfrm>
      </xdr:grpSpPr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C217AE9F-D33D-A736-61A8-522AE6079A65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298565CF-879B-D0BC-0470-433F6EAE1BE1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327853</xdr:colOff>
      <xdr:row>89</xdr:row>
      <xdr:rowOff>82241</xdr:rowOff>
    </xdr:from>
    <xdr:to>
      <xdr:col>9</xdr:col>
      <xdr:colOff>563657</xdr:colOff>
      <xdr:row>91</xdr:row>
      <xdr:rowOff>23818</xdr:rowOff>
    </xdr:to>
    <xdr:grpSp>
      <xdr:nvGrpSpPr>
        <xdr:cNvPr id="759" name="Group 758">
          <a:extLst>
            <a:ext uri="{FF2B5EF4-FFF2-40B4-BE49-F238E27FC236}">
              <a16:creationId xmlns:a16="http://schemas.microsoft.com/office/drawing/2014/main" id="{81A353B6-D4E3-40B4-A800-B71954B79AA2}"/>
            </a:ext>
          </a:extLst>
        </xdr:cNvPr>
        <xdr:cNvGrpSpPr/>
      </xdr:nvGrpSpPr>
      <xdr:grpSpPr>
        <a:xfrm>
          <a:off x="5566603" y="18206955"/>
          <a:ext cx="235804" cy="349792"/>
          <a:chOff x="3927232" y="6117981"/>
          <a:chExt cx="351692" cy="416361"/>
        </a:xfrm>
      </xdr:grpSpPr>
      <xdr:cxnSp macro="">
        <xdr:nvCxnSpPr>
          <xdr:cNvPr id="760" name="Straight Connector 759">
            <a:extLst>
              <a:ext uri="{FF2B5EF4-FFF2-40B4-BE49-F238E27FC236}">
                <a16:creationId xmlns:a16="http://schemas.microsoft.com/office/drawing/2014/main" id="{350FC668-2C4B-2BD5-2315-F9896BC27BEA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CE49E20A-C333-A81C-C37F-A31C7A95D54F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333376</xdr:colOff>
      <xdr:row>90</xdr:row>
      <xdr:rowOff>102972</xdr:rowOff>
    </xdr:from>
    <xdr:to>
      <xdr:col>10</xdr:col>
      <xdr:colOff>569180</xdr:colOff>
      <xdr:row>92</xdr:row>
      <xdr:rowOff>44549</xdr:rowOff>
    </xdr:to>
    <xdr:grpSp>
      <xdr:nvGrpSpPr>
        <xdr:cNvPr id="762" name="Group 761">
          <a:extLst>
            <a:ext uri="{FF2B5EF4-FFF2-40B4-BE49-F238E27FC236}">
              <a16:creationId xmlns:a16="http://schemas.microsoft.com/office/drawing/2014/main" id="{03236DEF-6068-4066-AF42-8E9D7714E8ED}"/>
            </a:ext>
          </a:extLst>
        </xdr:cNvPr>
        <xdr:cNvGrpSpPr/>
      </xdr:nvGrpSpPr>
      <xdr:grpSpPr>
        <a:xfrm>
          <a:off x="6293305" y="18431793"/>
          <a:ext cx="235804" cy="349792"/>
          <a:chOff x="3927232" y="6117981"/>
          <a:chExt cx="351692" cy="416361"/>
        </a:xfrm>
      </xdr:grpSpPr>
      <xdr:cxnSp macro="">
        <xdr:nvCxnSpPr>
          <xdr:cNvPr id="763" name="Straight Connector 762">
            <a:extLst>
              <a:ext uri="{FF2B5EF4-FFF2-40B4-BE49-F238E27FC236}">
                <a16:creationId xmlns:a16="http://schemas.microsoft.com/office/drawing/2014/main" id="{B17604E3-9A77-AE87-CA37-427ABD01C424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64" name="Straight Connector 763">
            <a:extLst>
              <a:ext uri="{FF2B5EF4-FFF2-40B4-BE49-F238E27FC236}">
                <a16:creationId xmlns:a16="http://schemas.microsoft.com/office/drawing/2014/main" id="{12359F40-CA50-AB14-2E02-CC9462A37FFC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413339</xdr:colOff>
      <xdr:row>91</xdr:row>
      <xdr:rowOff>112497</xdr:rowOff>
    </xdr:from>
    <xdr:to>
      <xdr:col>11</xdr:col>
      <xdr:colOff>641939</xdr:colOff>
      <xdr:row>93</xdr:row>
      <xdr:rowOff>30261</xdr:rowOff>
    </xdr:to>
    <xdr:grpSp>
      <xdr:nvGrpSpPr>
        <xdr:cNvPr id="765" name="Group 764">
          <a:extLst>
            <a:ext uri="{FF2B5EF4-FFF2-40B4-BE49-F238E27FC236}">
              <a16:creationId xmlns:a16="http://schemas.microsoft.com/office/drawing/2014/main" id="{BE0C0631-497E-4B66-BEDC-A2FCADB9E79A}"/>
            </a:ext>
          </a:extLst>
        </xdr:cNvPr>
        <xdr:cNvGrpSpPr/>
      </xdr:nvGrpSpPr>
      <xdr:grpSpPr>
        <a:xfrm>
          <a:off x="7094446" y="18645426"/>
          <a:ext cx="228600" cy="325978"/>
          <a:chOff x="3927232" y="6117981"/>
          <a:chExt cx="351692" cy="416361"/>
        </a:xfrm>
      </xdr:grpSpPr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FD4690B-34C3-A988-3AEF-BC8F3204795A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EF18E5FF-FD86-27F4-ACF3-F6B367135BFF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441274</xdr:colOff>
      <xdr:row>92</xdr:row>
      <xdr:rowOff>122022</xdr:rowOff>
    </xdr:from>
    <xdr:to>
      <xdr:col>12</xdr:col>
      <xdr:colOff>669874</xdr:colOff>
      <xdr:row>94</xdr:row>
      <xdr:rowOff>15974</xdr:rowOff>
    </xdr:to>
    <xdr:grpSp>
      <xdr:nvGrpSpPr>
        <xdr:cNvPr id="768" name="Group 767">
          <a:extLst>
            <a:ext uri="{FF2B5EF4-FFF2-40B4-BE49-F238E27FC236}">
              <a16:creationId xmlns:a16="http://schemas.microsoft.com/office/drawing/2014/main" id="{0FD4D8B1-3B85-4503-A9CE-6D3017880ED0}"/>
            </a:ext>
          </a:extLst>
        </xdr:cNvPr>
        <xdr:cNvGrpSpPr/>
      </xdr:nvGrpSpPr>
      <xdr:grpSpPr>
        <a:xfrm>
          <a:off x="7843560" y="18859058"/>
          <a:ext cx="228600" cy="302166"/>
          <a:chOff x="3927232" y="6117981"/>
          <a:chExt cx="351692" cy="416361"/>
        </a:xfrm>
      </xdr:grpSpPr>
      <xdr:cxnSp macro="">
        <xdr:nvCxnSpPr>
          <xdr:cNvPr id="769" name="Straight Connector 768">
            <a:extLst>
              <a:ext uri="{FF2B5EF4-FFF2-40B4-BE49-F238E27FC236}">
                <a16:creationId xmlns:a16="http://schemas.microsoft.com/office/drawing/2014/main" id="{E6CEEE3D-7F73-2001-5605-01478B9B0651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70" name="Straight Connector 769">
            <a:extLst>
              <a:ext uri="{FF2B5EF4-FFF2-40B4-BE49-F238E27FC236}">
                <a16:creationId xmlns:a16="http://schemas.microsoft.com/office/drawing/2014/main" id="{76A35721-A044-3C06-9B7A-2D6BE80B7F3B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413178</xdr:colOff>
      <xdr:row>93</xdr:row>
      <xdr:rowOff>130146</xdr:rowOff>
    </xdr:from>
    <xdr:to>
      <xdr:col>13</xdr:col>
      <xdr:colOff>641778</xdr:colOff>
      <xdr:row>95</xdr:row>
      <xdr:rowOff>47911</xdr:rowOff>
    </xdr:to>
    <xdr:grpSp>
      <xdr:nvGrpSpPr>
        <xdr:cNvPr id="771" name="Group 770">
          <a:extLst>
            <a:ext uri="{FF2B5EF4-FFF2-40B4-BE49-F238E27FC236}">
              <a16:creationId xmlns:a16="http://schemas.microsoft.com/office/drawing/2014/main" id="{470747AC-08AE-4B02-987F-B0EE05CFE422}"/>
            </a:ext>
          </a:extLst>
        </xdr:cNvPr>
        <xdr:cNvGrpSpPr/>
      </xdr:nvGrpSpPr>
      <xdr:grpSpPr>
        <a:xfrm>
          <a:off x="8536642" y="19071289"/>
          <a:ext cx="228600" cy="325979"/>
          <a:chOff x="3927232" y="6117981"/>
          <a:chExt cx="351692" cy="416361"/>
        </a:xfrm>
      </xdr:grpSpPr>
      <xdr:cxnSp macro="">
        <xdr:nvCxnSpPr>
          <xdr:cNvPr id="772" name="Straight Connector 771">
            <a:extLst>
              <a:ext uri="{FF2B5EF4-FFF2-40B4-BE49-F238E27FC236}">
                <a16:creationId xmlns:a16="http://schemas.microsoft.com/office/drawing/2014/main" id="{E7664C65-11BF-078D-03C1-EBBE850C789E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73" name="Straight Connector 772">
            <a:extLst>
              <a:ext uri="{FF2B5EF4-FFF2-40B4-BE49-F238E27FC236}">
                <a16:creationId xmlns:a16="http://schemas.microsoft.com/office/drawing/2014/main" id="{EB4BB0C3-86BF-5297-D4E4-A3BDA64A1121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362672</xdr:colOff>
      <xdr:row>94</xdr:row>
      <xdr:rowOff>127065</xdr:rowOff>
    </xdr:from>
    <xdr:to>
      <xdr:col>14</xdr:col>
      <xdr:colOff>591272</xdr:colOff>
      <xdr:row>96</xdr:row>
      <xdr:rowOff>68642</xdr:rowOff>
    </xdr:to>
    <xdr:grpSp>
      <xdr:nvGrpSpPr>
        <xdr:cNvPr id="774" name="Group 773">
          <a:extLst>
            <a:ext uri="{FF2B5EF4-FFF2-40B4-BE49-F238E27FC236}">
              <a16:creationId xmlns:a16="http://schemas.microsoft.com/office/drawing/2014/main" id="{8E526841-5825-4FCB-9D2F-D7D0B627005D}"/>
            </a:ext>
          </a:extLst>
        </xdr:cNvPr>
        <xdr:cNvGrpSpPr/>
      </xdr:nvGrpSpPr>
      <xdr:grpSpPr>
        <a:xfrm rot="903491">
          <a:off x="9207315" y="19272315"/>
          <a:ext cx="228600" cy="349791"/>
          <a:chOff x="3927232" y="6117981"/>
          <a:chExt cx="351692" cy="416361"/>
        </a:xfrm>
      </xdr:grpSpPr>
      <xdr:cxnSp macro="">
        <xdr:nvCxnSpPr>
          <xdr:cNvPr id="775" name="Straight Connector 774">
            <a:extLst>
              <a:ext uri="{FF2B5EF4-FFF2-40B4-BE49-F238E27FC236}">
                <a16:creationId xmlns:a16="http://schemas.microsoft.com/office/drawing/2014/main" id="{94353713-D27F-E250-8A5A-A6DCFF3DEA87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76" name="Straight Connector 775">
            <a:extLst>
              <a:ext uri="{FF2B5EF4-FFF2-40B4-BE49-F238E27FC236}">
                <a16:creationId xmlns:a16="http://schemas.microsoft.com/office/drawing/2014/main" id="{AFC84711-450B-5FB5-A025-BC10F6B8AE68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547967</xdr:colOff>
      <xdr:row>96</xdr:row>
      <xdr:rowOff>65432</xdr:rowOff>
    </xdr:from>
    <xdr:to>
      <xdr:col>16</xdr:col>
      <xdr:colOff>62192</xdr:colOff>
      <xdr:row>98</xdr:row>
      <xdr:rowOff>7009</xdr:rowOff>
    </xdr:to>
    <xdr:grpSp>
      <xdr:nvGrpSpPr>
        <xdr:cNvPr id="777" name="Group 776">
          <a:extLst>
            <a:ext uri="{FF2B5EF4-FFF2-40B4-BE49-F238E27FC236}">
              <a16:creationId xmlns:a16="http://schemas.microsoft.com/office/drawing/2014/main" id="{75FF8342-FB5A-4277-BCF7-62585669A22B}"/>
            </a:ext>
          </a:extLst>
        </xdr:cNvPr>
        <xdr:cNvGrpSpPr/>
      </xdr:nvGrpSpPr>
      <xdr:grpSpPr>
        <a:xfrm rot="809151">
          <a:off x="10113788" y="19618896"/>
          <a:ext cx="235404" cy="349792"/>
          <a:chOff x="3927232" y="6117981"/>
          <a:chExt cx="351692" cy="416361"/>
        </a:xfrm>
      </xdr:grpSpPr>
      <xdr:cxnSp macro="">
        <xdr:nvCxnSpPr>
          <xdr:cNvPr id="778" name="Straight Connector 777">
            <a:extLst>
              <a:ext uri="{FF2B5EF4-FFF2-40B4-BE49-F238E27FC236}">
                <a16:creationId xmlns:a16="http://schemas.microsoft.com/office/drawing/2014/main" id="{C337DDBA-032B-6718-7526-16B8112EFF7E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79" name="Straight Connector 778">
            <a:extLst>
              <a:ext uri="{FF2B5EF4-FFF2-40B4-BE49-F238E27FC236}">
                <a16:creationId xmlns:a16="http://schemas.microsoft.com/office/drawing/2014/main" id="{62F1E0A7-4E2C-AB7C-B794-BAF656F63C81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580386</xdr:colOff>
      <xdr:row>97</xdr:row>
      <xdr:rowOff>68234</xdr:rowOff>
    </xdr:from>
    <xdr:to>
      <xdr:col>17</xdr:col>
      <xdr:colOff>94611</xdr:colOff>
      <xdr:row>99</xdr:row>
      <xdr:rowOff>9811</xdr:rowOff>
    </xdr:to>
    <xdr:grpSp>
      <xdr:nvGrpSpPr>
        <xdr:cNvPr id="780" name="Group 779">
          <a:extLst>
            <a:ext uri="{FF2B5EF4-FFF2-40B4-BE49-F238E27FC236}">
              <a16:creationId xmlns:a16="http://schemas.microsoft.com/office/drawing/2014/main" id="{4156C719-8A4D-40AA-96F3-B1924F458351}"/>
            </a:ext>
          </a:extLst>
        </xdr:cNvPr>
        <xdr:cNvGrpSpPr/>
      </xdr:nvGrpSpPr>
      <xdr:grpSpPr>
        <a:xfrm rot="1425454">
          <a:off x="10867386" y="19825805"/>
          <a:ext cx="235404" cy="349792"/>
          <a:chOff x="3927232" y="6117981"/>
          <a:chExt cx="351692" cy="416361"/>
        </a:xfrm>
      </xdr:grpSpPr>
      <xdr:cxnSp macro="">
        <xdr:nvCxnSpPr>
          <xdr:cNvPr id="781" name="Straight Connector 780">
            <a:extLst>
              <a:ext uri="{FF2B5EF4-FFF2-40B4-BE49-F238E27FC236}">
                <a16:creationId xmlns:a16="http://schemas.microsoft.com/office/drawing/2014/main" id="{AC27D08E-7BDE-5BDA-453C-6140CB36FD74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82" name="Straight Connector 781">
            <a:extLst>
              <a:ext uri="{FF2B5EF4-FFF2-40B4-BE49-F238E27FC236}">
                <a16:creationId xmlns:a16="http://schemas.microsoft.com/office/drawing/2014/main" id="{FEC36E6F-C4D9-7346-9590-C0DA7F942515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455919</xdr:colOff>
      <xdr:row>98</xdr:row>
      <xdr:rowOff>71036</xdr:rowOff>
    </xdr:from>
    <xdr:to>
      <xdr:col>17</xdr:col>
      <xdr:colOff>684519</xdr:colOff>
      <xdr:row>100</xdr:row>
      <xdr:rowOff>12613</xdr:rowOff>
    </xdr:to>
    <xdr:grpSp>
      <xdr:nvGrpSpPr>
        <xdr:cNvPr id="783" name="Group 782">
          <a:extLst>
            <a:ext uri="{FF2B5EF4-FFF2-40B4-BE49-F238E27FC236}">
              <a16:creationId xmlns:a16="http://schemas.microsoft.com/office/drawing/2014/main" id="{CA735D2F-719E-4C6A-8043-D81D293DA709}"/>
            </a:ext>
          </a:extLst>
        </xdr:cNvPr>
        <xdr:cNvGrpSpPr/>
      </xdr:nvGrpSpPr>
      <xdr:grpSpPr>
        <a:xfrm rot="1220539">
          <a:off x="11464098" y="20032715"/>
          <a:ext cx="228600" cy="349791"/>
          <a:chOff x="3927232" y="6117981"/>
          <a:chExt cx="351692" cy="416361"/>
        </a:xfrm>
      </xdr:grpSpPr>
      <xdr:cxnSp macro="">
        <xdr:nvCxnSpPr>
          <xdr:cNvPr id="784" name="Straight Connector 783">
            <a:extLst>
              <a:ext uri="{FF2B5EF4-FFF2-40B4-BE49-F238E27FC236}">
                <a16:creationId xmlns:a16="http://schemas.microsoft.com/office/drawing/2014/main" id="{FDDACCE6-3551-89BF-EE7A-9CED143CBBD1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85" name="Straight Connector 784">
            <a:extLst>
              <a:ext uri="{FF2B5EF4-FFF2-40B4-BE49-F238E27FC236}">
                <a16:creationId xmlns:a16="http://schemas.microsoft.com/office/drawing/2014/main" id="{E46A1BAB-C64F-B140-5E32-C7B42A3BB6F9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651942</xdr:colOff>
      <xdr:row>99</xdr:row>
      <xdr:rowOff>136590</xdr:rowOff>
    </xdr:from>
    <xdr:to>
      <xdr:col>19</xdr:col>
      <xdr:colOff>173371</xdr:colOff>
      <xdr:row>101</xdr:row>
      <xdr:rowOff>78167</xdr:rowOff>
    </xdr:to>
    <xdr:grpSp>
      <xdr:nvGrpSpPr>
        <xdr:cNvPr id="786" name="Group 785">
          <a:extLst>
            <a:ext uri="{FF2B5EF4-FFF2-40B4-BE49-F238E27FC236}">
              <a16:creationId xmlns:a16="http://schemas.microsoft.com/office/drawing/2014/main" id="{D68A6811-79A7-4F86-96D2-D95186AC7EA7}"/>
            </a:ext>
          </a:extLst>
        </xdr:cNvPr>
        <xdr:cNvGrpSpPr/>
      </xdr:nvGrpSpPr>
      <xdr:grpSpPr>
        <a:xfrm rot="926076">
          <a:off x="12381299" y="20302376"/>
          <a:ext cx="242608" cy="349791"/>
          <a:chOff x="3927232" y="6117981"/>
          <a:chExt cx="351692" cy="416361"/>
        </a:xfrm>
      </xdr:grpSpPr>
      <xdr:cxnSp macro="">
        <xdr:nvCxnSpPr>
          <xdr:cNvPr id="787" name="Straight Connector 786">
            <a:extLst>
              <a:ext uri="{FF2B5EF4-FFF2-40B4-BE49-F238E27FC236}">
                <a16:creationId xmlns:a16="http://schemas.microsoft.com/office/drawing/2014/main" id="{85F224F8-1967-5E56-41CC-749D2F99DD16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88" name="Straight Connector 787">
            <a:extLst>
              <a:ext uri="{FF2B5EF4-FFF2-40B4-BE49-F238E27FC236}">
                <a16:creationId xmlns:a16="http://schemas.microsoft.com/office/drawing/2014/main" id="{2DEB2623-37C2-1579-6D96-5E5316589A6B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505814</xdr:colOff>
      <xdr:row>101</xdr:row>
      <xdr:rowOff>22278</xdr:rowOff>
    </xdr:from>
    <xdr:to>
      <xdr:col>20</xdr:col>
      <xdr:colOff>88353</xdr:colOff>
      <xdr:row>102</xdr:row>
      <xdr:rowOff>60327</xdr:rowOff>
    </xdr:to>
    <xdr:grpSp>
      <xdr:nvGrpSpPr>
        <xdr:cNvPr id="789" name="Group 788">
          <a:extLst>
            <a:ext uri="{FF2B5EF4-FFF2-40B4-BE49-F238E27FC236}">
              <a16:creationId xmlns:a16="http://schemas.microsoft.com/office/drawing/2014/main" id="{27A9A9E2-3D1B-4547-90AC-CB1E35DE0883}"/>
            </a:ext>
          </a:extLst>
        </xdr:cNvPr>
        <xdr:cNvGrpSpPr/>
      </xdr:nvGrpSpPr>
      <xdr:grpSpPr>
        <a:xfrm rot="776675">
          <a:off x="12956350" y="20596278"/>
          <a:ext cx="303717" cy="242156"/>
          <a:chOff x="3927232" y="6117981"/>
          <a:chExt cx="351692" cy="416361"/>
        </a:xfrm>
      </xdr:grpSpPr>
      <xdr:cxnSp macro="">
        <xdr:nvCxnSpPr>
          <xdr:cNvPr id="790" name="Straight Connector 789">
            <a:extLst>
              <a:ext uri="{FF2B5EF4-FFF2-40B4-BE49-F238E27FC236}">
                <a16:creationId xmlns:a16="http://schemas.microsoft.com/office/drawing/2014/main" id="{9D8B1512-756B-73CD-00DF-AEAC8EB43C3F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91" name="Straight Connector 790">
            <a:extLst>
              <a:ext uri="{FF2B5EF4-FFF2-40B4-BE49-F238E27FC236}">
                <a16:creationId xmlns:a16="http://schemas.microsoft.com/office/drawing/2014/main" id="{2644F414-7664-4E1A-97C5-DCDCF0AACC0C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83045</xdr:colOff>
      <xdr:row>142</xdr:row>
      <xdr:rowOff>64633</xdr:rowOff>
    </xdr:from>
    <xdr:to>
      <xdr:col>9</xdr:col>
      <xdr:colOff>102054</xdr:colOff>
      <xdr:row>149</xdr:row>
      <xdr:rowOff>121638</xdr:rowOff>
    </xdr:to>
    <xdr:cxnSp macro="">
      <xdr:nvCxnSpPr>
        <xdr:cNvPr id="792" name="Straight Arrow Connector 791">
          <a:extLst>
            <a:ext uri="{FF2B5EF4-FFF2-40B4-BE49-F238E27FC236}">
              <a16:creationId xmlns:a16="http://schemas.microsoft.com/office/drawing/2014/main" id="{776EDB76-17BB-45D5-9DFF-762D23C459CA}"/>
            </a:ext>
          </a:extLst>
        </xdr:cNvPr>
        <xdr:cNvCxnSpPr>
          <a:stCxn id="578" idx="0"/>
        </xdr:cNvCxnSpPr>
      </xdr:nvCxnSpPr>
      <xdr:spPr>
        <a:xfrm flipV="1">
          <a:off x="5274170" y="25591633"/>
          <a:ext cx="19009" cy="108094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14221</xdr:colOff>
      <xdr:row>144</xdr:row>
      <xdr:rowOff>72978</xdr:rowOff>
    </xdr:from>
    <xdr:to>
      <xdr:col>9</xdr:col>
      <xdr:colOff>168435</xdr:colOff>
      <xdr:row>145</xdr:row>
      <xdr:rowOff>85214</xdr:rowOff>
    </xdr:to>
    <xdr:grpSp>
      <xdr:nvGrpSpPr>
        <xdr:cNvPr id="793" name="Group 792">
          <a:extLst>
            <a:ext uri="{FF2B5EF4-FFF2-40B4-BE49-F238E27FC236}">
              <a16:creationId xmlns:a16="http://schemas.microsoft.com/office/drawing/2014/main" id="{F1CE1D6C-872D-4595-9671-5E99A21C9FE0}"/>
            </a:ext>
          </a:extLst>
        </xdr:cNvPr>
        <xdr:cNvGrpSpPr/>
      </xdr:nvGrpSpPr>
      <xdr:grpSpPr>
        <a:xfrm>
          <a:off x="5252971" y="29423585"/>
          <a:ext cx="154214" cy="2163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94" name="Oval 793">
            <a:extLst>
              <a:ext uri="{FF2B5EF4-FFF2-40B4-BE49-F238E27FC236}">
                <a16:creationId xmlns:a16="http://schemas.microsoft.com/office/drawing/2014/main" id="{8A6EC81C-7F0F-1225-5536-72D92213647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795" name="Straight Connector 794">
            <a:extLst>
              <a:ext uri="{FF2B5EF4-FFF2-40B4-BE49-F238E27FC236}">
                <a16:creationId xmlns:a16="http://schemas.microsoft.com/office/drawing/2014/main" id="{AEB367A3-C8D3-C4BD-0209-542EFFF5DAB5}"/>
              </a:ext>
            </a:extLst>
          </xdr:cNvPr>
          <xdr:cNvCxnSpPr>
            <a:stCxn id="794" idx="1"/>
            <a:endCxn id="79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6" name="Straight Connector 795">
            <a:extLst>
              <a:ext uri="{FF2B5EF4-FFF2-40B4-BE49-F238E27FC236}">
                <a16:creationId xmlns:a16="http://schemas.microsoft.com/office/drawing/2014/main" id="{0385AA11-5A3F-C02B-441B-67DDF7FD3101}"/>
              </a:ext>
            </a:extLst>
          </xdr:cNvPr>
          <xdr:cNvCxnSpPr>
            <a:stCxn id="794" idx="3"/>
            <a:endCxn id="79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446426</xdr:colOff>
      <xdr:row>150</xdr:row>
      <xdr:rowOff>758</xdr:rowOff>
    </xdr:from>
    <xdr:to>
      <xdr:col>12</xdr:col>
      <xdr:colOff>484774</xdr:colOff>
      <xdr:row>151</xdr:row>
      <xdr:rowOff>2201</xdr:rowOff>
    </xdr:to>
    <xdr:cxnSp macro="">
      <xdr:nvCxnSpPr>
        <xdr:cNvPr id="797" name="Straight Connector 796">
          <a:extLst>
            <a:ext uri="{FF2B5EF4-FFF2-40B4-BE49-F238E27FC236}">
              <a16:creationId xmlns:a16="http://schemas.microsoft.com/office/drawing/2014/main" id="{299D3FE5-E2BE-4DFF-8A85-E6802E4CB3F2}"/>
            </a:ext>
          </a:extLst>
        </xdr:cNvPr>
        <xdr:cNvCxnSpPr>
          <a:stCxn id="574" idx="1"/>
          <a:endCxn id="582" idx="1"/>
        </xdr:cNvCxnSpPr>
      </xdr:nvCxnSpPr>
      <xdr:spPr>
        <a:xfrm flipH="1" flipV="1">
          <a:off x="6351926" y="26718383"/>
          <a:ext cx="1467098" cy="14431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81880</xdr:colOff>
      <xdr:row>150</xdr:row>
      <xdr:rowOff>97763</xdr:rowOff>
    </xdr:from>
    <xdr:to>
      <xdr:col>10</xdr:col>
      <xdr:colOff>318985</xdr:colOff>
      <xdr:row>151</xdr:row>
      <xdr:rowOff>954</xdr:rowOff>
    </xdr:to>
    <xdr:cxnSp macro="">
      <xdr:nvCxnSpPr>
        <xdr:cNvPr id="798" name="Straight Connector 797">
          <a:extLst>
            <a:ext uri="{FF2B5EF4-FFF2-40B4-BE49-F238E27FC236}">
              <a16:creationId xmlns:a16="http://schemas.microsoft.com/office/drawing/2014/main" id="{62E92C35-F413-4416-8B3B-501FEDAFFD89}"/>
            </a:ext>
          </a:extLst>
        </xdr:cNvPr>
        <xdr:cNvCxnSpPr>
          <a:endCxn id="663" idx="4"/>
        </xdr:cNvCxnSpPr>
      </xdr:nvCxnSpPr>
      <xdr:spPr>
        <a:xfrm>
          <a:off x="3844255" y="26815388"/>
          <a:ext cx="2380230" cy="4606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373508</xdr:colOff>
      <xdr:row>150</xdr:row>
      <xdr:rowOff>121114</xdr:rowOff>
    </xdr:from>
    <xdr:to>
      <xdr:col>12</xdr:col>
      <xdr:colOff>484774</xdr:colOff>
      <xdr:row>151</xdr:row>
      <xdr:rowOff>111881</xdr:rowOff>
    </xdr:to>
    <xdr:cxnSp macro="">
      <xdr:nvCxnSpPr>
        <xdr:cNvPr id="799" name="Straight Connector 798">
          <a:extLst>
            <a:ext uri="{FF2B5EF4-FFF2-40B4-BE49-F238E27FC236}">
              <a16:creationId xmlns:a16="http://schemas.microsoft.com/office/drawing/2014/main" id="{1E4DD790-CE14-43FA-9FF8-4BCA1A93B56F}"/>
            </a:ext>
          </a:extLst>
        </xdr:cNvPr>
        <xdr:cNvCxnSpPr>
          <a:stCxn id="663" idx="5"/>
          <a:endCxn id="574" idx="3"/>
        </xdr:cNvCxnSpPr>
      </xdr:nvCxnSpPr>
      <xdr:spPr>
        <a:xfrm>
          <a:off x="6279008" y="26838739"/>
          <a:ext cx="1540016" cy="13364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616404</xdr:colOff>
      <xdr:row>142</xdr:row>
      <xdr:rowOff>81953</xdr:rowOff>
    </xdr:from>
    <xdr:to>
      <xdr:col>13</xdr:col>
      <xdr:colOff>212515</xdr:colOff>
      <xdr:row>151</xdr:row>
      <xdr:rowOff>57041</xdr:rowOff>
    </xdr:to>
    <xdr:cxnSp macro="">
      <xdr:nvCxnSpPr>
        <xdr:cNvPr id="800" name="Straight Connector 799">
          <a:extLst>
            <a:ext uri="{FF2B5EF4-FFF2-40B4-BE49-F238E27FC236}">
              <a16:creationId xmlns:a16="http://schemas.microsoft.com/office/drawing/2014/main" id="{D2035DC8-45E0-485F-B032-7DF85E9938AF}"/>
            </a:ext>
          </a:extLst>
        </xdr:cNvPr>
        <xdr:cNvCxnSpPr>
          <a:stCxn id="574" idx="6"/>
          <a:endCxn id="595" idx="5"/>
        </xdr:cNvCxnSpPr>
      </xdr:nvCxnSpPr>
      <xdr:spPr>
        <a:xfrm flipV="1">
          <a:off x="7950654" y="25608953"/>
          <a:ext cx="310486" cy="1308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387804</xdr:colOff>
      <xdr:row>145</xdr:row>
      <xdr:rowOff>55108</xdr:rowOff>
    </xdr:from>
    <xdr:to>
      <xdr:col>10</xdr:col>
      <xdr:colOff>352743</xdr:colOff>
      <xdr:row>148</xdr:row>
      <xdr:rowOff>123265</xdr:rowOff>
    </xdr:to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id="{4F615270-153B-4612-B762-4C6DEA6B851F}"/>
            </a:ext>
          </a:extLst>
        </xdr:cNvPr>
        <xdr:cNvSpPr txBox="1"/>
      </xdr:nvSpPr>
      <xdr:spPr>
        <a:xfrm>
          <a:off x="5609745" y="29257637"/>
          <a:ext cx="682116" cy="6732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</a:p>
        <a:p>
          <a:r>
            <a:rPr lang="en-ID" sz="800" b="0">
              <a:solidFill>
                <a:srgbClr val="FF0000"/>
              </a:solidFill>
            </a:rPr>
            <a:t>1 CJ6</a:t>
          </a:r>
        </a:p>
        <a:p>
          <a:r>
            <a:rPr lang="en-ID" sz="800" b="0">
              <a:solidFill>
                <a:srgbClr val="FF0000"/>
              </a:solidFill>
            </a:rPr>
            <a:t>1 P12C-2</a:t>
          </a:r>
        </a:p>
      </xdr:txBody>
    </xdr:sp>
    <xdr:clientData/>
  </xdr:twoCellAnchor>
  <xdr:twoCellAnchor>
    <xdr:from>
      <xdr:col>10</xdr:col>
      <xdr:colOff>409574</xdr:colOff>
      <xdr:row>145</xdr:row>
      <xdr:rowOff>140833</xdr:rowOff>
    </xdr:from>
    <xdr:to>
      <xdr:col>11</xdr:col>
      <xdr:colOff>297996</xdr:colOff>
      <xdr:row>149</xdr:row>
      <xdr:rowOff>31295</xdr:rowOff>
    </xdr:to>
    <xdr:grpSp>
      <xdr:nvGrpSpPr>
        <xdr:cNvPr id="802" name="Group 801">
          <a:extLst>
            <a:ext uri="{FF2B5EF4-FFF2-40B4-BE49-F238E27FC236}">
              <a16:creationId xmlns:a16="http://schemas.microsoft.com/office/drawing/2014/main" id="{2B15AF8E-3069-448F-B5BD-E5DE56EE67EF}"/>
            </a:ext>
          </a:extLst>
        </xdr:cNvPr>
        <xdr:cNvGrpSpPr/>
      </xdr:nvGrpSpPr>
      <xdr:grpSpPr>
        <a:xfrm>
          <a:off x="6369503" y="29695547"/>
          <a:ext cx="609600" cy="706891"/>
          <a:chOff x="3927232" y="6117981"/>
          <a:chExt cx="351692" cy="416361"/>
        </a:xfrm>
      </xdr:grpSpPr>
      <xdr:cxnSp macro="">
        <xdr:nvCxnSpPr>
          <xdr:cNvPr id="803" name="Straight Connector 802">
            <a:extLst>
              <a:ext uri="{FF2B5EF4-FFF2-40B4-BE49-F238E27FC236}">
                <a16:creationId xmlns:a16="http://schemas.microsoft.com/office/drawing/2014/main" id="{4179D466-5FBE-7612-96E7-61DBF28C7B76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F3FBC824-EAC0-E025-9D91-0F43A7C706E5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77201</xdr:colOff>
      <xdr:row>136</xdr:row>
      <xdr:rowOff>84244</xdr:rowOff>
    </xdr:from>
    <xdr:to>
      <xdr:col>13</xdr:col>
      <xdr:colOff>106136</xdr:colOff>
      <xdr:row>142</xdr:row>
      <xdr:rowOff>30929</xdr:rowOff>
    </xdr:to>
    <xdr:cxnSp macro="">
      <xdr:nvCxnSpPr>
        <xdr:cNvPr id="805" name="Straight Connector 804">
          <a:extLst>
            <a:ext uri="{FF2B5EF4-FFF2-40B4-BE49-F238E27FC236}">
              <a16:creationId xmlns:a16="http://schemas.microsoft.com/office/drawing/2014/main" id="{6D48A327-33CF-4372-96FD-C437CCB563CF}"/>
            </a:ext>
          </a:extLst>
        </xdr:cNvPr>
        <xdr:cNvCxnSpPr>
          <a:endCxn id="595" idx="2"/>
        </xdr:cNvCxnSpPr>
      </xdr:nvCxnSpPr>
      <xdr:spPr>
        <a:xfrm flipH="1">
          <a:off x="8125826" y="24753994"/>
          <a:ext cx="28935" cy="80393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234495</xdr:colOff>
      <xdr:row>136</xdr:row>
      <xdr:rowOff>50625</xdr:rowOff>
    </xdr:from>
    <xdr:to>
      <xdr:col>13</xdr:col>
      <xdr:colOff>251813</xdr:colOff>
      <xdr:row>142</xdr:row>
      <xdr:rowOff>30929</xdr:rowOff>
    </xdr:to>
    <xdr:cxnSp macro="">
      <xdr:nvCxnSpPr>
        <xdr:cNvPr id="806" name="Straight Connector 805">
          <a:extLst>
            <a:ext uri="{FF2B5EF4-FFF2-40B4-BE49-F238E27FC236}">
              <a16:creationId xmlns:a16="http://schemas.microsoft.com/office/drawing/2014/main" id="{4720E736-226D-4DC3-A7AB-F1CCA7D7CF5C}"/>
            </a:ext>
          </a:extLst>
        </xdr:cNvPr>
        <xdr:cNvCxnSpPr>
          <a:stCxn id="595" idx="6"/>
        </xdr:cNvCxnSpPr>
      </xdr:nvCxnSpPr>
      <xdr:spPr>
        <a:xfrm flipV="1">
          <a:off x="8283120" y="24720375"/>
          <a:ext cx="17318" cy="83755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30249</xdr:colOff>
      <xdr:row>149</xdr:row>
      <xdr:rowOff>53593</xdr:rowOff>
    </xdr:from>
    <xdr:to>
      <xdr:col>8</xdr:col>
      <xdr:colOff>326647</xdr:colOff>
      <xdr:row>150</xdr:row>
      <xdr:rowOff>17060</xdr:rowOff>
    </xdr:to>
    <xdr:grpSp>
      <xdr:nvGrpSpPr>
        <xdr:cNvPr id="807" name="Group 806">
          <a:extLst>
            <a:ext uri="{FF2B5EF4-FFF2-40B4-BE49-F238E27FC236}">
              <a16:creationId xmlns:a16="http://schemas.microsoft.com/office/drawing/2014/main" id="{8201FCB3-FA42-4101-833A-EA596754F70C}"/>
            </a:ext>
          </a:extLst>
        </xdr:cNvPr>
        <xdr:cNvGrpSpPr/>
      </xdr:nvGrpSpPr>
      <xdr:grpSpPr>
        <a:xfrm rot="776675">
          <a:off x="4547820" y="30424736"/>
          <a:ext cx="296398" cy="167574"/>
          <a:chOff x="3927232" y="6117981"/>
          <a:chExt cx="351692" cy="416361"/>
        </a:xfrm>
      </xdr:grpSpPr>
      <xdr:cxnSp macro="">
        <xdr:nvCxnSpPr>
          <xdr:cNvPr id="808" name="Straight Connector 807">
            <a:extLst>
              <a:ext uri="{FF2B5EF4-FFF2-40B4-BE49-F238E27FC236}">
                <a16:creationId xmlns:a16="http://schemas.microsoft.com/office/drawing/2014/main" id="{F3CE979F-7A06-32CC-ED57-83A1B4124233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09" name="Straight Connector 808">
            <a:extLst>
              <a:ext uri="{FF2B5EF4-FFF2-40B4-BE49-F238E27FC236}">
                <a16:creationId xmlns:a16="http://schemas.microsoft.com/office/drawing/2014/main" id="{09819814-ED93-ECBE-ADEC-E5DA46889D09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430954</xdr:colOff>
      <xdr:row>149</xdr:row>
      <xdr:rowOff>96861</xdr:rowOff>
    </xdr:from>
    <xdr:to>
      <xdr:col>9</xdr:col>
      <xdr:colOff>684395</xdr:colOff>
      <xdr:row>150</xdr:row>
      <xdr:rowOff>56214</xdr:rowOff>
    </xdr:to>
    <xdr:grpSp>
      <xdr:nvGrpSpPr>
        <xdr:cNvPr id="810" name="Group 809">
          <a:extLst>
            <a:ext uri="{FF2B5EF4-FFF2-40B4-BE49-F238E27FC236}">
              <a16:creationId xmlns:a16="http://schemas.microsoft.com/office/drawing/2014/main" id="{B85DA5EB-729A-44E3-A9CB-0E433F840374}"/>
            </a:ext>
          </a:extLst>
        </xdr:cNvPr>
        <xdr:cNvGrpSpPr/>
      </xdr:nvGrpSpPr>
      <xdr:grpSpPr>
        <a:xfrm rot="776675">
          <a:off x="5669704" y="30468004"/>
          <a:ext cx="253441" cy="163460"/>
          <a:chOff x="3927232" y="6117981"/>
          <a:chExt cx="351692" cy="416361"/>
        </a:xfrm>
      </xdr:grpSpPr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6AC80E18-8ACC-D5A1-41A7-A31909207A55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12" name="Straight Connector 811">
            <a:extLst>
              <a:ext uri="{FF2B5EF4-FFF2-40B4-BE49-F238E27FC236}">
                <a16:creationId xmlns:a16="http://schemas.microsoft.com/office/drawing/2014/main" id="{92EF4004-0694-60EF-E4F8-7688C6895089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422656</xdr:colOff>
      <xdr:row>149</xdr:row>
      <xdr:rowOff>133094</xdr:rowOff>
    </xdr:from>
    <xdr:to>
      <xdr:col>11</xdr:col>
      <xdr:colOff>686072</xdr:colOff>
      <xdr:row>150</xdr:row>
      <xdr:rowOff>127501</xdr:rowOff>
    </xdr:to>
    <xdr:grpSp>
      <xdr:nvGrpSpPr>
        <xdr:cNvPr id="813" name="Group 812">
          <a:extLst>
            <a:ext uri="{FF2B5EF4-FFF2-40B4-BE49-F238E27FC236}">
              <a16:creationId xmlns:a16="http://schemas.microsoft.com/office/drawing/2014/main" id="{E729B940-F691-4DBE-B30E-1FBC8394B833}"/>
            </a:ext>
          </a:extLst>
        </xdr:cNvPr>
        <xdr:cNvGrpSpPr/>
      </xdr:nvGrpSpPr>
      <xdr:grpSpPr>
        <a:xfrm rot="776675">
          <a:off x="7103763" y="30504237"/>
          <a:ext cx="263416" cy="198514"/>
          <a:chOff x="3927232" y="6117981"/>
          <a:chExt cx="351692" cy="416361"/>
        </a:xfrm>
      </xdr:grpSpPr>
      <xdr:cxnSp macro="">
        <xdr:nvCxnSpPr>
          <xdr:cNvPr id="814" name="Straight Connector 813">
            <a:extLst>
              <a:ext uri="{FF2B5EF4-FFF2-40B4-BE49-F238E27FC236}">
                <a16:creationId xmlns:a16="http://schemas.microsoft.com/office/drawing/2014/main" id="{610DCB53-898B-D6F8-211C-4795DC0B946D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15" name="Straight Connector 814">
            <a:extLst>
              <a:ext uri="{FF2B5EF4-FFF2-40B4-BE49-F238E27FC236}">
                <a16:creationId xmlns:a16="http://schemas.microsoft.com/office/drawing/2014/main" id="{098CA4D6-7BED-A9BE-8670-2CAC3AB08F94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515835</xdr:colOff>
      <xdr:row>145</xdr:row>
      <xdr:rowOff>106612</xdr:rowOff>
    </xdr:from>
    <xdr:to>
      <xdr:col>12</xdr:col>
      <xdr:colOff>696759</xdr:colOff>
      <xdr:row>147</xdr:row>
      <xdr:rowOff>110572</xdr:rowOff>
    </xdr:to>
    <xdr:grpSp>
      <xdr:nvGrpSpPr>
        <xdr:cNvPr id="816" name="Group 815">
          <a:extLst>
            <a:ext uri="{FF2B5EF4-FFF2-40B4-BE49-F238E27FC236}">
              <a16:creationId xmlns:a16="http://schemas.microsoft.com/office/drawing/2014/main" id="{5EF95539-CF99-4C63-8BA0-55697B1E17AC}"/>
            </a:ext>
          </a:extLst>
        </xdr:cNvPr>
        <xdr:cNvGrpSpPr/>
      </xdr:nvGrpSpPr>
      <xdr:grpSpPr>
        <a:xfrm rot="6388401">
          <a:off x="7802495" y="29776952"/>
          <a:ext cx="412175" cy="180924"/>
          <a:chOff x="3927232" y="6117981"/>
          <a:chExt cx="351692" cy="416361"/>
        </a:xfrm>
      </xdr:grpSpPr>
      <xdr:cxnSp macro="">
        <xdr:nvCxnSpPr>
          <xdr:cNvPr id="817" name="Straight Connector 816">
            <a:extLst>
              <a:ext uri="{FF2B5EF4-FFF2-40B4-BE49-F238E27FC236}">
                <a16:creationId xmlns:a16="http://schemas.microsoft.com/office/drawing/2014/main" id="{6A3D51A9-7778-F340-B5E9-72488C06581F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18" name="Straight Connector 817">
            <a:extLst>
              <a:ext uri="{FF2B5EF4-FFF2-40B4-BE49-F238E27FC236}">
                <a16:creationId xmlns:a16="http://schemas.microsoft.com/office/drawing/2014/main" id="{0EC9A77A-002B-227B-BDC7-E1425A528C10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672394</xdr:colOff>
      <xdr:row>137</xdr:row>
      <xdr:rowOff>80758</xdr:rowOff>
    </xdr:from>
    <xdr:to>
      <xdr:col>13</xdr:col>
      <xdr:colOff>185644</xdr:colOff>
      <xdr:row>139</xdr:row>
      <xdr:rowOff>110640</xdr:rowOff>
    </xdr:to>
    <xdr:grpSp>
      <xdr:nvGrpSpPr>
        <xdr:cNvPr id="819" name="Group 818">
          <a:extLst>
            <a:ext uri="{FF2B5EF4-FFF2-40B4-BE49-F238E27FC236}">
              <a16:creationId xmlns:a16="http://schemas.microsoft.com/office/drawing/2014/main" id="{414AC9F2-2460-4C12-A5E5-5BEC156ACD37}"/>
            </a:ext>
          </a:extLst>
        </xdr:cNvPr>
        <xdr:cNvGrpSpPr/>
      </xdr:nvGrpSpPr>
      <xdr:grpSpPr>
        <a:xfrm rot="776675">
          <a:off x="8074680" y="28002615"/>
          <a:ext cx="234428" cy="438096"/>
          <a:chOff x="3927232" y="6117981"/>
          <a:chExt cx="351692" cy="416361"/>
        </a:xfrm>
      </xdr:grpSpPr>
      <xdr:cxnSp macro="">
        <xdr:nvCxnSpPr>
          <xdr:cNvPr id="820" name="Straight Connector 819">
            <a:extLst>
              <a:ext uri="{FF2B5EF4-FFF2-40B4-BE49-F238E27FC236}">
                <a16:creationId xmlns:a16="http://schemas.microsoft.com/office/drawing/2014/main" id="{FE1DE73F-7F1B-899C-6C61-A9D617BD0320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21" name="Straight Connector 820">
            <a:extLst>
              <a:ext uri="{FF2B5EF4-FFF2-40B4-BE49-F238E27FC236}">
                <a16:creationId xmlns:a16="http://schemas.microsoft.com/office/drawing/2014/main" id="{E05366DB-38C5-3CA6-491A-6A0573F7B4EE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180974</xdr:colOff>
      <xdr:row>80</xdr:row>
      <xdr:rowOff>166285</xdr:rowOff>
    </xdr:from>
    <xdr:to>
      <xdr:col>4</xdr:col>
      <xdr:colOff>557584</xdr:colOff>
      <xdr:row>80</xdr:row>
      <xdr:rowOff>171383</xdr:rowOff>
    </xdr:to>
    <xdr:cxnSp macro="">
      <xdr:nvCxnSpPr>
        <xdr:cNvPr id="822" name="Straight Connector 821">
          <a:extLst>
            <a:ext uri="{FF2B5EF4-FFF2-40B4-BE49-F238E27FC236}">
              <a16:creationId xmlns:a16="http://schemas.microsoft.com/office/drawing/2014/main" id="{19BD5194-AF0C-4EF6-A913-C97594D2ACBF}"/>
            </a:ext>
          </a:extLst>
        </xdr:cNvPr>
        <xdr:cNvCxnSpPr/>
      </xdr:nvCxnSpPr>
      <xdr:spPr>
        <a:xfrm flipH="1">
          <a:off x="1817033" y="16257932"/>
          <a:ext cx="376610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622807</xdr:colOff>
      <xdr:row>91</xdr:row>
      <xdr:rowOff>79440</xdr:rowOff>
    </xdr:from>
    <xdr:to>
      <xdr:col>7</xdr:col>
      <xdr:colOff>285041</xdr:colOff>
      <xdr:row>91</xdr:row>
      <xdr:rowOff>84538</xdr:rowOff>
    </xdr:to>
    <xdr:cxnSp macro="">
      <xdr:nvCxnSpPr>
        <xdr:cNvPr id="825" name="Straight Connector 824">
          <a:extLst>
            <a:ext uri="{FF2B5EF4-FFF2-40B4-BE49-F238E27FC236}">
              <a16:creationId xmlns:a16="http://schemas.microsoft.com/office/drawing/2014/main" id="{0541401A-D8DA-45C9-B6B7-EE1CE773C672}"/>
            </a:ext>
          </a:extLst>
        </xdr:cNvPr>
        <xdr:cNvCxnSpPr/>
      </xdr:nvCxnSpPr>
      <xdr:spPr>
        <a:xfrm flipH="1">
          <a:off x="3693219" y="18389852"/>
          <a:ext cx="379410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385083</xdr:colOff>
      <xdr:row>85</xdr:row>
      <xdr:rowOff>3800</xdr:rowOff>
    </xdr:from>
    <xdr:to>
      <xdr:col>9</xdr:col>
      <xdr:colOff>47316</xdr:colOff>
      <xdr:row>85</xdr:row>
      <xdr:rowOff>8898</xdr:rowOff>
    </xdr:to>
    <xdr:cxnSp macro="">
      <xdr:nvCxnSpPr>
        <xdr:cNvPr id="826" name="Straight Connector 825">
          <a:extLst>
            <a:ext uri="{FF2B5EF4-FFF2-40B4-BE49-F238E27FC236}">
              <a16:creationId xmlns:a16="http://schemas.microsoft.com/office/drawing/2014/main" id="{F671AB35-8126-4319-9B1C-7EC665FE0D7D}"/>
            </a:ext>
          </a:extLst>
        </xdr:cNvPr>
        <xdr:cNvCxnSpPr/>
      </xdr:nvCxnSpPr>
      <xdr:spPr>
        <a:xfrm flipH="1">
          <a:off x="4861833" y="16053425"/>
          <a:ext cx="376608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603996</xdr:colOff>
      <xdr:row>86</xdr:row>
      <xdr:rowOff>51425</xdr:rowOff>
    </xdr:from>
    <xdr:to>
      <xdr:col>10</xdr:col>
      <xdr:colOff>259026</xdr:colOff>
      <xdr:row>86</xdr:row>
      <xdr:rowOff>56523</xdr:rowOff>
    </xdr:to>
    <xdr:cxnSp macro="">
      <xdr:nvCxnSpPr>
        <xdr:cNvPr id="827" name="Straight Connector 826">
          <a:extLst>
            <a:ext uri="{FF2B5EF4-FFF2-40B4-BE49-F238E27FC236}">
              <a16:creationId xmlns:a16="http://schemas.microsoft.com/office/drawing/2014/main" id="{AA361CB6-D3D5-4432-BBF7-A046C54E944B}"/>
            </a:ext>
          </a:extLst>
        </xdr:cNvPr>
        <xdr:cNvCxnSpPr/>
      </xdr:nvCxnSpPr>
      <xdr:spPr>
        <a:xfrm flipH="1">
          <a:off x="5795121" y="16243925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516109</xdr:colOff>
      <xdr:row>94</xdr:row>
      <xdr:rowOff>73473</xdr:rowOff>
    </xdr:from>
    <xdr:to>
      <xdr:col>11</xdr:col>
      <xdr:colOff>171139</xdr:colOff>
      <xdr:row>94</xdr:row>
      <xdr:rowOff>78571</xdr:rowOff>
    </xdr:to>
    <xdr:cxnSp macro="">
      <xdr:nvCxnSpPr>
        <xdr:cNvPr id="828" name="Straight Connector 827">
          <a:extLst>
            <a:ext uri="{FF2B5EF4-FFF2-40B4-BE49-F238E27FC236}">
              <a16:creationId xmlns:a16="http://schemas.microsoft.com/office/drawing/2014/main" id="{875A971F-EC7C-4B3A-A11E-8FC58252A0F8}"/>
            </a:ext>
          </a:extLst>
        </xdr:cNvPr>
        <xdr:cNvCxnSpPr/>
      </xdr:nvCxnSpPr>
      <xdr:spPr>
        <a:xfrm flipH="1">
          <a:off x="6455227" y="18989002"/>
          <a:ext cx="372206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612802</xdr:colOff>
      <xdr:row>96</xdr:row>
      <xdr:rowOff>31814</xdr:rowOff>
    </xdr:from>
    <xdr:to>
      <xdr:col>12</xdr:col>
      <xdr:colOff>275036</xdr:colOff>
      <xdr:row>96</xdr:row>
      <xdr:rowOff>36912</xdr:rowOff>
    </xdr:to>
    <xdr:cxnSp macro="">
      <xdr:nvCxnSpPr>
        <xdr:cNvPr id="829" name="Straight Connector 828">
          <a:extLst>
            <a:ext uri="{FF2B5EF4-FFF2-40B4-BE49-F238E27FC236}">
              <a16:creationId xmlns:a16="http://schemas.microsoft.com/office/drawing/2014/main" id="{F13499C0-7E27-4680-86C2-6ADD8975312F}"/>
            </a:ext>
          </a:extLst>
        </xdr:cNvPr>
        <xdr:cNvCxnSpPr/>
      </xdr:nvCxnSpPr>
      <xdr:spPr>
        <a:xfrm flipH="1">
          <a:off x="7269096" y="19350755"/>
          <a:ext cx="379411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656426</xdr:colOff>
      <xdr:row>96</xdr:row>
      <xdr:rowOff>169087</xdr:rowOff>
    </xdr:from>
    <xdr:to>
      <xdr:col>13</xdr:col>
      <xdr:colOff>318659</xdr:colOff>
      <xdr:row>96</xdr:row>
      <xdr:rowOff>174185</xdr:rowOff>
    </xdr:to>
    <xdr:cxnSp macro="">
      <xdr:nvCxnSpPr>
        <xdr:cNvPr id="830" name="Straight Connector 829">
          <a:extLst>
            <a:ext uri="{FF2B5EF4-FFF2-40B4-BE49-F238E27FC236}">
              <a16:creationId xmlns:a16="http://schemas.microsoft.com/office/drawing/2014/main" id="{AF99D0C9-1B85-4582-8444-A5D7E23D9F57}"/>
            </a:ext>
          </a:extLst>
        </xdr:cNvPr>
        <xdr:cNvCxnSpPr/>
      </xdr:nvCxnSpPr>
      <xdr:spPr>
        <a:xfrm flipH="1">
          <a:off x="8029897" y="19488028"/>
          <a:ext cx="379409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700047</xdr:colOff>
      <xdr:row>97</xdr:row>
      <xdr:rowOff>149476</xdr:rowOff>
    </xdr:from>
    <xdr:to>
      <xdr:col>14</xdr:col>
      <xdr:colOff>362282</xdr:colOff>
      <xdr:row>97</xdr:row>
      <xdr:rowOff>154574</xdr:rowOff>
    </xdr:to>
    <xdr:cxnSp macro="">
      <xdr:nvCxnSpPr>
        <xdr:cNvPr id="831" name="Straight Connector 830">
          <a:extLst>
            <a:ext uri="{FF2B5EF4-FFF2-40B4-BE49-F238E27FC236}">
              <a16:creationId xmlns:a16="http://schemas.microsoft.com/office/drawing/2014/main" id="{12FF7076-542E-4394-BB0B-E9520EB366B2}"/>
            </a:ext>
          </a:extLst>
        </xdr:cNvPr>
        <xdr:cNvCxnSpPr/>
      </xdr:nvCxnSpPr>
      <xdr:spPr>
        <a:xfrm flipH="1">
          <a:off x="8790694" y="19670123"/>
          <a:ext cx="379412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70116</xdr:colOff>
      <xdr:row>91</xdr:row>
      <xdr:rowOff>177491</xdr:rowOff>
    </xdr:from>
    <xdr:to>
      <xdr:col>15</xdr:col>
      <xdr:colOff>439521</xdr:colOff>
      <xdr:row>91</xdr:row>
      <xdr:rowOff>182589</xdr:rowOff>
    </xdr:to>
    <xdr:cxnSp macro="">
      <xdr:nvCxnSpPr>
        <xdr:cNvPr id="832" name="Straight Connector 831">
          <a:extLst>
            <a:ext uri="{FF2B5EF4-FFF2-40B4-BE49-F238E27FC236}">
              <a16:creationId xmlns:a16="http://schemas.microsoft.com/office/drawing/2014/main" id="{F4614E93-0590-49B7-8213-A74D5881D065}"/>
            </a:ext>
          </a:extLst>
        </xdr:cNvPr>
        <xdr:cNvCxnSpPr/>
      </xdr:nvCxnSpPr>
      <xdr:spPr>
        <a:xfrm flipH="1">
          <a:off x="9595116" y="18487903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46504</xdr:colOff>
      <xdr:row>93</xdr:row>
      <xdr:rowOff>47222</xdr:rowOff>
    </xdr:from>
    <xdr:to>
      <xdr:col>16</xdr:col>
      <xdr:colOff>423114</xdr:colOff>
      <xdr:row>93</xdr:row>
      <xdr:rowOff>52320</xdr:rowOff>
    </xdr:to>
    <xdr:cxnSp macro="">
      <xdr:nvCxnSpPr>
        <xdr:cNvPr id="833" name="Straight Connector 832">
          <a:extLst>
            <a:ext uri="{FF2B5EF4-FFF2-40B4-BE49-F238E27FC236}">
              <a16:creationId xmlns:a16="http://schemas.microsoft.com/office/drawing/2014/main" id="{881F425E-94A9-4A00-B8A1-58F5C4282E99}"/>
            </a:ext>
          </a:extLst>
        </xdr:cNvPr>
        <xdr:cNvCxnSpPr/>
      </xdr:nvCxnSpPr>
      <xdr:spPr>
        <a:xfrm flipH="1">
          <a:off x="10238254" y="17263660"/>
          <a:ext cx="376610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78923</xdr:colOff>
      <xdr:row>94</xdr:row>
      <xdr:rowOff>82241</xdr:rowOff>
    </xdr:from>
    <xdr:to>
      <xdr:col>17</xdr:col>
      <xdr:colOff>455531</xdr:colOff>
      <xdr:row>94</xdr:row>
      <xdr:rowOff>87339</xdr:rowOff>
    </xdr:to>
    <xdr:cxnSp macro="">
      <xdr:nvCxnSpPr>
        <xdr:cNvPr id="834" name="Straight Connector 833">
          <a:extLst>
            <a:ext uri="{FF2B5EF4-FFF2-40B4-BE49-F238E27FC236}">
              <a16:creationId xmlns:a16="http://schemas.microsoft.com/office/drawing/2014/main" id="{2E277426-1ECC-4D06-9CF7-FACEC8073894}"/>
            </a:ext>
          </a:extLst>
        </xdr:cNvPr>
        <xdr:cNvCxnSpPr/>
      </xdr:nvCxnSpPr>
      <xdr:spPr>
        <a:xfrm flipH="1">
          <a:off x="10985048" y="17465366"/>
          <a:ext cx="376608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66515</xdr:colOff>
      <xdr:row>95</xdr:row>
      <xdr:rowOff>85043</xdr:rowOff>
    </xdr:from>
    <xdr:to>
      <xdr:col>18</xdr:col>
      <xdr:colOff>443124</xdr:colOff>
      <xdr:row>95</xdr:row>
      <xdr:rowOff>90141</xdr:rowOff>
    </xdr:to>
    <xdr:cxnSp macro="">
      <xdr:nvCxnSpPr>
        <xdr:cNvPr id="835" name="Straight Connector 834">
          <a:extLst>
            <a:ext uri="{FF2B5EF4-FFF2-40B4-BE49-F238E27FC236}">
              <a16:creationId xmlns:a16="http://schemas.microsoft.com/office/drawing/2014/main" id="{AFAFFD77-F955-4FFE-8E81-449FC3EBCAD4}"/>
            </a:ext>
          </a:extLst>
        </xdr:cNvPr>
        <xdr:cNvCxnSpPr/>
      </xdr:nvCxnSpPr>
      <xdr:spPr>
        <a:xfrm flipH="1">
          <a:off x="11687015" y="17611043"/>
          <a:ext cx="376609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139754</xdr:colOff>
      <xdr:row>103</xdr:row>
      <xdr:rowOff>131268</xdr:rowOff>
    </xdr:from>
    <xdr:to>
      <xdr:col>19</xdr:col>
      <xdr:colOff>509159</xdr:colOff>
      <xdr:row>103</xdr:row>
      <xdr:rowOff>136366</xdr:rowOff>
    </xdr:to>
    <xdr:cxnSp macro="">
      <xdr:nvCxnSpPr>
        <xdr:cNvPr id="836" name="Straight Connector 835">
          <a:extLst>
            <a:ext uri="{FF2B5EF4-FFF2-40B4-BE49-F238E27FC236}">
              <a16:creationId xmlns:a16="http://schemas.microsoft.com/office/drawing/2014/main" id="{B6A2987C-5624-4266-AC2D-BE9426163B2D}"/>
            </a:ext>
          </a:extLst>
        </xdr:cNvPr>
        <xdr:cNvCxnSpPr/>
      </xdr:nvCxnSpPr>
      <xdr:spPr>
        <a:xfrm flipH="1">
          <a:off x="12533460" y="20862150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128105</xdr:colOff>
      <xdr:row>203</xdr:row>
      <xdr:rowOff>50136</xdr:rowOff>
    </xdr:from>
    <xdr:to>
      <xdr:col>8</xdr:col>
      <xdr:colOff>134567</xdr:colOff>
      <xdr:row>214</xdr:row>
      <xdr:rowOff>83338</xdr:rowOff>
    </xdr:to>
    <xdr:cxnSp macro="">
      <xdr:nvCxnSpPr>
        <xdr:cNvPr id="837" name="Straight Connector 836">
          <a:extLst>
            <a:ext uri="{FF2B5EF4-FFF2-40B4-BE49-F238E27FC236}">
              <a16:creationId xmlns:a16="http://schemas.microsoft.com/office/drawing/2014/main" id="{1A0A75EF-C3AC-4D21-8995-93A4F0022716}"/>
            </a:ext>
          </a:extLst>
        </xdr:cNvPr>
        <xdr:cNvCxnSpPr/>
      </xdr:nvCxnSpPr>
      <xdr:spPr>
        <a:xfrm flipH="1" flipV="1">
          <a:off x="4632870" y="37320901"/>
          <a:ext cx="6462" cy="175890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216699</xdr:colOff>
      <xdr:row>199</xdr:row>
      <xdr:rowOff>138107</xdr:rowOff>
    </xdr:from>
    <xdr:to>
      <xdr:col>9</xdr:col>
      <xdr:colOff>363410</xdr:colOff>
      <xdr:row>203</xdr:row>
      <xdr:rowOff>38626</xdr:rowOff>
    </xdr:to>
    <xdr:cxnSp macro="">
      <xdr:nvCxnSpPr>
        <xdr:cNvPr id="838" name="Straight Connector 837">
          <a:extLst>
            <a:ext uri="{FF2B5EF4-FFF2-40B4-BE49-F238E27FC236}">
              <a16:creationId xmlns:a16="http://schemas.microsoft.com/office/drawing/2014/main" id="{D5D2CA18-E6C9-46B3-89CB-64FD63B4A5C2}"/>
            </a:ext>
          </a:extLst>
        </xdr:cNvPr>
        <xdr:cNvCxnSpPr>
          <a:stCxn id="674" idx="4"/>
          <a:endCxn id="670" idx="5"/>
        </xdr:cNvCxnSpPr>
      </xdr:nvCxnSpPr>
      <xdr:spPr>
        <a:xfrm flipH="1">
          <a:off x="4721464" y="36781342"/>
          <a:ext cx="863887" cy="52804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115342</xdr:colOff>
      <xdr:row>197</xdr:row>
      <xdr:rowOff>110919</xdr:rowOff>
    </xdr:from>
    <xdr:to>
      <xdr:col>9</xdr:col>
      <xdr:colOff>258641</xdr:colOff>
      <xdr:row>198</xdr:row>
      <xdr:rowOff>123567</xdr:rowOff>
    </xdr:to>
    <xdr:sp macro="" textlink="">
      <xdr:nvSpPr>
        <xdr:cNvPr id="839" name="Flowchart: Connector 838">
          <a:extLst>
            <a:ext uri="{FF2B5EF4-FFF2-40B4-BE49-F238E27FC236}">
              <a16:creationId xmlns:a16="http://schemas.microsoft.com/office/drawing/2014/main" id="{1903E5E1-B1F9-4E7C-AD72-B5EF88903DCD}"/>
            </a:ext>
          </a:extLst>
        </xdr:cNvPr>
        <xdr:cNvSpPr/>
      </xdr:nvSpPr>
      <xdr:spPr>
        <a:xfrm>
          <a:off x="5337283" y="36451595"/>
          <a:ext cx="143299" cy="158325"/>
        </a:xfrm>
        <a:prstGeom prst="flowChartConnector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6</xdr:col>
      <xdr:colOff>509566</xdr:colOff>
      <xdr:row>199</xdr:row>
      <xdr:rowOff>45517</xdr:rowOff>
    </xdr:from>
    <xdr:to>
      <xdr:col>7</xdr:col>
      <xdr:colOff>473774</xdr:colOff>
      <xdr:row>205</xdr:row>
      <xdr:rowOff>145677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5F0BFB24-10D7-4488-AD61-04F07E066E3C}"/>
            </a:ext>
          </a:extLst>
        </xdr:cNvPr>
        <xdr:cNvSpPr txBox="1"/>
      </xdr:nvSpPr>
      <xdr:spPr>
        <a:xfrm>
          <a:off x="3579978" y="40140164"/>
          <a:ext cx="681384" cy="13103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/39/2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CC8A</a:t>
          </a:r>
        </a:p>
        <a:p>
          <a:r>
            <a:rPr lang="en-ID" sz="800" b="0" baseline="0">
              <a:solidFill>
                <a:srgbClr val="FF0000"/>
              </a:solidFill>
            </a:rPr>
            <a:t>1 CA5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3 CJ5</a:t>
          </a:r>
        </a:p>
        <a:p>
          <a:r>
            <a:rPr lang="en-ID" sz="800" b="0" baseline="0">
              <a:solidFill>
                <a:srgbClr val="FF0000"/>
              </a:solidFill>
            </a:rPr>
            <a:t>3 CJ6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431125</xdr:colOff>
      <xdr:row>208</xdr:row>
      <xdr:rowOff>111353</xdr:rowOff>
    </xdr:from>
    <xdr:to>
      <xdr:col>7</xdr:col>
      <xdr:colOff>403615</xdr:colOff>
      <xdr:row>212</xdr:row>
      <xdr:rowOff>100852</xdr:rowOff>
    </xdr:to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5FADD1C8-D24A-4371-AC1C-7DA104F093AE}"/>
            </a:ext>
          </a:extLst>
        </xdr:cNvPr>
        <xdr:cNvSpPr txBox="1"/>
      </xdr:nvSpPr>
      <xdr:spPr>
        <a:xfrm>
          <a:off x="3501537" y="42021353"/>
          <a:ext cx="689666" cy="7963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S11-200</a:t>
          </a:r>
        </a:p>
        <a:p>
          <a:r>
            <a:rPr lang="en-ID" sz="800" b="0"/>
            <a:t>1 SA1</a:t>
          </a:r>
        </a:p>
        <a:p>
          <a:r>
            <a:rPr lang="en-ID" sz="800" b="0"/>
            <a:t>2 SJ5</a:t>
          </a:r>
        </a:p>
        <a:p>
          <a:r>
            <a:rPr lang="en-ID" sz="800" b="0">
              <a:solidFill>
                <a:srgbClr val="FF0000"/>
              </a:solidFill>
            </a:rPr>
            <a:t>1</a:t>
          </a:r>
          <a:r>
            <a:rPr lang="en-ID" sz="800" b="0" baseline="0">
              <a:solidFill>
                <a:srgbClr val="FF0000"/>
              </a:solidFill>
            </a:rPr>
            <a:t> P12C-2</a:t>
          </a:r>
        </a:p>
        <a:p>
          <a:r>
            <a:rPr lang="en-ID" sz="800" b="0" baseline="0">
              <a:solidFill>
                <a:srgbClr val="FF0000"/>
              </a:solidFill>
            </a:rPr>
            <a:t>1 CC10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251812</xdr:colOff>
      <xdr:row>145</xdr:row>
      <xdr:rowOff>31016</xdr:rowOff>
    </xdr:from>
    <xdr:to>
      <xdr:col>7</xdr:col>
      <xdr:colOff>621217</xdr:colOff>
      <xdr:row>145</xdr:row>
      <xdr:rowOff>36114</xdr:rowOff>
    </xdr:to>
    <xdr:cxnSp macro="">
      <xdr:nvCxnSpPr>
        <xdr:cNvPr id="842" name="Straight Connector 841">
          <a:extLst>
            <a:ext uri="{FF2B5EF4-FFF2-40B4-BE49-F238E27FC236}">
              <a16:creationId xmlns:a16="http://schemas.microsoft.com/office/drawing/2014/main" id="{3CBC66B8-22F3-46F1-A5BE-535B93F93C31}"/>
            </a:ext>
          </a:extLst>
        </xdr:cNvPr>
        <xdr:cNvCxnSpPr/>
      </xdr:nvCxnSpPr>
      <xdr:spPr>
        <a:xfrm flipH="1">
          <a:off x="4039400" y="29233545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485936</xdr:colOff>
      <xdr:row>153</xdr:row>
      <xdr:rowOff>87044</xdr:rowOff>
    </xdr:from>
    <xdr:to>
      <xdr:col>9</xdr:col>
      <xdr:colOff>148169</xdr:colOff>
      <xdr:row>153</xdr:row>
      <xdr:rowOff>92142</xdr:rowOff>
    </xdr:to>
    <xdr:cxnSp macro="">
      <xdr:nvCxnSpPr>
        <xdr:cNvPr id="843" name="Straight Connector 842">
          <a:extLst>
            <a:ext uri="{FF2B5EF4-FFF2-40B4-BE49-F238E27FC236}">
              <a16:creationId xmlns:a16="http://schemas.microsoft.com/office/drawing/2014/main" id="{90D6930D-853F-4C93-981C-E7482C9EADC8}"/>
            </a:ext>
          </a:extLst>
        </xdr:cNvPr>
        <xdr:cNvCxnSpPr/>
      </xdr:nvCxnSpPr>
      <xdr:spPr>
        <a:xfrm flipH="1">
          <a:off x="4990701" y="30903220"/>
          <a:ext cx="379409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264220</xdr:colOff>
      <xdr:row>154</xdr:row>
      <xdr:rowOff>140273</xdr:rowOff>
    </xdr:from>
    <xdr:to>
      <xdr:col>12</xdr:col>
      <xdr:colOff>633625</xdr:colOff>
      <xdr:row>154</xdr:row>
      <xdr:rowOff>145371</xdr:rowOff>
    </xdr:to>
    <xdr:cxnSp macro="">
      <xdr:nvCxnSpPr>
        <xdr:cNvPr id="844" name="Straight Connector 843">
          <a:extLst>
            <a:ext uri="{FF2B5EF4-FFF2-40B4-BE49-F238E27FC236}">
              <a16:creationId xmlns:a16="http://schemas.microsoft.com/office/drawing/2014/main" id="{E9935C1B-AE6B-400E-B83B-2F330940C821}"/>
            </a:ext>
          </a:extLst>
        </xdr:cNvPr>
        <xdr:cNvCxnSpPr/>
      </xdr:nvCxnSpPr>
      <xdr:spPr>
        <a:xfrm flipH="1">
          <a:off x="7666506" y="31531952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330253</xdr:colOff>
      <xdr:row>144</xdr:row>
      <xdr:rowOff>95450</xdr:rowOff>
    </xdr:from>
    <xdr:to>
      <xdr:col>13</xdr:col>
      <xdr:colOff>699658</xdr:colOff>
      <xdr:row>144</xdr:row>
      <xdr:rowOff>100548</xdr:rowOff>
    </xdr:to>
    <xdr:cxnSp macro="">
      <xdr:nvCxnSpPr>
        <xdr:cNvPr id="845" name="Straight Connector 844">
          <a:extLst>
            <a:ext uri="{FF2B5EF4-FFF2-40B4-BE49-F238E27FC236}">
              <a16:creationId xmlns:a16="http://schemas.microsoft.com/office/drawing/2014/main" id="{15FC34E6-A6A9-4B3D-88A9-909CA4EB89C8}"/>
            </a:ext>
          </a:extLst>
        </xdr:cNvPr>
        <xdr:cNvCxnSpPr/>
      </xdr:nvCxnSpPr>
      <xdr:spPr>
        <a:xfrm flipH="1">
          <a:off x="8378878" y="25908200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681238</xdr:colOff>
      <xdr:row>201</xdr:row>
      <xdr:rowOff>2417</xdr:rowOff>
    </xdr:from>
    <xdr:to>
      <xdr:col>9</xdr:col>
      <xdr:colOff>645446</xdr:colOff>
      <xdr:row>206</xdr:row>
      <xdr:rowOff>134472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78267012-34D2-44F7-9DC4-0C98ECEB0025}"/>
            </a:ext>
          </a:extLst>
        </xdr:cNvPr>
        <xdr:cNvSpPr txBox="1"/>
      </xdr:nvSpPr>
      <xdr:spPr>
        <a:xfrm>
          <a:off x="5186003" y="40500476"/>
          <a:ext cx="681384" cy="114058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/39/1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CC8A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3 CJ5</a:t>
          </a:r>
        </a:p>
        <a:p>
          <a:r>
            <a:rPr lang="en-ID" sz="800" b="0" baseline="0">
              <a:solidFill>
                <a:srgbClr val="FF0000"/>
              </a:solidFill>
            </a:rPr>
            <a:t>3 CJ5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331193</xdr:colOff>
      <xdr:row>199</xdr:row>
      <xdr:rowOff>114907</xdr:rowOff>
    </xdr:from>
    <xdr:to>
      <xdr:col>17</xdr:col>
      <xdr:colOff>75412</xdr:colOff>
      <xdr:row>199</xdr:row>
      <xdr:rowOff>126902</xdr:rowOff>
    </xdr:to>
    <xdr:cxnSp macro="">
      <xdr:nvCxnSpPr>
        <xdr:cNvPr id="847" name="Straight Connector 846">
          <a:extLst>
            <a:ext uri="{FF2B5EF4-FFF2-40B4-BE49-F238E27FC236}">
              <a16:creationId xmlns:a16="http://schemas.microsoft.com/office/drawing/2014/main" id="{503EE3D9-DC8B-475C-B3AC-E159F7DFCABC}"/>
            </a:ext>
          </a:extLst>
        </xdr:cNvPr>
        <xdr:cNvCxnSpPr/>
      </xdr:nvCxnSpPr>
      <xdr:spPr>
        <a:xfrm flipH="1">
          <a:off x="5553134" y="36758142"/>
          <a:ext cx="5481631" cy="1199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156027</xdr:colOff>
      <xdr:row>198</xdr:row>
      <xdr:rowOff>27938</xdr:rowOff>
    </xdr:from>
    <xdr:to>
      <xdr:col>9</xdr:col>
      <xdr:colOff>167544</xdr:colOff>
      <xdr:row>202</xdr:row>
      <xdr:rowOff>63113</xdr:rowOff>
    </xdr:to>
    <xdr:cxnSp macro="">
      <xdr:nvCxnSpPr>
        <xdr:cNvPr id="848" name="Straight Connector 847">
          <a:extLst>
            <a:ext uri="{FF2B5EF4-FFF2-40B4-BE49-F238E27FC236}">
              <a16:creationId xmlns:a16="http://schemas.microsoft.com/office/drawing/2014/main" id="{3FD3A594-A308-4CE5-86A3-13E0C9AAFCE5}"/>
            </a:ext>
          </a:extLst>
        </xdr:cNvPr>
        <xdr:cNvCxnSpPr>
          <a:endCxn id="670" idx="0"/>
        </xdr:cNvCxnSpPr>
      </xdr:nvCxnSpPr>
      <xdr:spPr>
        <a:xfrm flipH="1">
          <a:off x="4660792" y="36514291"/>
          <a:ext cx="728693" cy="662704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237655</xdr:colOff>
      <xdr:row>197</xdr:row>
      <xdr:rowOff>97741</xdr:rowOff>
    </xdr:from>
    <xdr:to>
      <xdr:col>10</xdr:col>
      <xdr:colOff>710257</xdr:colOff>
      <xdr:row>197</xdr:row>
      <xdr:rowOff>132054</xdr:rowOff>
    </xdr:to>
    <xdr:cxnSp macro="">
      <xdr:nvCxnSpPr>
        <xdr:cNvPr id="849" name="Straight Connector 848">
          <a:extLst>
            <a:ext uri="{FF2B5EF4-FFF2-40B4-BE49-F238E27FC236}">
              <a16:creationId xmlns:a16="http://schemas.microsoft.com/office/drawing/2014/main" id="{C4647856-46D6-4D1D-98F6-874CE8D2AC0E}"/>
            </a:ext>
          </a:extLst>
        </xdr:cNvPr>
        <xdr:cNvCxnSpPr>
          <a:stCxn id="861" idx="2"/>
          <a:endCxn id="839" idx="7"/>
        </xdr:cNvCxnSpPr>
      </xdr:nvCxnSpPr>
      <xdr:spPr>
        <a:xfrm flipH="1">
          <a:off x="5459596" y="36438417"/>
          <a:ext cx="1189779" cy="3431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335549</xdr:colOff>
      <xdr:row>196</xdr:row>
      <xdr:rowOff>121907</xdr:rowOff>
    </xdr:from>
    <xdr:to>
      <xdr:col>11</xdr:col>
      <xdr:colOff>629446</xdr:colOff>
      <xdr:row>198</xdr:row>
      <xdr:rowOff>14280</xdr:rowOff>
    </xdr:to>
    <xdr:grpSp>
      <xdr:nvGrpSpPr>
        <xdr:cNvPr id="850" name="Group 849">
          <a:extLst>
            <a:ext uri="{FF2B5EF4-FFF2-40B4-BE49-F238E27FC236}">
              <a16:creationId xmlns:a16="http://schemas.microsoft.com/office/drawing/2014/main" id="{020A4730-52F0-4261-9217-650EEC1C8C13}"/>
            </a:ext>
          </a:extLst>
        </xdr:cNvPr>
        <xdr:cNvGrpSpPr/>
      </xdr:nvGrpSpPr>
      <xdr:grpSpPr>
        <a:xfrm rot="776675">
          <a:off x="7016656" y="40086086"/>
          <a:ext cx="293897" cy="300587"/>
          <a:chOff x="3927232" y="6117981"/>
          <a:chExt cx="351692" cy="416361"/>
        </a:xfrm>
      </xdr:grpSpPr>
      <xdr:cxnSp macro="">
        <xdr:nvCxnSpPr>
          <xdr:cNvPr id="851" name="Straight Connector 850">
            <a:extLst>
              <a:ext uri="{FF2B5EF4-FFF2-40B4-BE49-F238E27FC236}">
                <a16:creationId xmlns:a16="http://schemas.microsoft.com/office/drawing/2014/main" id="{22496EF2-75FE-AA54-796E-4659A6799FDB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52" name="Straight Connector 851">
            <a:extLst>
              <a:ext uri="{FF2B5EF4-FFF2-40B4-BE49-F238E27FC236}">
                <a16:creationId xmlns:a16="http://schemas.microsoft.com/office/drawing/2014/main" id="{40853FCF-C97A-9575-B9B2-5A4D8096B17F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200770</xdr:colOff>
      <xdr:row>197</xdr:row>
      <xdr:rowOff>799</xdr:rowOff>
    </xdr:from>
    <xdr:to>
      <xdr:col>10</xdr:col>
      <xdr:colOff>496298</xdr:colOff>
      <xdr:row>198</xdr:row>
      <xdr:rowOff>50054</xdr:rowOff>
    </xdr:to>
    <xdr:grpSp>
      <xdr:nvGrpSpPr>
        <xdr:cNvPr id="853" name="Group 852">
          <a:extLst>
            <a:ext uri="{FF2B5EF4-FFF2-40B4-BE49-F238E27FC236}">
              <a16:creationId xmlns:a16="http://schemas.microsoft.com/office/drawing/2014/main" id="{7B5898AF-7F60-41A2-BC03-FCE1098F97A7}"/>
            </a:ext>
          </a:extLst>
        </xdr:cNvPr>
        <xdr:cNvGrpSpPr/>
      </xdr:nvGrpSpPr>
      <xdr:grpSpPr>
        <a:xfrm rot="776675">
          <a:off x="6160699" y="40169085"/>
          <a:ext cx="295528" cy="253362"/>
          <a:chOff x="3927232" y="6117981"/>
          <a:chExt cx="351692" cy="416361"/>
        </a:xfrm>
      </xdr:grpSpPr>
      <xdr:cxnSp macro="">
        <xdr:nvCxnSpPr>
          <xdr:cNvPr id="854" name="Straight Connector 853">
            <a:extLst>
              <a:ext uri="{FF2B5EF4-FFF2-40B4-BE49-F238E27FC236}">
                <a16:creationId xmlns:a16="http://schemas.microsoft.com/office/drawing/2014/main" id="{B22DB631-C5A8-B733-852A-CC8E620F9F12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55" name="Straight Connector 854">
            <a:extLst>
              <a:ext uri="{FF2B5EF4-FFF2-40B4-BE49-F238E27FC236}">
                <a16:creationId xmlns:a16="http://schemas.microsoft.com/office/drawing/2014/main" id="{E113F549-7293-B3E7-D4F6-C54C7C24CC89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455952</xdr:colOff>
      <xdr:row>194</xdr:row>
      <xdr:rowOff>94326</xdr:rowOff>
    </xdr:from>
    <xdr:to>
      <xdr:col>9</xdr:col>
      <xdr:colOff>297869</xdr:colOff>
      <xdr:row>196</xdr:row>
      <xdr:rowOff>100853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4D38E613-02F9-4BBF-862E-4E88076E066C}"/>
            </a:ext>
          </a:extLst>
        </xdr:cNvPr>
        <xdr:cNvSpPr txBox="1"/>
      </xdr:nvSpPr>
      <xdr:spPr>
        <a:xfrm>
          <a:off x="4960717" y="39180444"/>
          <a:ext cx="559093" cy="40993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S9-100</a:t>
          </a:r>
        </a:p>
        <a:p>
          <a:r>
            <a:rPr lang="en-ID" sz="800" b="0"/>
            <a:t>3 SJ5</a:t>
          </a:r>
        </a:p>
      </xdr:txBody>
    </xdr:sp>
    <xdr:clientData/>
  </xdr:twoCellAnchor>
  <xdr:twoCellAnchor>
    <xdr:from>
      <xdr:col>8</xdr:col>
      <xdr:colOff>487512</xdr:colOff>
      <xdr:row>194</xdr:row>
      <xdr:rowOff>35355</xdr:rowOff>
    </xdr:from>
    <xdr:to>
      <xdr:col>9</xdr:col>
      <xdr:colOff>238517</xdr:colOff>
      <xdr:row>196</xdr:row>
      <xdr:rowOff>145390</xdr:rowOff>
    </xdr:to>
    <xdr:grpSp>
      <xdr:nvGrpSpPr>
        <xdr:cNvPr id="857" name="Group 856">
          <a:extLst>
            <a:ext uri="{FF2B5EF4-FFF2-40B4-BE49-F238E27FC236}">
              <a16:creationId xmlns:a16="http://schemas.microsoft.com/office/drawing/2014/main" id="{2DCBF349-4155-423A-A40E-F0CAEE668A7D}"/>
            </a:ext>
          </a:extLst>
        </xdr:cNvPr>
        <xdr:cNvGrpSpPr/>
      </xdr:nvGrpSpPr>
      <xdr:grpSpPr>
        <a:xfrm rot="21282593">
          <a:off x="5005083" y="39591319"/>
          <a:ext cx="472184" cy="518250"/>
          <a:chOff x="3927232" y="6117981"/>
          <a:chExt cx="351692" cy="416361"/>
        </a:xfrm>
      </xdr:grpSpPr>
      <xdr:cxnSp macro="">
        <xdr:nvCxnSpPr>
          <xdr:cNvPr id="858" name="Straight Connector 857">
            <a:extLst>
              <a:ext uri="{FF2B5EF4-FFF2-40B4-BE49-F238E27FC236}">
                <a16:creationId xmlns:a16="http://schemas.microsoft.com/office/drawing/2014/main" id="{8B6648E9-C612-9046-D352-90A17610F84D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59" name="Straight Connector 858">
            <a:extLst>
              <a:ext uri="{FF2B5EF4-FFF2-40B4-BE49-F238E27FC236}">
                <a16:creationId xmlns:a16="http://schemas.microsoft.com/office/drawing/2014/main" id="{F5C8EC9B-D3F6-F34A-5692-19FA681113F4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447914</xdr:colOff>
      <xdr:row>243</xdr:row>
      <xdr:rowOff>14478</xdr:rowOff>
    </xdr:from>
    <xdr:to>
      <xdr:col>4</xdr:col>
      <xdr:colOff>461520</xdr:colOff>
      <xdr:row>268</xdr:row>
      <xdr:rowOff>116060</xdr:rowOff>
    </xdr:to>
    <xdr:cxnSp macro="">
      <xdr:nvCxnSpPr>
        <xdr:cNvPr id="860" name="Straight Connector 859">
          <a:extLst>
            <a:ext uri="{FF2B5EF4-FFF2-40B4-BE49-F238E27FC236}">
              <a16:creationId xmlns:a16="http://schemas.microsoft.com/office/drawing/2014/main" id="{22C5A601-5904-494F-A8FC-F5C210048AF3}"/>
            </a:ext>
          </a:extLst>
        </xdr:cNvPr>
        <xdr:cNvCxnSpPr/>
      </xdr:nvCxnSpPr>
      <xdr:spPr>
        <a:xfrm flipH="1">
          <a:off x="2083973" y="44569066"/>
          <a:ext cx="13606" cy="4012435"/>
        </a:xfrm>
        <a:prstGeom prst="line">
          <a:avLst/>
        </a:prstGeom>
        <a:ln w="381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710257</xdr:colOff>
      <xdr:row>197</xdr:row>
      <xdr:rowOff>11574</xdr:rowOff>
    </xdr:from>
    <xdr:to>
      <xdr:col>11</xdr:col>
      <xdr:colOff>131897</xdr:colOff>
      <xdr:row>198</xdr:row>
      <xdr:rowOff>24223</xdr:rowOff>
    </xdr:to>
    <xdr:sp macro="" textlink="">
      <xdr:nvSpPr>
        <xdr:cNvPr id="861" name="Flowchart: Connector 860">
          <a:extLst>
            <a:ext uri="{FF2B5EF4-FFF2-40B4-BE49-F238E27FC236}">
              <a16:creationId xmlns:a16="http://schemas.microsoft.com/office/drawing/2014/main" id="{F8D15731-C036-40F3-A8C8-073ADE8D4ACA}"/>
            </a:ext>
          </a:extLst>
        </xdr:cNvPr>
        <xdr:cNvSpPr/>
      </xdr:nvSpPr>
      <xdr:spPr>
        <a:xfrm>
          <a:off x="6649375" y="36352250"/>
          <a:ext cx="138816" cy="158326"/>
        </a:xfrm>
        <a:prstGeom prst="flowChartConnector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12</xdr:col>
      <xdr:colOff>328062</xdr:colOff>
      <xdr:row>196</xdr:row>
      <xdr:rowOff>156516</xdr:rowOff>
    </xdr:from>
    <xdr:to>
      <xdr:col>12</xdr:col>
      <xdr:colOff>474377</xdr:colOff>
      <xdr:row>198</xdr:row>
      <xdr:rowOff>12283</xdr:rowOff>
    </xdr:to>
    <xdr:sp macro="" textlink="">
      <xdr:nvSpPr>
        <xdr:cNvPr id="862" name="Flowchart: Connector 861">
          <a:extLst>
            <a:ext uri="{FF2B5EF4-FFF2-40B4-BE49-F238E27FC236}">
              <a16:creationId xmlns:a16="http://schemas.microsoft.com/office/drawing/2014/main" id="{E149B638-8BD3-4911-B860-33CAC6499897}"/>
            </a:ext>
          </a:extLst>
        </xdr:cNvPr>
        <xdr:cNvSpPr/>
      </xdr:nvSpPr>
      <xdr:spPr>
        <a:xfrm>
          <a:off x="7701533" y="36340310"/>
          <a:ext cx="146315" cy="158326"/>
        </a:xfrm>
        <a:prstGeom prst="flowChartConnector">
          <a:avLst/>
        </a:prstGeom>
        <a:ln>
          <a:solidFill>
            <a:sysClr val="windowText" lastClr="00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800" b="0"/>
        </a:p>
      </xdr:txBody>
    </xdr:sp>
    <xdr:clientData/>
  </xdr:twoCellAnchor>
  <xdr:twoCellAnchor>
    <xdr:from>
      <xdr:col>11</xdr:col>
      <xdr:colOff>199132</xdr:colOff>
      <xdr:row>197</xdr:row>
      <xdr:rowOff>97007</xdr:rowOff>
    </xdr:from>
    <xdr:to>
      <xdr:col>12</xdr:col>
      <xdr:colOff>395297</xdr:colOff>
      <xdr:row>197</xdr:row>
      <xdr:rowOff>108947</xdr:rowOff>
    </xdr:to>
    <xdr:cxnSp macro="">
      <xdr:nvCxnSpPr>
        <xdr:cNvPr id="863" name="Straight Connector 862">
          <a:extLst>
            <a:ext uri="{FF2B5EF4-FFF2-40B4-BE49-F238E27FC236}">
              <a16:creationId xmlns:a16="http://schemas.microsoft.com/office/drawing/2014/main" id="{06182054-F1A9-4EAD-9BBF-DAE7A96B97DE}"/>
            </a:ext>
          </a:extLst>
        </xdr:cNvPr>
        <xdr:cNvCxnSpPr/>
      </xdr:nvCxnSpPr>
      <xdr:spPr>
        <a:xfrm flipH="1">
          <a:off x="6855426" y="36437683"/>
          <a:ext cx="913342" cy="1194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489505</xdr:colOff>
      <xdr:row>198</xdr:row>
      <xdr:rowOff>130885</xdr:rowOff>
    </xdr:from>
    <xdr:to>
      <xdr:col>10</xdr:col>
      <xdr:colOff>646441</xdr:colOff>
      <xdr:row>199</xdr:row>
      <xdr:rowOff>119309</xdr:rowOff>
    </xdr:to>
    <xdr:grpSp>
      <xdr:nvGrpSpPr>
        <xdr:cNvPr id="864" name="Group 863">
          <a:extLst>
            <a:ext uri="{FF2B5EF4-FFF2-40B4-BE49-F238E27FC236}">
              <a16:creationId xmlns:a16="http://schemas.microsoft.com/office/drawing/2014/main" id="{7EFF24F6-0225-481A-8F2B-D45FAA316D84}"/>
            </a:ext>
          </a:extLst>
        </xdr:cNvPr>
        <xdr:cNvGrpSpPr/>
      </xdr:nvGrpSpPr>
      <xdr:grpSpPr>
        <a:xfrm>
          <a:off x="6449434" y="40503278"/>
          <a:ext cx="156936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65" name="Oval 864">
            <a:extLst>
              <a:ext uri="{FF2B5EF4-FFF2-40B4-BE49-F238E27FC236}">
                <a16:creationId xmlns:a16="http://schemas.microsoft.com/office/drawing/2014/main" id="{BBE0C607-1B8C-66C3-2FD1-CE5B2B50ABD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66" name="Straight Connector 865">
            <a:extLst>
              <a:ext uri="{FF2B5EF4-FFF2-40B4-BE49-F238E27FC236}">
                <a16:creationId xmlns:a16="http://schemas.microsoft.com/office/drawing/2014/main" id="{68B451AF-17C1-7AC0-5AF4-6A8C3C742B24}"/>
              </a:ext>
            </a:extLst>
          </xdr:cNvPr>
          <xdr:cNvCxnSpPr>
            <a:stCxn id="865" idx="1"/>
            <a:endCxn id="86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7" name="Straight Connector 866">
            <a:extLst>
              <a:ext uri="{FF2B5EF4-FFF2-40B4-BE49-F238E27FC236}">
                <a16:creationId xmlns:a16="http://schemas.microsoft.com/office/drawing/2014/main" id="{92819196-32F9-AED2-C133-46B5AD936221}"/>
              </a:ext>
            </a:extLst>
          </xdr:cNvPr>
          <xdr:cNvCxnSpPr>
            <a:stCxn id="865" idx="3"/>
            <a:endCxn id="86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7838</xdr:colOff>
      <xdr:row>198</xdr:row>
      <xdr:rowOff>145539</xdr:rowOff>
    </xdr:from>
    <xdr:to>
      <xdr:col>12</xdr:col>
      <xdr:colOff>162052</xdr:colOff>
      <xdr:row>199</xdr:row>
      <xdr:rowOff>133963</xdr:rowOff>
    </xdr:to>
    <xdr:grpSp>
      <xdr:nvGrpSpPr>
        <xdr:cNvPr id="868" name="Group 867">
          <a:extLst>
            <a:ext uri="{FF2B5EF4-FFF2-40B4-BE49-F238E27FC236}">
              <a16:creationId xmlns:a16="http://schemas.microsoft.com/office/drawing/2014/main" id="{60CCE005-D950-4642-9137-272A7D6CB248}"/>
            </a:ext>
          </a:extLst>
        </xdr:cNvPr>
        <xdr:cNvGrpSpPr/>
      </xdr:nvGrpSpPr>
      <xdr:grpSpPr>
        <a:xfrm>
          <a:off x="7410124" y="40517932"/>
          <a:ext cx="154214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69" name="Oval 868">
            <a:extLst>
              <a:ext uri="{FF2B5EF4-FFF2-40B4-BE49-F238E27FC236}">
                <a16:creationId xmlns:a16="http://schemas.microsoft.com/office/drawing/2014/main" id="{D1EA10C2-B183-E623-E265-C4891B0B271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70" name="Straight Connector 869">
            <a:extLst>
              <a:ext uri="{FF2B5EF4-FFF2-40B4-BE49-F238E27FC236}">
                <a16:creationId xmlns:a16="http://schemas.microsoft.com/office/drawing/2014/main" id="{6CDED905-F470-A564-D637-9D856690361D}"/>
              </a:ext>
            </a:extLst>
          </xdr:cNvPr>
          <xdr:cNvCxnSpPr>
            <a:stCxn id="869" idx="1"/>
            <a:endCxn id="8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1" name="Straight Connector 870">
            <a:extLst>
              <a:ext uri="{FF2B5EF4-FFF2-40B4-BE49-F238E27FC236}">
                <a16:creationId xmlns:a16="http://schemas.microsoft.com/office/drawing/2014/main" id="{B4027F62-80D3-1867-7F82-77EB98CFB5D4}"/>
              </a:ext>
            </a:extLst>
          </xdr:cNvPr>
          <xdr:cNvCxnSpPr>
            <a:stCxn id="869" idx="3"/>
            <a:endCxn id="8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177613</xdr:colOff>
      <xdr:row>199</xdr:row>
      <xdr:rowOff>6242</xdr:rowOff>
    </xdr:from>
    <xdr:to>
      <xdr:col>13</xdr:col>
      <xdr:colOff>337350</xdr:colOff>
      <xdr:row>199</xdr:row>
      <xdr:rowOff>151548</xdr:rowOff>
    </xdr:to>
    <xdr:grpSp>
      <xdr:nvGrpSpPr>
        <xdr:cNvPr id="872" name="Group 871">
          <a:extLst>
            <a:ext uri="{FF2B5EF4-FFF2-40B4-BE49-F238E27FC236}">
              <a16:creationId xmlns:a16="http://schemas.microsoft.com/office/drawing/2014/main" id="{26244714-A7CF-4CC8-A69C-5746FBADCD9D}"/>
            </a:ext>
          </a:extLst>
        </xdr:cNvPr>
        <xdr:cNvGrpSpPr/>
      </xdr:nvGrpSpPr>
      <xdr:grpSpPr>
        <a:xfrm>
          <a:off x="8301077" y="40582742"/>
          <a:ext cx="159737" cy="14530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73" name="Oval 872">
            <a:extLst>
              <a:ext uri="{FF2B5EF4-FFF2-40B4-BE49-F238E27FC236}">
                <a16:creationId xmlns:a16="http://schemas.microsoft.com/office/drawing/2014/main" id="{6C764E36-5DB7-D0D7-F13D-36DA64DCB44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74" name="Straight Connector 873">
            <a:extLst>
              <a:ext uri="{FF2B5EF4-FFF2-40B4-BE49-F238E27FC236}">
                <a16:creationId xmlns:a16="http://schemas.microsoft.com/office/drawing/2014/main" id="{755EDA2E-5578-883B-6900-BA965CCDD010}"/>
              </a:ext>
            </a:extLst>
          </xdr:cNvPr>
          <xdr:cNvCxnSpPr>
            <a:stCxn id="873" idx="1"/>
            <a:endCxn id="8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5" name="Straight Connector 874">
            <a:extLst>
              <a:ext uri="{FF2B5EF4-FFF2-40B4-BE49-F238E27FC236}">
                <a16:creationId xmlns:a16="http://schemas.microsoft.com/office/drawing/2014/main" id="{29E6E1A2-7167-BFDE-6690-5028B8B999FE}"/>
              </a:ext>
            </a:extLst>
          </xdr:cNvPr>
          <xdr:cNvCxnSpPr>
            <a:stCxn id="873" idx="3"/>
            <a:endCxn id="8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514189</xdr:colOff>
      <xdr:row>198</xdr:row>
      <xdr:rowOff>111098</xdr:rowOff>
    </xdr:from>
    <xdr:to>
      <xdr:col>14</xdr:col>
      <xdr:colOff>668403</xdr:colOff>
      <xdr:row>199</xdr:row>
      <xdr:rowOff>99522</xdr:rowOff>
    </xdr:to>
    <xdr:grpSp>
      <xdr:nvGrpSpPr>
        <xdr:cNvPr id="876" name="Group 875">
          <a:extLst>
            <a:ext uri="{FF2B5EF4-FFF2-40B4-BE49-F238E27FC236}">
              <a16:creationId xmlns:a16="http://schemas.microsoft.com/office/drawing/2014/main" id="{90D1F73E-B53E-4A42-B63D-CC1F21DF0A08}"/>
            </a:ext>
          </a:extLst>
        </xdr:cNvPr>
        <xdr:cNvGrpSpPr/>
      </xdr:nvGrpSpPr>
      <xdr:grpSpPr>
        <a:xfrm>
          <a:off x="9358832" y="40483491"/>
          <a:ext cx="154214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77" name="Oval 876">
            <a:extLst>
              <a:ext uri="{FF2B5EF4-FFF2-40B4-BE49-F238E27FC236}">
                <a16:creationId xmlns:a16="http://schemas.microsoft.com/office/drawing/2014/main" id="{EBAB53E2-F473-A41B-DB6D-293E05BC56B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78" name="Straight Connector 877">
            <a:extLst>
              <a:ext uri="{FF2B5EF4-FFF2-40B4-BE49-F238E27FC236}">
                <a16:creationId xmlns:a16="http://schemas.microsoft.com/office/drawing/2014/main" id="{1F6839DC-4DF2-5F95-9506-80F1DDF0A822}"/>
              </a:ext>
            </a:extLst>
          </xdr:cNvPr>
          <xdr:cNvCxnSpPr>
            <a:stCxn id="877" idx="1"/>
            <a:endCxn id="8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9" name="Straight Connector 878">
            <a:extLst>
              <a:ext uri="{FF2B5EF4-FFF2-40B4-BE49-F238E27FC236}">
                <a16:creationId xmlns:a16="http://schemas.microsoft.com/office/drawing/2014/main" id="{C589E47A-E07C-DD91-6DE0-C786EA04CD46}"/>
              </a:ext>
            </a:extLst>
          </xdr:cNvPr>
          <xdr:cNvCxnSpPr>
            <a:stCxn id="877" idx="3"/>
            <a:endCxn id="8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631212</xdr:colOff>
      <xdr:row>198</xdr:row>
      <xdr:rowOff>120623</xdr:rowOff>
    </xdr:from>
    <xdr:to>
      <xdr:col>16</xdr:col>
      <xdr:colOff>70971</xdr:colOff>
      <xdr:row>199</xdr:row>
      <xdr:rowOff>109047</xdr:rowOff>
    </xdr:to>
    <xdr:grpSp>
      <xdr:nvGrpSpPr>
        <xdr:cNvPr id="880" name="Group 879">
          <a:extLst>
            <a:ext uri="{FF2B5EF4-FFF2-40B4-BE49-F238E27FC236}">
              <a16:creationId xmlns:a16="http://schemas.microsoft.com/office/drawing/2014/main" id="{4D164839-36EE-46F5-AE6A-F567F92B0A4B}"/>
            </a:ext>
          </a:extLst>
        </xdr:cNvPr>
        <xdr:cNvGrpSpPr/>
      </xdr:nvGrpSpPr>
      <xdr:grpSpPr>
        <a:xfrm>
          <a:off x="10197033" y="40493016"/>
          <a:ext cx="160938" cy="1925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1" name="Oval 880">
            <a:extLst>
              <a:ext uri="{FF2B5EF4-FFF2-40B4-BE49-F238E27FC236}">
                <a16:creationId xmlns:a16="http://schemas.microsoft.com/office/drawing/2014/main" id="{7F4C5F5D-5DC4-0E40-E00B-3153B7E3AB8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82" name="Straight Connector 881">
            <a:extLst>
              <a:ext uri="{FF2B5EF4-FFF2-40B4-BE49-F238E27FC236}">
                <a16:creationId xmlns:a16="http://schemas.microsoft.com/office/drawing/2014/main" id="{9C327640-83E1-8CA4-487E-81543E19E1A5}"/>
              </a:ext>
            </a:extLst>
          </xdr:cNvPr>
          <xdr:cNvCxnSpPr>
            <a:stCxn id="881" idx="1"/>
            <a:endCxn id="8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3" name="Straight Connector 882">
            <a:extLst>
              <a:ext uri="{FF2B5EF4-FFF2-40B4-BE49-F238E27FC236}">
                <a16:creationId xmlns:a16="http://schemas.microsoft.com/office/drawing/2014/main" id="{F44A20F6-263C-8295-9089-EEFB0FABD22D}"/>
              </a:ext>
            </a:extLst>
          </xdr:cNvPr>
          <xdr:cNvCxnSpPr>
            <a:stCxn id="881" idx="3"/>
            <a:endCxn id="8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44023</xdr:colOff>
      <xdr:row>199</xdr:row>
      <xdr:rowOff>10109</xdr:rowOff>
    </xdr:from>
    <xdr:to>
      <xdr:col>17</xdr:col>
      <xdr:colOff>198237</xdr:colOff>
      <xdr:row>199</xdr:row>
      <xdr:rowOff>155415</xdr:rowOff>
    </xdr:to>
    <xdr:grpSp>
      <xdr:nvGrpSpPr>
        <xdr:cNvPr id="884" name="Group 883">
          <a:extLst>
            <a:ext uri="{FF2B5EF4-FFF2-40B4-BE49-F238E27FC236}">
              <a16:creationId xmlns:a16="http://schemas.microsoft.com/office/drawing/2014/main" id="{5154240A-DC30-4B50-B64A-81097C7C6247}"/>
            </a:ext>
          </a:extLst>
        </xdr:cNvPr>
        <xdr:cNvGrpSpPr/>
      </xdr:nvGrpSpPr>
      <xdr:grpSpPr>
        <a:xfrm>
          <a:off x="11052202" y="40586609"/>
          <a:ext cx="154214" cy="14530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5" name="Oval 884">
            <a:extLst>
              <a:ext uri="{FF2B5EF4-FFF2-40B4-BE49-F238E27FC236}">
                <a16:creationId xmlns:a16="http://schemas.microsoft.com/office/drawing/2014/main" id="{83EC3A4D-D03F-0228-1E4A-C881AD037F0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86" name="Straight Connector 885">
            <a:extLst>
              <a:ext uri="{FF2B5EF4-FFF2-40B4-BE49-F238E27FC236}">
                <a16:creationId xmlns:a16="http://schemas.microsoft.com/office/drawing/2014/main" id="{D212C34E-F295-3224-9C30-7585C2F55950}"/>
              </a:ext>
            </a:extLst>
          </xdr:cNvPr>
          <xdr:cNvCxnSpPr>
            <a:stCxn id="885" idx="1"/>
            <a:endCxn id="8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7" name="Straight Connector 886">
            <a:extLst>
              <a:ext uri="{FF2B5EF4-FFF2-40B4-BE49-F238E27FC236}">
                <a16:creationId xmlns:a16="http://schemas.microsoft.com/office/drawing/2014/main" id="{3443E76E-CFBB-D11D-9EA6-CE2E3CCD8601}"/>
              </a:ext>
            </a:extLst>
          </xdr:cNvPr>
          <xdr:cNvCxnSpPr>
            <a:stCxn id="885" idx="3"/>
            <a:endCxn id="8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179375</xdr:colOff>
      <xdr:row>199</xdr:row>
      <xdr:rowOff>66074</xdr:rowOff>
    </xdr:from>
    <xdr:to>
      <xdr:col>17</xdr:col>
      <xdr:colOff>467926</xdr:colOff>
      <xdr:row>199</xdr:row>
      <xdr:rowOff>84845</xdr:rowOff>
    </xdr:to>
    <xdr:cxnSp macro="">
      <xdr:nvCxnSpPr>
        <xdr:cNvPr id="888" name="Straight Arrow Connector 887">
          <a:extLst>
            <a:ext uri="{FF2B5EF4-FFF2-40B4-BE49-F238E27FC236}">
              <a16:creationId xmlns:a16="http://schemas.microsoft.com/office/drawing/2014/main" id="{E6FB83E3-163C-4487-BB81-A86FACC34FF0}"/>
            </a:ext>
          </a:extLst>
        </xdr:cNvPr>
        <xdr:cNvCxnSpPr/>
      </xdr:nvCxnSpPr>
      <xdr:spPr>
        <a:xfrm>
          <a:off x="11138728" y="36709309"/>
          <a:ext cx="288551" cy="187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138552</xdr:colOff>
      <xdr:row>199</xdr:row>
      <xdr:rowOff>143076</xdr:rowOff>
    </xdr:from>
    <xdr:to>
      <xdr:col>17</xdr:col>
      <xdr:colOff>152160</xdr:colOff>
      <xdr:row>202</xdr:row>
      <xdr:rowOff>26615</xdr:rowOff>
    </xdr:to>
    <xdr:cxnSp macro="">
      <xdr:nvCxnSpPr>
        <xdr:cNvPr id="889" name="Straight Arrow Connector 888">
          <a:extLst>
            <a:ext uri="{FF2B5EF4-FFF2-40B4-BE49-F238E27FC236}">
              <a16:creationId xmlns:a16="http://schemas.microsoft.com/office/drawing/2014/main" id="{B9ED742F-17C7-4269-9B16-B1858EF34C1C}"/>
            </a:ext>
          </a:extLst>
        </xdr:cNvPr>
        <xdr:cNvCxnSpPr/>
      </xdr:nvCxnSpPr>
      <xdr:spPr>
        <a:xfrm>
          <a:off x="11097905" y="36786311"/>
          <a:ext cx="13608" cy="35418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123345</xdr:colOff>
      <xdr:row>192</xdr:row>
      <xdr:rowOff>157683</xdr:rowOff>
    </xdr:from>
    <xdr:to>
      <xdr:col>17</xdr:col>
      <xdr:colOff>128429</xdr:colOff>
      <xdr:row>199</xdr:row>
      <xdr:rowOff>37443</xdr:rowOff>
    </xdr:to>
    <xdr:cxnSp macro="">
      <xdr:nvCxnSpPr>
        <xdr:cNvPr id="890" name="Straight Connector 889">
          <a:extLst>
            <a:ext uri="{FF2B5EF4-FFF2-40B4-BE49-F238E27FC236}">
              <a16:creationId xmlns:a16="http://schemas.microsoft.com/office/drawing/2014/main" id="{02E46AA5-7DA5-4E10-B46D-EE0862E0228D}"/>
            </a:ext>
          </a:extLst>
        </xdr:cNvPr>
        <xdr:cNvCxnSpPr/>
      </xdr:nvCxnSpPr>
      <xdr:spPr>
        <a:xfrm>
          <a:off x="11082698" y="38840389"/>
          <a:ext cx="5084" cy="129170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429290</xdr:colOff>
      <xdr:row>193</xdr:row>
      <xdr:rowOff>177076</xdr:rowOff>
    </xdr:from>
    <xdr:to>
      <xdr:col>11</xdr:col>
      <xdr:colOff>271208</xdr:colOff>
      <xdr:row>196</xdr:row>
      <xdr:rowOff>33619</xdr:rowOff>
    </xdr:to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id="{956AE199-CC49-4EBC-90BF-C1CCB251323E}"/>
            </a:ext>
          </a:extLst>
        </xdr:cNvPr>
        <xdr:cNvSpPr txBox="1"/>
      </xdr:nvSpPr>
      <xdr:spPr>
        <a:xfrm>
          <a:off x="6368408" y="39061488"/>
          <a:ext cx="559094" cy="4616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S9-100</a:t>
          </a:r>
        </a:p>
        <a:p>
          <a:r>
            <a:rPr lang="en-ID" sz="800" b="0"/>
            <a:t>3 SJ5</a:t>
          </a:r>
        </a:p>
      </xdr:txBody>
    </xdr:sp>
    <xdr:clientData/>
  </xdr:twoCellAnchor>
  <xdr:twoCellAnchor>
    <xdr:from>
      <xdr:col>12</xdr:col>
      <xdr:colOff>119928</xdr:colOff>
      <xdr:row>193</xdr:row>
      <xdr:rowOff>146258</xdr:rowOff>
    </xdr:from>
    <xdr:to>
      <xdr:col>12</xdr:col>
      <xdr:colOff>676005</xdr:colOff>
      <xdr:row>195</xdr:row>
      <xdr:rowOff>134469</xdr:rowOff>
    </xdr:to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id="{9C0CBBCC-FAB5-4937-A4F4-1D6C1C336E0E}"/>
            </a:ext>
          </a:extLst>
        </xdr:cNvPr>
        <xdr:cNvSpPr txBox="1"/>
      </xdr:nvSpPr>
      <xdr:spPr>
        <a:xfrm>
          <a:off x="7493399" y="39030670"/>
          <a:ext cx="556077" cy="3916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/>
            <a:t>1 S9-100</a:t>
          </a:r>
        </a:p>
        <a:p>
          <a:r>
            <a:rPr lang="en-ID" sz="800" b="0"/>
            <a:t>3 SJ5</a:t>
          </a:r>
        </a:p>
      </xdr:txBody>
    </xdr:sp>
    <xdr:clientData/>
  </xdr:twoCellAnchor>
  <xdr:twoCellAnchor>
    <xdr:from>
      <xdr:col>10</xdr:col>
      <xdr:colOff>362056</xdr:colOff>
      <xdr:row>193</xdr:row>
      <xdr:rowOff>121047</xdr:rowOff>
    </xdr:from>
    <xdr:to>
      <xdr:col>11</xdr:col>
      <xdr:colOff>108875</xdr:colOff>
      <xdr:row>196</xdr:row>
      <xdr:rowOff>60194</xdr:rowOff>
    </xdr:to>
    <xdr:grpSp>
      <xdr:nvGrpSpPr>
        <xdr:cNvPr id="893" name="Group 892">
          <a:extLst>
            <a:ext uri="{FF2B5EF4-FFF2-40B4-BE49-F238E27FC236}">
              <a16:creationId xmlns:a16="http://schemas.microsoft.com/office/drawing/2014/main" id="{72206E9B-611B-4439-9F37-9799593FE679}"/>
            </a:ext>
          </a:extLst>
        </xdr:cNvPr>
        <xdr:cNvGrpSpPr/>
      </xdr:nvGrpSpPr>
      <xdr:grpSpPr>
        <a:xfrm rot="21282593">
          <a:off x="6321985" y="39472904"/>
          <a:ext cx="467997" cy="551469"/>
          <a:chOff x="3927232" y="6117981"/>
          <a:chExt cx="351692" cy="416361"/>
        </a:xfrm>
      </xdr:grpSpPr>
      <xdr:cxnSp macro="">
        <xdr:nvCxnSpPr>
          <xdr:cNvPr id="894" name="Straight Connector 893">
            <a:extLst>
              <a:ext uri="{FF2B5EF4-FFF2-40B4-BE49-F238E27FC236}">
                <a16:creationId xmlns:a16="http://schemas.microsoft.com/office/drawing/2014/main" id="{9D025C24-6C11-952D-9EAB-9F15CCEC60D4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95" name="Straight Connector 894">
            <a:extLst>
              <a:ext uri="{FF2B5EF4-FFF2-40B4-BE49-F238E27FC236}">
                <a16:creationId xmlns:a16="http://schemas.microsoft.com/office/drawing/2014/main" id="{090F9136-E2D5-952D-3FFE-E8ED71454367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88035</xdr:colOff>
      <xdr:row>193</xdr:row>
      <xdr:rowOff>41096</xdr:rowOff>
    </xdr:from>
    <xdr:to>
      <xdr:col>12</xdr:col>
      <xdr:colOff>556217</xdr:colOff>
      <xdr:row>195</xdr:row>
      <xdr:rowOff>151133</xdr:rowOff>
    </xdr:to>
    <xdr:grpSp>
      <xdr:nvGrpSpPr>
        <xdr:cNvPr id="896" name="Group 895">
          <a:extLst>
            <a:ext uri="{FF2B5EF4-FFF2-40B4-BE49-F238E27FC236}">
              <a16:creationId xmlns:a16="http://schemas.microsoft.com/office/drawing/2014/main" id="{1727FF45-7044-456A-8942-089415E3A945}"/>
            </a:ext>
          </a:extLst>
        </xdr:cNvPr>
        <xdr:cNvGrpSpPr/>
      </xdr:nvGrpSpPr>
      <xdr:grpSpPr>
        <a:xfrm rot="21282593">
          <a:off x="7490321" y="39392953"/>
          <a:ext cx="468182" cy="518251"/>
          <a:chOff x="3927232" y="6117981"/>
          <a:chExt cx="351692" cy="416361"/>
        </a:xfrm>
      </xdr:grpSpPr>
      <xdr:cxnSp macro="">
        <xdr:nvCxnSpPr>
          <xdr:cNvPr id="897" name="Straight Connector 896">
            <a:extLst>
              <a:ext uri="{FF2B5EF4-FFF2-40B4-BE49-F238E27FC236}">
                <a16:creationId xmlns:a16="http://schemas.microsoft.com/office/drawing/2014/main" id="{3A30555D-22F4-EDB6-A8B1-9AE23B09EA67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98" name="Straight Connector 897">
            <a:extLst>
              <a:ext uri="{FF2B5EF4-FFF2-40B4-BE49-F238E27FC236}">
                <a16:creationId xmlns:a16="http://schemas.microsoft.com/office/drawing/2014/main" id="{790B1137-D9C0-A9B7-946D-3CFD7194300B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oneCellAnchor>
    <xdr:from>
      <xdr:col>11</xdr:col>
      <xdr:colOff>324927</xdr:colOff>
      <xdr:row>196</xdr:row>
      <xdr:rowOff>55319</xdr:rowOff>
    </xdr:from>
    <xdr:ext cx="392608" cy="311496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id="{441549FE-2485-409A-8159-FEF5940BEE95}"/>
            </a:ext>
          </a:extLst>
        </xdr:cNvPr>
        <xdr:cNvSpPr txBox="1"/>
      </xdr:nvSpPr>
      <xdr:spPr>
        <a:xfrm>
          <a:off x="6981221" y="36239113"/>
          <a:ext cx="39260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1400" b="0">
              <a:solidFill>
                <a:schemeClr val="tx1"/>
              </a:solidFill>
              <a:latin typeface="+mn-lt"/>
              <a:ea typeface="+mn-ea"/>
              <a:cs typeface="+mn-cs"/>
            </a:rPr>
            <a:t>///</a:t>
          </a:r>
          <a:endParaRPr lang="en-US" sz="1400" b="0"/>
        </a:p>
      </xdr:txBody>
    </xdr:sp>
    <xdr:clientData/>
  </xdr:oneCellAnchor>
  <xdr:oneCellAnchor>
    <xdr:from>
      <xdr:col>9</xdr:col>
      <xdr:colOff>622345</xdr:colOff>
      <xdr:row>196</xdr:row>
      <xdr:rowOff>109840</xdr:rowOff>
    </xdr:from>
    <xdr:ext cx="392608" cy="311496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id="{2DE12243-A39B-43D5-ABC8-29C4DA8238A5}"/>
            </a:ext>
          </a:extLst>
        </xdr:cNvPr>
        <xdr:cNvSpPr txBox="1"/>
      </xdr:nvSpPr>
      <xdr:spPr>
        <a:xfrm>
          <a:off x="5844286" y="36293634"/>
          <a:ext cx="39260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1400" b="0">
              <a:solidFill>
                <a:schemeClr val="tx1"/>
              </a:solidFill>
              <a:latin typeface="+mn-lt"/>
              <a:ea typeface="+mn-ea"/>
              <a:cs typeface="+mn-cs"/>
            </a:rPr>
            <a:t>///</a:t>
          </a:r>
          <a:endParaRPr lang="en-US" sz="1400" b="0"/>
        </a:p>
      </xdr:txBody>
    </xdr:sp>
    <xdr:clientData/>
  </xdr:oneCellAnchor>
  <xdr:oneCellAnchor>
    <xdr:from>
      <xdr:col>8</xdr:col>
      <xdr:colOff>594039</xdr:colOff>
      <xdr:row>197</xdr:row>
      <xdr:rowOff>100643</xdr:rowOff>
    </xdr:from>
    <xdr:ext cx="311496" cy="436442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id="{7C5B18CE-74CC-41D6-AFA1-E17CC2872FC9}"/>
            </a:ext>
          </a:extLst>
        </xdr:cNvPr>
        <xdr:cNvSpPr txBox="1"/>
      </xdr:nvSpPr>
      <xdr:spPr>
        <a:xfrm rot="17969932">
          <a:off x="5036331" y="39854351"/>
          <a:ext cx="43644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ID" sz="1400" b="0">
              <a:solidFill>
                <a:schemeClr val="tx1"/>
              </a:solidFill>
              <a:latin typeface="+mn-lt"/>
              <a:ea typeface="+mn-ea"/>
              <a:cs typeface="+mn-cs"/>
            </a:rPr>
            <a:t>///</a:t>
          </a:r>
          <a:endParaRPr lang="en-US" sz="1400" b="0"/>
        </a:p>
      </xdr:txBody>
    </xdr:sp>
    <xdr:clientData/>
  </xdr:oneCellAnchor>
  <xdr:twoCellAnchor>
    <xdr:from>
      <xdr:col>7</xdr:col>
      <xdr:colOff>153761</xdr:colOff>
      <xdr:row>150</xdr:row>
      <xdr:rowOff>17742</xdr:rowOff>
    </xdr:from>
    <xdr:to>
      <xdr:col>10</xdr:col>
      <xdr:colOff>423842</xdr:colOff>
      <xdr:row>150</xdr:row>
      <xdr:rowOff>55599</xdr:rowOff>
    </xdr:to>
    <xdr:cxnSp macro="">
      <xdr:nvCxnSpPr>
        <xdr:cNvPr id="902" name="Straight Connector 901">
          <a:extLst>
            <a:ext uri="{FF2B5EF4-FFF2-40B4-BE49-F238E27FC236}">
              <a16:creationId xmlns:a16="http://schemas.microsoft.com/office/drawing/2014/main" id="{AFF4AE93-1E5D-475C-8E43-24F58DC04B81}"/>
            </a:ext>
          </a:extLst>
        </xdr:cNvPr>
        <xdr:cNvCxnSpPr>
          <a:stCxn id="582" idx="2"/>
        </xdr:cNvCxnSpPr>
      </xdr:nvCxnSpPr>
      <xdr:spPr>
        <a:xfrm flipH="1" flipV="1">
          <a:off x="3916136" y="26735367"/>
          <a:ext cx="2413206" cy="3785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578056</xdr:colOff>
      <xdr:row>150</xdr:row>
      <xdr:rowOff>74649</xdr:rowOff>
    </xdr:from>
    <xdr:to>
      <xdr:col>12</xdr:col>
      <xdr:colOff>462190</xdr:colOff>
      <xdr:row>151</xdr:row>
      <xdr:rowOff>57041</xdr:rowOff>
    </xdr:to>
    <xdr:cxnSp macro="">
      <xdr:nvCxnSpPr>
        <xdr:cNvPr id="903" name="Straight Connector 902">
          <a:extLst>
            <a:ext uri="{FF2B5EF4-FFF2-40B4-BE49-F238E27FC236}">
              <a16:creationId xmlns:a16="http://schemas.microsoft.com/office/drawing/2014/main" id="{3DC333DE-5571-41E3-B985-B400381A205B}"/>
            </a:ext>
          </a:extLst>
        </xdr:cNvPr>
        <xdr:cNvCxnSpPr>
          <a:stCxn id="574" idx="2"/>
        </xdr:cNvCxnSpPr>
      </xdr:nvCxnSpPr>
      <xdr:spPr>
        <a:xfrm flipH="1" flipV="1">
          <a:off x="6483556" y="26792274"/>
          <a:ext cx="1312884" cy="12526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299358</xdr:colOff>
      <xdr:row>149</xdr:row>
      <xdr:rowOff>88445</xdr:rowOff>
    </xdr:from>
    <xdr:ext cx="303545" cy="217560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id="{3DBF08E4-EF46-41AC-941E-E1FF998E9F5B}"/>
            </a:ext>
          </a:extLst>
        </xdr:cNvPr>
        <xdr:cNvSpPr txBox="1"/>
      </xdr:nvSpPr>
      <xdr:spPr>
        <a:xfrm>
          <a:off x="4776108" y="26639383"/>
          <a:ext cx="30354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800" b="0">
              <a:solidFill>
                <a:schemeClr val="tx1"/>
              </a:solidFill>
              <a:latin typeface="+mn-lt"/>
              <a:ea typeface="+mn-ea"/>
              <a:cs typeface="+mn-cs"/>
            </a:rPr>
            <a:t>///</a:t>
          </a:r>
          <a:endParaRPr lang="en-US" sz="800" b="0"/>
        </a:p>
      </xdr:txBody>
    </xdr:sp>
    <xdr:clientData/>
  </xdr:oneCellAnchor>
  <xdr:oneCellAnchor>
    <xdr:from>
      <xdr:col>9</xdr:col>
      <xdr:colOff>609600</xdr:colOff>
      <xdr:row>149</xdr:row>
      <xdr:rowOff>107495</xdr:rowOff>
    </xdr:from>
    <xdr:ext cx="304799" cy="217560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13054BEE-C862-4ACE-8677-10525AA718D9}"/>
            </a:ext>
          </a:extLst>
        </xdr:cNvPr>
        <xdr:cNvSpPr txBox="1"/>
      </xdr:nvSpPr>
      <xdr:spPr>
        <a:xfrm>
          <a:off x="5800725" y="26658433"/>
          <a:ext cx="30479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ID" sz="800" b="0">
              <a:solidFill>
                <a:schemeClr val="tx1"/>
              </a:solidFill>
              <a:latin typeface="+mn-lt"/>
              <a:ea typeface="+mn-ea"/>
              <a:cs typeface="+mn-cs"/>
            </a:rPr>
            <a:t>///</a:t>
          </a:r>
          <a:endParaRPr lang="en-US" sz="800" b="0"/>
        </a:p>
      </xdr:txBody>
    </xdr:sp>
    <xdr:clientData/>
  </xdr:oneCellAnchor>
  <xdr:oneCellAnchor>
    <xdr:from>
      <xdr:col>11</xdr:col>
      <xdr:colOff>183697</xdr:colOff>
      <xdr:row>150</xdr:row>
      <xdr:rowOff>10203</xdr:rowOff>
    </xdr:from>
    <xdr:ext cx="357868" cy="217560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id="{D057675B-4576-4CC4-ABD8-1EB680521663}"/>
            </a:ext>
          </a:extLst>
        </xdr:cNvPr>
        <xdr:cNvSpPr txBox="1"/>
      </xdr:nvSpPr>
      <xdr:spPr>
        <a:xfrm>
          <a:off x="6803572" y="26727828"/>
          <a:ext cx="3578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ID" sz="800" b="0">
              <a:solidFill>
                <a:schemeClr val="tx1"/>
              </a:solidFill>
              <a:latin typeface="+mn-lt"/>
              <a:ea typeface="+mn-ea"/>
              <a:cs typeface="+mn-cs"/>
            </a:rPr>
            <a:t>///</a:t>
          </a:r>
          <a:endParaRPr lang="en-US" sz="800" b="0"/>
        </a:p>
      </xdr:txBody>
    </xdr:sp>
    <xdr:clientData/>
  </xdr:oneCellAnchor>
  <xdr:oneCellAnchor>
    <xdr:from>
      <xdr:col>12</xdr:col>
      <xdr:colOff>625117</xdr:colOff>
      <xdr:row>145</xdr:row>
      <xdr:rowOff>106072</xdr:rowOff>
    </xdr:from>
    <xdr:ext cx="217560" cy="304799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id="{37A4B7B2-387E-4763-B0C0-70FCC519726B}"/>
            </a:ext>
          </a:extLst>
        </xdr:cNvPr>
        <xdr:cNvSpPr txBox="1"/>
      </xdr:nvSpPr>
      <xdr:spPr>
        <a:xfrm rot="5889098">
          <a:off x="7915747" y="26105317"/>
          <a:ext cx="30479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ID" sz="800" b="0">
              <a:solidFill>
                <a:schemeClr val="tx1"/>
              </a:solidFill>
              <a:latin typeface="+mn-lt"/>
              <a:ea typeface="+mn-ea"/>
              <a:cs typeface="+mn-cs"/>
            </a:rPr>
            <a:t>///</a:t>
          </a:r>
          <a:endParaRPr lang="en-US" sz="800" b="0"/>
        </a:p>
      </xdr:txBody>
    </xdr:sp>
    <xdr:clientData/>
  </xdr:oneCellAnchor>
  <xdr:twoCellAnchor>
    <xdr:from>
      <xdr:col>12</xdr:col>
      <xdr:colOff>539297</xdr:colOff>
      <xdr:row>142</xdr:row>
      <xdr:rowOff>103088</xdr:rowOff>
    </xdr:from>
    <xdr:to>
      <xdr:col>13</xdr:col>
      <xdr:colOff>157209</xdr:colOff>
      <xdr:row>150</xdr:row>
      <xdr:rowOff>122361</xdr:rowOff>
    </xdr:to>
    <xdr:cxnSp macro="">
      <xdr:nvCxnSpPr>
        <xdr:cNvPr id="908" name="Straight Connector 907">
          <a:extLst>
            <a:ext uri="{FF2B5EF4-FFF2-40B4-BE49-F238E27FC236}">
              <a16:creationId xmlns:a16="http://schemas.microsoft.com/office/drawing/2014/main" id="{B29F20B5-B9C6-41FF-9A93-E7ECA9A15351}"/>
            </a:ext>
          </a:extLst>
        </xdr:cNvPr>
        <xdr:cNvCxnSpPr>
          <a:stCxn id="595" idx="4"/>
          <a:endCxn id="574" idx="0"/>
        </xdr:cNvCxnSpPr>
      </xdr:nvCxnSpPr>
      <xdr:spPr>
        <a:xfrm flipH="1">
          <a:off x="7873547" y="25630088"/>
          <a:ext cx="332287" cy="1209898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157209</xdr:colOff>
      <xdr:row>136</xdr:row>
      <xdr:rowOff>131308</xdr:rowOff>
    </xdr:from>
    <xdr:to>
      <xdr:col>13</xdr:col>
      <xdr:colOff>172811</xdr:colOff>
      <xdr:row>141</xdr:row>
      <xdr:rowOff>101645</xdr:rowOff>
    </xdr:to>
    <xdr:cxnSp macro="">
      <xdr:nvCxnSpPr>
        <xdr:cNvPr id="909" name="Straight Connector 908">
          <a:extLst>
            <a:ext uri="{FF2B5EF4-FFF2-40B4-BE49-F238E27FC236}">
              <a16:creationId xmlns:a16="http://schemas.microsoft.com/office/drawing/2014/main" id="{71088660-5492-40F7-9294-20D8D124739E}"/>
            </a:ext>
          </a:extLst>
        </xdr:cNvPr>
        <xdr:cNvCxnSpPr>
          <a:endCxn id="595" idx="0"/>
        </xdr:cNvCxnSpPr>
      </xdr:nvCxnSpPr>
      <xdr:spPr>
        <a:xfrm flipH="1">
          <a:off x="8205834" y="24801058"/>
          <a:ext cx="15602" cy="684712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159629</xdr:colOff>
      <xdr:row>199</xdr:row>
      <xdr:rowOff>14081</xdr:rowOff>
    </xdr:from>
    <xdr:to>
      <xdr:col>9</xdr:col>
      <xdr:colOff>307896</xdr:colOff>
      <xdr:row>202</xdr:row>
      <xdr:rowOff>63113</xdr:rowOff>
    </xdr:to>
    <xdr:cxnSp macro="">
      <xdr:nvCxnSpPr>
        <xdr:cNvPr id="910" name="Straight Connector 909">
          <a:extLst>
            <a:ext uri="{FF2B5EF4-FFF2-40B4-BE49-F238E27FC236}">
              <a16:creationId xmlns:a16="http://schemas.microsoft.com/office/drawing/2014/main" id="{61221198-01A6-462B-9316-D0FA4D9127AA}"/>
            </a:ext>
          </a:extLst>
        </xdr:cNvPr>
        <xdr:cNvCxnSpPr>
          <a:stCxn id="674" idx="1"/>
          <a:endCxn id="670" idx="0"/>
        </xdr:cNvCxnSpPr>
      </xdr:nvCxnSpPr>
      <xdr:spPr>
        <a:xfrm flipH="1">
          <a:off x="4664394" y="36657316"/>
          <a:ext cx="865443" cy="51967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363410</xdr:colOff>
      <xdr:row>198</xdr:row>
      <xdr:rowOff>149683</xdr:rowOff>
    </xdr:from>
    <xdr:to>
      <xdr:col>13</xdr:col>
      <xdr:colOff>257482</xdr:colOff>
      <xdr:row>199</xdr:row>
      <xdr:rowOff>6242</xdr:rowOff>
    </xdr:to>
    <xdr:cxnSp macro="">
      <xdr:nvCxnSpPr>
        <xdr:cNvPr id="911" name="Straight Connector 910">
          <a:extLst>
            <a:ext uri="{FF2B5EF4-FFF2-40B4-BE49-F238E27FC236}">
              <a16:creationId xmlns:a16="http://schemas.microsoft.com/office/drawing/2014/main" id="{65C7EE70-8C61-41C1-BE01-06C30F4D92BF}"/>
            </a:ext>
          </a:extLst>
        </xdr:cNvPr>
        <xdr:cNvCxnSpPr>
          <a:stCxn id="873" idx="0"/>
          <a:endCxn id="674" idx="0"/>
        </xdr:cNvCxnSpPr>
      </xdr:nvCxnSpPr>
      <xdr:spPr>
        <a:xfrm flipH="1" flipV="1">
          <a:off x="5585351" y="40042624"/>
          <a:ext cx="2762778" cy="582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8</xdr:col>
      <xdr:colOff>370182</xdr:colOff>
      <xdr:row>199</xdr:row>
      <xdr:rowOff>83983</xdr:rowOff>
    </xdr:from>
    <xdr:ext cx="392608" cy="311496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A810D935-104D-478A-AC4E-78E0A56E8FD4}"/>
            </a:ext>
          </a:extLst>
        </xdr:cNvPr>
        <xdr:cNvSpPr txBox="1"/>
      </xdr:nvSpPr>
      <xdr:spPr>
        <a:xfrm rot="20302862">
          <a:off x="4874947" y="36727218"/>
          <a:ext cx="39260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1400" b="0">
              <a:solidFill>
                <a:srgbClr val="FF0000"/>
              </a:solidFill>
              <a:latin typeface="+mn-lt"/>
              <a:ea typeface="+mn-ea"/>
              <a:cs typeface="+mn-cs"/>
            </a:rPr>
            <a:t>///</a:t>
          </a:r>
          <a:endParaRPr lang="en-US" sz="1400" b="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652023</xdr:colOff>
      <xdr:row>198</xdr:row>
      <xdr:rowOff>18254</xdr:rowOff>
    </xdr:from>
    <xdr:ext cx="392608" cy="311496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55266EE2-0AF8-4DCF-A730-963F454E2F07}"/>
            </a:ext>
          </a:extLst>
        </xdr:cNvPr>
        <xdr:cNvSpPr txBox="1"/>
      </xdr:nvSpPr>
      <xdr:spPr>
        <a:xfrm rot="473366">
          <a:off x="5873964" y="39911195"/>
          <a:ext cx="39260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1400" b="0">
              <a:solidFill>
                <a:srgbClr val="FF0000"/>
              </a:solidFill>
              <a:latin typeface="+mn-lt"/>
              <a:ea typeface="+mn-ea"/>
              <a:cs typeface="+mn-cs"/>
            </a:rPr>
            <a:t>///</a:t>
          </a:r>
          <a:endParaRPr lang="en-US" sz="1400" b="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183605</xdr:colOff>
      <xdr:row>198</xdr:row>
      <xdr:rowOff>46128</xdr:rowOff>
    </xdr:from>
    <xdr:ext cx="333168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DB418A6B-6CD1-4DF6-A49A-BCD70BE6EB6C}"/>
            </a:ext>
          </a:extLst>
        </xdr:cNvPr>
        <xdr:cNvSpPr txBox="1"/>
      </xdr:nvSpPr>
      <xdr:spPr>
        <a:xfrm rot="21434678">
          <a:off x="6839899" y="39939069"/>
          <a:ext cx="333168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1000" b="0">
              <a:solidFill>
                <a:srgbClr val="FF0000"/>
              </a:solidFill>
              <a:latin typeface="+mn-lt"/>
              <a:ea typeface="+mn-ea"/>
              <a:cs typeface="+mn-cs"/>
            </a:rPr>
            <a:t>///</a:t>
          </a:r>
          <a:endParaRPr lang="en-US" sz="1000" b="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505945</xdr:colOff>
      <xdr:row>198</xdr:row>
      <xdr:rowOff>66834</xdr:rowOff>
    </xdr:from>
    <xdr:ext cx="333168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041F60FF-714F-4CC1-B5BB-F07274E9BDB6}"/>
            </a:ext>
          </a:extLst>
        </xdr:cNvPr>
        <xdr:cNvSpPr txBox="1"/>
      </xdr:nvSpPr>
      <xdr:spPr>
        <a:xfrm rot="21434678">
          <a:off x="7879416" y="39959775"/>
          <a:ext cx="333168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ID" sz="1000" b="0">
              <a:solidFill>
                <a:srgbClr val="FF0000"/>
              </a:solidFill>
              <a:latin typeface="+mn-lt"/>
              <a:ea typeface="+mn-ea"/>
              <a:cs typeface="+mn-cs"/>
            </a:rPr>
            <a:t>///</a:t>
          </a:r>
          <a:endParaRPr lang="en-US" sz="1000" b="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438009</xdr:colOff>
      <xdr:row>255</xdr:row>
      <xdr:rowOff>15079</xdr:rowOff>
    </xdr:from>
    <xdr:to>
      <xdr:col>18</xdr:col>
      <xdr:colOff>539083</xdr:colOff>
      <xdr:row>255</xdr:row>
      <xdr:rowOff>76598</xdr:rowOff>
    </xdr:to>
    <xdr:cxnSp macro="">
      <xdr:nvCxnSpPr>
        <xdr:cNvPr id="916" name="Straight Connector 915">
          <a:extLst>
            <a:ext uri="{FF2B5EF4-FFF2-40B4-BE49-F238E27FC236}">
              <a16:creationId xmlns:a16="http://schemas.microsoft.com/office/drawing/2014/main" id="{4915B3A7-9816-4B73-B87E-B040FCB94D8D}"/>
            </a:ext>
          </a:extLst>
        </xdr:cNvPr>
        <xdr:cNvCxnSpPr/>
      </xdr:nvCxnSpPr>
      <xdr:spPr>
        <a:xfrm flipH="1" flipV="1">
          <a:off x="2074068" y="46441050"/>
          <a:ext cx="10141544" cy="61519"/>
        </a:xfrm>
        <a:prstGeom prst="line">
          <a:avLst/>
        </a:prstGeom>
        <a:ln w="381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399710</xdr:colOff>
      <xdr:row>251</xdr:row>
      <xdr:rowOff>55664</xdr:rowOff>
    </xdr:from>
    <xdr:to>
      <xdr:col>5</xdr:col>
      <xdr:colOff>553924</xdr:colOff>
      <xdr:row>252</xdr:row>
      <xdr:rowOff>44088</xdr:rowOff>
    </xdr:to>
    <xdr:grpSp>
      <xdr:nvGrpSpPr>
        <xdr:cNvPr id="917" name="Group 916">
          <a:extLst>
            <a:ext uri="{FF2B5EF4-FFF2-40B4-BE49-F238E27FC236}">
              <a16:creationId xmlns:a16="http://schemas.microsoft.com/office/drawing/2014/main" id="{3B6BA066-8573-4C2F-8FE1-7D7C892A6CBE}"/>
            </a:ext>
          </a:extLst>
        </xdr:cNvPr>
        <xdr:cNvGrpSpPr/>
      </xdr:nvGrpSpPr>
      <xdr:grpSpPr>
        <a:xfrm>
          <a:off x="2753746" y="51245735"/>
          <a:ext cx="154214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18" name="Oval 917">
            <a:extLst>
              <a:ext uri="{FF2B5EF4-FFF2-40B4-BE49-F238E27FC236}">
                <a16:creationId xmlns:a16="http://schemas.microsoft.com/office/drawing/2014/main" id="{7DBA77F3-90D3-E611-66CD-82507BDA62F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19" name="Straight Connector 918">
            <a:extLst>
              <a:ext uri="{FF2B5EF4-FFF2-40B4-BE49-F238E27FC236}">
                <a16:creationId xmlns:a16="http://schemas.microsoft.com/office/drawing/2014/main" id="{ACD729F5-EFE0-A40F-B80A-225E0A655BAD}"/>
              </a:ext>
            </a:extLst>
          </xdr:cNvPr>
          <xdr:cNvCxnSpPr>
            <a:stCxn id="918" idx="1"/>
            <a:endCxn id="9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0" name="Straight Connector 919">
            <a:extLst>
              <a:ext uri="{FF2B5EF4-FFF2-40B4-BE49-F238E27FC236}">
                <a16:creationId xmlns:a16="http://schemas.microsoft.com/office/drawing/2014/main" id="{C4440C34-1EDE-4C82-CD26-7579F20C11C2}"/>
              </a:ext>
            </a:extLst>
          </xdr:cNvPr>
          <xdr:cNvCxnSpPr>
            <a:stCxn id="918" idx="3"/>
            <a:endCxn id="9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424463</xdr:colOff>
      <xdr:row>252</xdr:row>
      <xdr:rowOff>40085</xdr:rowOff>
    </xdr:from>
    <xdr:to>
      <xdr:col>5</xdr:col>
      <xdr:colOff>460007</xdr:colOff>
      <xdr:row>262</xdr:row>
      <xdr:rowOff>126944</xdr:rowOff>
    </xdr:to>
    <xdr:cxnSp macro="">
      <xdr:nvCxnSpPr>
        <xdr:cNvPr id="921" name="Straight Connector 920">
          <a:extLst>
            <a:ext uri="{FF2B5EF4-FFF2-40B4-BE49-F238E27FC236}">
              <a16:creationId xmlns:a16="http://schemas.microsoft.com/office/drawing/2014/main" id="{14B7684B-D0D5-4F64-A4CD-8B67C1D7DEBB}"/>
            </a:ext>
          </a:extLst>
        </xdr:cNvPr>
        <xdr:cNvCxnSpPr/>
      </xdr:nvCxnSpPr>
      <xdr:spPr>
        <a:xfrm flipH="1">
          <a:off x="2777698" y="46006614"/>
          <a:ext cx="35544" cy="164447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119864</xdr:colOff>
      <xdr:row>251</xdr:row>
      <xdr:rowOff>114911</xdr:rowOff>
    </xdr:from>
    <xdr:to>
      <xdr:col>5</xdr:col>
      <xdr:colOff>394106</xdr:colOff>
      <xdr:row>251</xdr:row>
      <xdr:rowOff>129218</xdr:rowOff>
    </xdr:to>
    <xdr:cxnSp macro="">
      <xdr:nvCxnSpPr>
        <xdr:cNvPr id="922" name="Straight Arrow Connector 921">
          <a:extLst>
            <a:ext uri="{FF2B5EF4-FFF2-40B4-BE49-F238E27FC236}">
              <a16:creationId xmlns:a16="http://schemas.microsoft.com/office/drawing/2014/main" id="{38BDBA6C-E939-4D54-B17E-E0C37FE18621}"/>
            </a:ext>
          </a:extLst>
        </xdr:cNvPr>
        <xdr:cNvCxnSpPr/>
      </xdr:nvCxnSpPr>
      <xdr:spPr>
        <a:xfrm flipH="1" flipV="1">
          <a:off x="2473099" y="45924558"/>
          <a:ext cx="274242" cy="143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467143</xdr:colOff>
      <xdr:row>249</xdr:row>
      <xdr:rowOff>44509</xdr:rowOff>
    </xdr:from>
    <xdr:to>
      <xdr:col>5</xdr:col>
      <xdr:colOff>471213</xdr:colOff>
      <xdr:row>251</xdr:row>
      <xdr:rowOff>51662</xdr:rowOff>
    </xdr:to>
    <xdr:cxnSp macro="">
      <xdr:nvCxnSpPr>
        <xdr:cNvPr id="923" name="Straight Arrow Connector 922">
          <a:extLst>
            <a:ext uri="{FF2B5EF4-FFF2-40B4-BE49-F238E27FC236}">
              <a16:creationId xmlns:a16="http://schemas.microsoft.com/office/drawing/2014/main" id="{3145F569-5059-449D-B979-40DF4B61E601}"/>
            </a:ext>
          </a:extLst>
        </xdr:cNvPr>
        <xdr:cNvCxnSpPr/>
      </xdr:nvCxnSpPr>
      <xdr:spPr>
        <a:xfrm flipH="1" flipV="1">
          <a:off x="2820378" y="45540391"/>
          <a:ext cx="4070" cy="3209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548320</xdr:colOff>
      <xdr:row>251</xdr:row>
      <xdr:rowOff>129218</xdr:rowOff>
    </xdr:from>
    <xdr:to>
      <xdr:col>18</xdr:col>
      <xdr:colOff>262858</xdr:colOff>
      <xdr:row>251</xdr:row>
      <xdr:rowOff>141593</xdr:rowOff>
    </xdr:to>
    <xdr:cxnSp macro="">
      <xdr:nvCxnSpPr>
        <xdr:cNvPr id="924" name="Straight Connector 923">
          <a:extLst>
            <a:ext uri="{FF2B5EF4-FFF2-40B4-BE49-F238E27FC236}">
              <a16:creationId xmlns:a16="http://schemas.microsoft.com/office/drawing/2014/main" id="{E2462FD2-7ADB-4FCA-9ACB-77AF61A17BA4}"/>
            </a:ext>
          </a:extLst>
        </xdr:cNvPr>
        <xdr:cNvCxnSpPr/>
      </xdr:nvCxnSpPr>
      <xdr:spPr>
        <a:xfrm>
          <a:off x="2901555" y="45938865"/>
          <a:ext cx="9037832" cy="123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670192</xdr:colOff>
      <xdr:row>251</xdr:row>
      <xdr:rowOff>59871</xdr:rowOff>
    </xdr:from>
    <xdr:to>
      <xdr:col>7</xdr:col>
      <xdr:colOff>112754</xdr:colOff>
      <xdr:row>252</xdr:row>
      <xdr:rowOff>48295</xdr:rowOff>
    </xdr:to>
    <xdr:grpSp>
      <xdr:nvGrpSpPr>
        <xdr:cNvPr id="925" name="Group 924">
          <a:extLst>
            <a:ext uri="{FF2B5EF4-FFF2-40B4-BE49-F238E27FC236}">
              <a16:creationId xmlns:a16="http://schemas.microsoft.com/office/drawing/2014/main" id="{94798E17-EC67-4DDA-B51A-A9895135F7F0}"/>
            </a:ext>
          </a:extLst>
        </xdr:cNvPr>
        <xdr:cNvGrpSpPr/>
      </xdr:nvGrpSpPr>
      <xdr:grpSpPr>
        <a:xfrm>
          <a:off x="3745406" y="51249942"/>
          <a:ext cx="163741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26" name="Oval 925">
            <a:extLst>
              <a:ext uri="{FF2B5EF4-FFF2-40B4-BE49-F238E27FC236}">
                <a16:creationId xmlns:a16="http://schemas.microsoft.com/office/drawing/2014/main" id="{D0F99BBD-DA72-3D96-DFDD-63AFA7388E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27" name="Straight Connector 926">
            <a:extLst>
              <a:ext uri="{FF2B5EF4-FFF2-40B4-BE49-F238E27FC236}">
                <a16:creationId xmlns:a16="http://schemas.microsoft.com/office/drawing/2014/main" id="{BE847514-A3A2-1455-3C89-296AE1BE3E0F}"/>
              </a:ext>
            </a:extLst>
          </xdr:cNvPr>
          <xdr:cNvCxnSpPr>
            <a:stCxn id="926" idx="1"/>
            <a:endCxn id="9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8" name="Straight Connector 927">
            <a:extLst>
              <a:ext uri="{FF2B5EF4-FFF2-40B4-BE49-F238E27FC236}">
                <a16:creationId xmlns:a16="http://schemas.microsoft.com/office/drawing/2014/main" id="{58F4B1AD-3B60-B701-C22A-F55F571BA398}"/>
              </a:ext>
            </a:extLst>
          </xdr:cNvPr>
          <xdr:cNvCxnSpPr>
            <a:stCxn id="926" idx="3"/>
            <a:endCxn id="9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272783</xdr:colOff>
      <xdr:row>251</xdr:row>
      <xdr:rowOff>69396</xdr:rowOff>
    </xdr:from>
    <xdr:to>
      <xdr:col>8</xdr:col>
      <xdr:colOff>426997</xdr:colOff>
      <xdr:row>252</xdr:row>
      <xdr:rowOff>57820</xdr:rowOff>
    </xdr:to>
    <xdr:grpSp>
      <xdr:nvGrpSpPr>
        <xdr:cNvPr id="929" name="Group 928">
          <a:extLst>
            <a:ext uri="{FF2B5EF4-FFF2-40B4-BE49-F238E27FC236}">
              <a16:creationId xmlns:a16="http://schemas.microsoft.com/office/drawing/2014/main" id="{F5B4E88C-1297-4D65-89FB-22565DE2E7F1}"/>
            </a:ext>
          </a:extLst>
        </xdr:cNvPr>
        <xdr:cNvGrpSpPr/>
      </xdr:nvGrpSpPr>
      <xdr:grpSpPr>
        <a:xfrm>
          <a:off x="4790354" y="51259467"/>
          <a:ext cx="154214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30" name="Oval 929">
            <a:extLst>
              <a:ext uri="{FF2B5EF4-FFF2-40B4-BE49-F238E27FC236}">
                <a16:creationId xmlns:a16="http://schemas.microsoft.com/office/drawing/2014/main" id="{F284D260-E0B5-8C36-5502-5DFCA78A72C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31" name="Straight Connector 930">
            <a:extLst>
              <a:ext uri="{FF2B5EF4-FFF2-40B4-BE49-F238E27FC236}">
                <a16:creationId xmlns:a16="http://schemas.microsoft.com/office/drawing/2014/main" id="{F078833E-27CD-EC97-FC6D-62300A09D083}"/>
              </a:ext>
            </a:extLst>
          </xdr:cNvPr>
          <xdr:cNvCxnSpPr>
            <a:stCxn id="930" idx="1"/>
            <a:endCxn id="9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2" name="Straight Connector 931">
            <a:extLst>
              <a:ext uri="{FF2B5EF4-FFF2-40B4-BE49-F238E27FC236}">
                <a16:creationId xmlns:a16="http://schemas.microsoft.com/office/drawing/2014/main" id="{8E06A6E3-D805-2109-A322-0F0ADDD6DB60}"/>
              </a:ext>
            </a:extLst>
          </xdr:cNvPr>
          <xdr:cNvCxnSpPr>
            <a:stCxn id="930" idx="3"/>
            <a:endCxn id="9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544926</xdr:colOff>
      <xdr:row>251</xdr:row>
      <xdr:rowOff>78921</xdr:rowOff>
    </xdr:from>
    <xdr:to>
      <xdr:col>9</xdr:col>
      <xdr:colOff>697459</xdr:colOff>
      <xdr:row>252</xdr:row>
      <xdr:rowOff>67345</xdr:rowOff>
    </xdr:to>
    <xdr:grpSp>
      <xdr:nvGrpSpPr>
        <xdr:cNvPr id="933" name="Group 932">
          <a:extLst>
            <a:ext uri="{FF2B5EF4-FFF2-40B4-BE49-F238E27FC236}">
              <a16:creationId xmlns:a16="http://schemas.microsoft.com/office/drawing/2014/main" id="{2D82C301-53AC-4F8D-9404-D70B80C650BC}"/>
            </a:ext>
          </a:extLst>
        </xdr:cNvPr>
        <xdr:cNvGrpSpPr/>
      </xdr:nvGrpSpPr>
      <xdr:grpSpPr>
        <a:xfrm>
          <a:off x="5783676" y="51268992"/>
          <a:ext cx="152533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34" name="Oval 933">
            <a:extLst>
              <a:ext uri="{FF2B5EF4-FFF2-40B4-BE49-F238E27FC236}">
                <a16:creationId xmlns:a16="http://schemas.microsoft.com/office/drawing/2014/main" id="{7A17E8CB-F9AA-71E2-7873-D38BD51B9E3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35" name="Straight Connector 934">
            <a:extLst>
              <a:ext uri="{FF2B5EF4-FFF2-40B4-BE49-F238E27FC236}">
                <a16:creationId xmlns:a16="http://schemas.microsoft.com/office/drawing/2014/main" id="{A694FCDF-B673-ECC4-873F-1103F419504D}"/>
              </a:ext>
            </a:extLst>
          </xdr:cNvPr>
          <xdr:cNvCxnSpPr>
            <a:stCxn id="934" idx="1"/>
            <a:endCxn id="9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6" name="Straight Connector 935">
            <a:extLst>
              <a:ext uri="{FF2B5EF4-FFF2-40B4-BE49-F238E27FC236}">
                <a16:creationId xmlns:a16="http://schemas.microsoft.com/office/drawing/2014/main" id="{34182B1B-F127-DCD9-0E04-B4275AAACB47}"/>
              </a:ext>
            </a:extLst>
          </xdr:cNvPr>
          <xdr:cNvCxnSpPr>
            <a:stCxn id="934" idx="3"/>
            <a:endCxn id="9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53469</xdr:colOff>
      <xdr:row>251</xdr:row>
      <xdr:rowOff>82283</xdr:rowOff>
    </xdr:from>
    <xdr:to>
      <xdr:col>11</xdr:col>
      <xdr:colOff>207683</xdr:colOff>
      <xdr:row>252</xdr:row>
      <xdr:rowOff>70707</xdr:rowOff>
    </xdr:to>
    <xdr:grpSp>
      <xdr:nvGrpSpPr>
        <xdr:cNvPr id="937" name="Group 936">
          <a:extLst>
            <a:ext uri="{FF2B5EF4-FFF2-40B4-BE49-F238E27FC236}">
              <a16:creationId xmlns:a16="http://schemas.microsoft.com/office/drawing/2014/main" id="{083C0BB2-5B0B-4811-9654-D57BC26B2219}"/>
            </a:ext>
          </a:extLst>
        </xdr:cNvPr>
        <xdr:cNvGrpSpPr/>
      </xdr:nvGrpSpPr>
      <xdr:grpSpPr>
        <a:xfrm>
          <a:off x="6734576" y="51272354"/>
          <a:ext cx="154214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38" name="Oval 937">
            <a:extLst>
              <a:ext uri="{FF2B5EF4-FFF2-40B4-BE49-F238E27FC236}">
                <a16:creationId xmlns:a16="http://schemas.microsoft.com/office/drawing/2014/main" id="{999A6765-3B56-1657-6751-0D4253E9444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39" name="Straight Connector 938">
            <a:extLst>
              <a:ext uri="{FF2B5EF4-FFF2-40B4-BE49-F238E27FC236}">
                <a16:creationId xmlns:a16="http://schemas.microsoft.com/office/drawing/2014/main" id="{2FD4CD15-5794-9EFA-53E9-F4EFE928AFB8}"/>
              </a:ext>
            </a:extLst>
          </xdr:cNvPr>
          <xdr:cNvCxnSpPr>
            <a:stCxn id="938" idx="1"/>
            <a:endCxn id="9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0" name="Straight Connector 939">
            <a:extLst>
              <a:ext uri="{FF2B5EF4-FFF2-40B4-BE49-F238E27FC236}">
                <a16:creationId xmlns:a16="http://schemas.microsoft.com/office/drawing/2014/main" id="{FD0331AB-8537-3D1D-3DFB-4D5EB17FA50E}"/>
              </a:ext>
            </a:extLst>
          </xdr:cNvPr>
          <xdr:cNvCxnSpPr>
            <a:stCxn id="938" idx="3"/>
            <a:endCxn id="9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298157</xdr:colOff>
      <xdr:row>251</xdr:row>
      <xdr:rowOff>90127</xdr:rowOff>
    </xdr:from>
    <xdr:to>
      <xdr:col>12</xdr:col>
      <xdr:colOff>452371</xdr:colOff>
      <xdr:row>252</xdr:row>
      <xdr:rowOff>78551</xdr:rowOff>
    </xdr:to>
    <xdr:grpSp>
      <xdr:nvGrpSpPr>
        <xdr:cNvPr id="941" name="Group 940">
          <a:extLst>
            <a:ext uri="{FF2B5EF4-FFF2-40B4-BE49-F238E27FC236}">
              <a16:creationId xmlns:a16="http://schemas.microsoft.com/office/drawing/2014/main" id="{9949277F-1554-440B-A26B-AD0C2D139CFB}"/>
            </a:ext>
          </a:extLst>
        </xdr:cNvPr>
        <xdr:cNvGrpSpPr/>
      </xdr:nvGrpSpPr>
      <xdr:grpSpPr>
        <a:xfrm>
          <a:off x="7700443" y="51280198"/>
          <a:ext cx="154214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42" name="Oval 941">
            <a:extLst>
              <a:ext uri="{FF2B5EF4-FFF2-40B4-BE49-F238E27FC236}">
                <a16:creationId xmlns:a16="http://schemas.microsoft.com/office/drawing/2014/main" id="{CCD96CD0-71A1-509E-ECA0-3EBC0E5DD42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43" name="Straight Connector 942">
            <a:extLst>
              <a:ext uri="{FF2B5EF4-FFF2-40B4-BE49-F238E27FC236}">
                <a16:creationId xmlns:a16="http://schemas.microsoft.com/office/drawing/2014/main" id="{93394F65-B10E-6E16-32A8-A010BA7AB689}"/>
              </a:ext>
            </a:extLst>
          </xdr:cNvPr>
          <xdr:cNvCxnSpPr>
            <a:stCxn id="942" idx="1"/>
            <a:endCxn id="9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1E798BFE-DFF1-BFEA-C5B3-6B34B30A6FA5}"/>
              </a:ext>
            </a:extLst>
          </xdr:cNvPr>
          <xdr:cNvCxnSpPr>
            <a:stCxn id="942" idx="3"/>
            <a:endCxn id="9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598956</xdr:colOff>
      <xdr:row>251</xdr:row>
      <xdr:rowOff>88446</xdr:rowOff>
    </xdr:from>
    <xdr:to>
      <xdr:col>14</xdr:col>
      <xdr:colOff>45997</xdr:colOff>
      <xdr:row>252</xdr:row>
      <xdr:rowOff>76870</xdr:rowOff>
    </xdr:to>
    <xdr:grpSp>
      <xdr:nvGrpSpPr>
        <xdr:cNvPr id="945" name="Group 944">
          <a:extLst>
            <a:ext uri="{FF2B5EF4-FFF2-40B4-BE49-F238E27FC236}">
              <a16:creationId xmlns:a16="http://schemas.microsoft.com/office/drawing/2014/main" id="{4836563F-04F5-4FF8-A1C8-E90AE531090D}"/>
            </a:ext>
          </a:extLst>
        </xdr:cNvPr>
        <xdr:cNvGrpSpPr/>
      </xdr:nvGrpSpPr>
      <xdr:grpSpPr>
        <a:xfrm>
          <a:off x="8722420" y="51278517"/>
          <a:ext cx="168220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46" name="Oval 945">
            <a:extLst>
              <a:ext uri="{FF2B5EF4-FFF2-40B4-BE49-F238E27FC236}">
                <a16:creationId xmlns:a16="http://schemas.microsoft.com/office/drawing/2014/main" id="{04B77BE1-6C5A-1AE7-58ED-28CF3048AB5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47" name="Straight Connector 946">
            <a:extLst>
              <a:ext uri="{FF2B5EF4-FFF2-40B4-BE49-F238E27FC236}">
                <a16:creationId xmlns:a16="http://schemas.microsoft.com/office/drawing/2014/main" id="{C9394116-44E2-A759-DB02-61A93A08DEEF}"/>
              </a:ext>
            </a:extLst>
          </xdr:cNvPr>
          <xdr:cNvCxnSpPr>
            <a:stCxn id="946" idx="1"/>
            <a:endCxn id="9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8" name="Straight Connector 947">
            <a:extLst>
              <a:ext uri="{FF2B5EF4-FFF2-40B4-BE49-F238E27FC236}">
                <a16:creationId xmlns:a16="http://schemas.microsoft.com/office/drawing/2014/main" id="{573CDF33-1C2C-0088-3187-C4E05A708DA5}"/>
              </a:ext>
            </a:extLst>
          </xdr:cNvPr>
          <xdr:cNvCxnSpPr>
            <a:stCxn id="946" idx="3"/>
            <a:endCxn id="9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226199</xdr:colOff>
      <xdr:row>251</xdr:row>
      <xdr:rowOff>78921</xdr:rowOff>
    </xdr:from>
    <xdr:to>
      <xdr:col>15</xdr:col>
      <xdr:colOff>375930</xdr:colOff>
      <xdr:row>252</xdr:row>
      <xdr:rowOff>67345</xdr:rowOff>
    </xdr:to>
    <xdr:grpSp>
      <xdr:nvGrpSpPr>
        <xdr:cNvPr id="949" name="Group 948">
          <a:extLst>
            <a:ext uri="{FF2B5EF4-FFF2-40B4-BE49-F238E27FC236}">
              <a16:creationId xmlns:a16="http://schemas.microsoft.com/office/drawing/2014/main" id="{43282783-ACED-453E-9562-17749AF93801}"/>
            </a:ext>
          </a:extLst>
        </xdr:cNvPr>
        <xdr:cNvGrpSpPr/>
      </xdr:nvGrpSpPr>
      <xdr:grpSpPr>
        <a:xfrm>
          <a:off x="9792020" y="51268992"/>
          <a:ext cx="149731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50" name="Oval 949">
            <a:extLst>
              <a:ext uri="{FF2B5EF4-FFF2-40B4-BE49-F238E27FC236}">
                <a16:creationId xmlns:a16="http://schemas.microsoft.com/office/drawing/2014/main" id="{0CF61A80-283A-EA6C-56EA-A1727F3EEE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51" name="Straight Connector 950">
            <a:extLst>
              <a:ext uri="{FF2B5EF4-FFF2-40B4-BE49-F238E27FC236}">
                <a16:creationId xmlns:a16="http://schemas.microsoft.com/office/drawing/2014/main" id="{E64A7320-C1D2-64D7-3A4D-C791394C6B29}"/>
              </a:ext>
            </a:extLst>
          </xdr:cNvPr>
          <xdr:cNvCxnSpPr>
            <a:stCxn id="950" idx="1"/>
            <a:endCxn id="9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2" name="Straight Connector 951">
            <a:extLst>
              <a:ext uri="{FF2B5EF4-FFF2-40B4-BE49-F238E27FC236}">
                <a16:creationId xmlns:a16="http://schemas.microsoft.com/office/drawing/2014/main" id="{F2F3FA73-6872-C4CF-3BAF-56FB827B0093}"/>
              </a:ext>
            </a:extLst>
          </xdr:cNvPr>
          <xdr:cNvCxnSpPr>
            <a:stCxn id="950" idx="3"/>
            <a:endCxn id="9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555492</xdr:colOff>
      <xdr:row>251</xdr:row>
      <xdr:rowOff>97971</xdr:rowOff>
    </xdr:from>
    <xdr:to>
      <xdr:col>16</xdr:col>
      <xdr:colOff>712507</xdr:colOff>
      <xdr:row>252</xdr:row>
      <xdr:rowOff>86395</xdr:rowOff>
    </xdr:to>
    <xdr:grpSp>
      <xdr:nvGrpSpPr>
        <xdr:cNvPr id="953" name="Group 952">
          <a:extLst>
            <a:ext uri="{FF2B5EF4-FFF2-40B4-BE49-F238E27FC236}">
              <a16:creationId xmlns:a16="http://schemas.microsoft.com/office/drawing/2014/main" id="{EBFC27E1-0812-4419-BA67-2232CC9AD859}"/>
            </a:ext>
          </a:extLst>
        </xdr:cNvPr>
        <xdr:cNvGrpSpPr/>
      </xdr:nvGrpSpPr>
      <xdr:grpSpPr>
        <a:xfrm>
          <a:off x="10842492" y="51288042"/>
          <a:ext cx="157015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54" name="Oval 953">
            <a:extLst>
              <a:ext uri="{FF2B5EF4-FFF2-40B4-BE49-F238E27FC236}">
                <a16:creationId xmlns:a16="http://schemas.microsoft.com/office/drawing/2014/main" id="{35ECBC03-763A-05B5-903A-12E54BF92B5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55" name="Straight Connector 954">
            <a:extLst>
              <a:ext uri="{FF2B5EF4-FFF2-40B4-BE49-F238E27FC236}">
                <a16:creationId xmlns:a16="http://schemas.microsoft.com/office/drawing/2014/main" id="{0C59E06B-4824-3CD2-0A5D-0223D8797857}"/>
              </a:ext>
            </a:extLst>
          </xdr:cNvPr>
          <xdr:cNvCxnSpPr>
            <a:stCxn id="954" idx="1"/>
            <a:endCxn id="95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6" name="Straight Connector 955">
            <a:extLst>
              <a:ext uri="{FF2B5EF4-FFF2-40B4-BE49-F238E27FC236}">
                <a16:creationId xmlns:a16="http://schemas.microsoft.com/office/drawing/2014/main" id="{9E59CC20-2F57-9846-53DE-7D465D57BAA3}"/>
              </a:ext>
            </a:extLst>
          </xdr:cNvPr>
          <xdr:cNvCxnSpPr>
            <a:stCxn id="954" idx="3"/>
            <a:endCxn id="95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111099</xdr:colOff>
      <xdr:row>251</xdr:row>
      <xdr:rowOff>88445</xdr:rowOff>
    </xdr:from>
    <xdr:to>
      <xdr:col>18</xdr:col>
      <xdr:colOff>272517</xdr:colOff>
      <xdr:row>252</xdr:row>
      <xdr:rowOff>76869</xdr:rowOff>
    </xdr:to>
    <xdr:grpSp>
      <xdr:nvGrpSpPr>
        <xdr:cNvPr id="957" name="Group 956">
          <a:extLst>
            <a:ext uri="{FF2B5EF4-FFF2-40B4-BE49-F238E27FC236}">
              <a16:creationId xmlns:a16="http://schemas.microsoft.com/office/drawing/2014/main" id="{F9A71279-EA1B-437A-815E-BA307C0E73EE}"/>
            </a:ext>
          </a:extLst>
        </xdr:cNvPr>
        <xdr:cNvGrpSpPr/>
      </xdr:nvGrpSpPr>
      <xdr:grpSpPr>
        <a:xfrm>
          <a:off x="11840456" y="51278516"/>
          <a:ext cx="161418" cy="1925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58" name="Oval 957">
            <a:extLst>
              <a:ext uri="{FF2B5EF4-FFF2-40B4-BE49-F238E27FC236}">
                <a16:creationId xmlns:a16="http://schemas.microsoft.com/office/drawing/2014/main" id="{14484867-6369-89D3-1792-F84F3DF1569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59" name="Straight Connector 958">
            <a:extLst>
              <a:ext uri="{FF2B5EF4-FFF2-40B4-BE49-F238E27FC236}">
                <a16:creationId xmlns:a16="http://schemas.microsoft.com/office/drawing/2014/main" id="{402CD57B-3083-953A-568A-89E0EA903655}"/>
              </a:ext>
            </a:extLst>
          </xdr:cNvPr>
          <xdr:cNvCxnSpPr>
            <a:stCxn id="958" idx="1"/>
            <a:endCxn id="95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0" name="Straight Connector 959">
            <a:extLst>
              <a:ext uri="{FF2B5EF4-FFF2-40B4-BE49-F238E27FC236}">
                <a16:creationId xmlns:a16="http://schemas.microsoft.com/office/drawing/2014/main" id="{BD08BDDD-0C15-49CA-2E2D-C5E3451197D4}"/>
              </a:ext>
            </a:extLst>
          </xdr:cNvPr>
          <xdr:cNvCxnSpPr>
            <a:stCxn id="958" idx="3"/>
            <a:endCxn id="95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101493</xdr:colOff>
      <xdr:row>245</xdr:row>
      <xdr:rowOff>134307</xdr:rowOff>
    </xdr:from>
    <xdr:to>
      <xdr:col>18</xdr:col>
      <xdr:colOff>255707</xdr:colOff>
      <xdr:row>246</xdr:row>
      <xdr:rowOff>132536</xdr:rowOff>
    </xdr:to>
    <xdr:grpSp>
      <xdr:nvGrpSpPr>
        <xdr:cNvPr id="961" name="Group 960">
          <a:extLst>
            <a:ext uri="{FF2B5EF4-FFF2-40B4-BE49-F238E27FC236}">
              <a16:creationId xmlns:a16="http://schemas.microsoft.com/office/drawing/2014/main" id="{799C1725-AC57-4ACE-85E7-560E8802EB91}"/>
            </a:ext>
          </a:extLst>
        </xdr:cNvPr>
        <xdr:cNvGrpSpPr/>
      </xdr:nvGrpSpPr>
      <xdr:grpSpPr>
        <a:xfrm>
          <a:off x="11830850" y="50099736"/>
          <a:ext cx="154214" cy="20233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62" name="Oval 961">
            <a:extLst>
              <a:ext uri="{FF2B5EF4-FFF2-40B4-BE49-F238E27FC236}">
                <a16:creationId xmlns:a16="http://schemas.microsoft.com/office/drawing/2014/main" id="{58DA4D0F-0B7F-6093-23B6-D13BB5E1676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63" name="Straight Connector 962">
            <a:extLst>
              <a:ext uri="{FF2B5EF4-FFF2-40B4-BE49-F238E27FC236}">
                <a16:creationId xmlns:a16="http://schemas.microsoft.com/office/drawing/2014/main" id="{70C833DF-A22F-B0E6-2892-47FB6FE77B46}"/>
              </a:ext>
            </a:extLst>
          </xdr:cNvPr>
          <xdr:cNvCxnSpPr>
            <a:stCxn id="962" idx="1"/>
            <a:endCxn id="96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4" name="Straight Connector 963">
            <a:extLst>
              <a:ext uri="{FF2B5EF4-FFF2-40B4-BE49-F238E27FC236}">
                <a16:creationId xmlns:a16="http://schemas.microsoft.com/office/drawing/2014/main" id="{0D025E09-5976-1223-6F2C-08F52A7E07F7}"/>
              </a:ext>
            </a:extLst>
          </xdr:cNvPr>
          <xdr:cNvCxnSpPr>
            <a:stCxn id="962" idx="3"/>
            <a:endCxn id="96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71958</xdr:colOff>
      <xdr:row>244</xdr:row>
      <xdr:rowOff>71714</xdr:rowOff>
    </xdr:from>
    <xdr:to>
      <xdr:col>18</xdr:col>
      <xdr:colOff>233376</xdr:colOff>
      <xdr:row>245</xdr:row>
      <xdr:rowOff>69943</xdr:rowOff>
    </xdr:to>
    <xdr:grpSp>
      <xdr:nvGrpSpPr>
        <xdr:cNvPr id="965" name="Group 964">
          <a:extLst>
            <a:ext uri="{FF2B5EF4-FFF2-40B4-BE49-F238E27FC236}">
              <a16:creationId xmlns:a16="http://schemas.microsoft.com/office/drawing/2014/main" id="{329026BD-E637-4953-86D9-C3D5E3157F71}"/>
            </a:ext>
          </a:extLst>
        </xdr:cNvPr>
        <xdr:cNvGrpSpPr/>
      </xdr:nvGrpSpPr>
      <xdr:grpSpPr>
        <a:xfrm>
          <a:off x="11801315" y="49833035"/>
          <a:ext cx="161418" cy="20233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66" name="Oval 965">
            <a:extLst>
              <a:ext uri="{FF2B5EF4-FFF2-40B4-BE49-F238E27FC236}">
                <a16:creationId xmlns:a16="http://schemas.microsoft.com/office/drawing/2014/main" id="{33E1E2AB-F9CA-735D-9F0C-7AB4DCA7132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67" name="Straight Connector 966">
            <a:extLst>
              <a:ext uri="{FF2B5EF4-FFF2-40B4-BE49-F238E27FC236}">
                <a16:creationId xmlns:a16="http://schemas.microsoft.com/office/drawing/2014/main" id="{C2E3B09A-6857-E96F-48AB-624B79CBAEEB}"/>
              </a:ext>
            </a:extLst>
          </xdr:cNvPr>
          <xdr:cNvCxnSpPr>
            <a:stCxn id="966" idx="1"/>
            <a:endCxn id="9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8" name="Straight Connector 967">
            <a:extLst>
              <a:ext uri="{FF2B5EF4-FFF2-40B4-BE49-F238E27FC236}">
                <a16:creationId xmlns:a16="http://schemas.microsoft.com/office/drawing/2014/main" id="{2D16CDF9-CF06-A5FE-EE72-21CEAFCC7C5E}"/>
              </a:ext>
            </a:extLst>
          </xdr:cNvPr>
          <xdr:cNvCxnSpPr>
            <a:stCxn id="966" idx="3"/>
            <a:endCxn id="9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186659</xdr:colOff>
      <xdr:row>242</xdr:row>
      <xdr:rowOff>110297</xdr:rowOff>
    </xdr:from>
    <xdr:to>
      <xdr:col>18</xdr:col>
      <xdr:colOff>206616</xdr:colOff>
      <xdr:row>251</xdr:row>
      <xdr:rowOff>88446</xdr:rowOff>
    </xdr:to>
    <xdr:cxnSp macro="">
      <xdr:nvCxnSpPr>
        <xdr:cNvPr id="969" name="Straight Arrow Connector 968">
          <a:extLst>
            <a:ext uri="{FF2B5EF4-FFF2-40B4-BE49-F238E27FC236}">
              <a16:creationId xmlns:a16="http://schemas.microsoft.com/office/drawing/2014/main" id="{B41D392E-8190-40E6-A827-CEF384D0B21B}"/>
            </a:ext>
          </a:extLst>
        </xdr:cNvPr>
        <xdr:cNvCxnSpPr/>
      </xdr:nvCxnSpPr>
      <xdr:spPr>
        <a:xfrm flipH="1" flipV="1">
          <a:off x="11863188" y="44508003"/>
          <a:ext cx="19957" cy="13900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126639</xdr:colOff>
      <xdr:row>200</xdr:row>
      <xdr:rowOff>144645</xdr:rowOff>
    </xdr:from>
    <xdr:to>
      <xdr:col>11</xdr:col>
      <xdr:colOff>90850</xdr:colOff>
      <xdr:row>206</xdr:row>
      <xdr:rowOff>100853</xdr:rowOff>
    </xdr:to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id="{31303F48-E9F7-4A40-94FF-92791E1D261B}"/>
            </a:ext>
          </a:extLst>
        </xdr:cNvPr>
        <xdr:cNvSpPr txBox="1"/>
      </xdr:nvSpPr>
      <xdr:spPr>
        <a:xfrm>
          <a:off x="6065757" y="40440998"/>
          <a:ext cx="681387" cy="116644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/39/2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3 CJ5</a:t>
          </a:r>
        </a:p>
        <a:p>
          <a:r>
            <a:rPr lang="en-ID" sz="800" b="0" baseline="0">
              <a:solidFill>
                <a:srgbClr val="FF0000"/>
              </a:solidFill>
            </a:rPr>
            <a:t>3 CJ5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306120</xdr:colOff>
      <xdr:row>200</xdr:row>
      <xdr:rowOff>155420</xdr:rowOff>
    </xdr:from>
    <xdr:to>
      <xdr:col>12</xdr:col>
      <xdr:colOff>270329</xdr:colOff>
      <xdr:row>206</xdr:row>
      <xdr:rowOff>67237</xdr:rowOff>
    </xdr:to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id="{8C480BC3-AE12-46C9-8CB6-88E33EE9267B}"/>
            </a:ext>
          </a:extLst>
        </xdr:cNvPr>
        <xdr:cNvSpPr txBox="1"/>
      </xdr:nvSpPr>
      <xdr:spPr>
        <a:xfrm>
          <a:off x="6962414" y="40451773"/>
          <a:ext cx="681386" cy="112205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/39/3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3 CJ5</a:t>
          </a:r>
        </a:p>
        <a:p>
          <a:r>
            <a:rPr lang="en-ID" sz="800" b="0" baseline="0">
              <a:solidFill>
                <a:srgbClr val="FF0000"/>
              </a:solidFill>
            </a:rPr>
            <a:t>3 CJ5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487229</xdr:colOff>
      <xdr:row>200</xdr:row>
      <xdr:rowOff>155419</xdr:rowOff>
    </xdr:from>
    <xdr:to>
      <xdr:col>13</xdr:col>
      <xdr:colOff>451438</xdr:colOff>
      <xdr:row>206</xdr:row>
      <xdr:rowOff>78441</xdr:rowOff>
    </xdr:to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id="{9DDB7209-C3A3-4CFB-BE1D-EAA7AD314A5A}"/>
            </a:ext>
          </a:extLst>
        </xdr:cNvPr>
        <xdr:cNvSpPr txBox="1"/>
      </xdr:nvSpPr>
      <xdr:spPr>
        <a:xfrm>
          <a:off x="7860700" y="40451772"/>
          <a:ext cx="681385" cy="113325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/39/4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3 CJ6</a:t>
          </a:r>
        </a:p>
        <a:p>
          <a:r>
            <a:rPr lang="en-ID" sz="800" b="0" baseline="0">
              <a:solidFill>
                <a:srgbClr val="FF0000"/>
              </a:solidFill>
            </a:rPr>
            <a:t>3 CJ6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78614</xdr:colOff>
      <xdr:row>193</xdr:row>
      <xdr:rowOff>82473</xdr:rowOff>
    </xdr:from>
    <xdr:to>
      <xdr:col>15</xdr:col>
      <xdr:colOff>45839</xdr:colOff>
      <xdr:row>197</xdr:row>
      <xdr:rowOff>123266</xdr:rowOff>
    </xdr:to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id="{31F58EF3-D978-4A71-AFD3-30CA584C4C26}"/>
            </a:ext>
          </a:extLst>
        </xdr:cNvPr>
        <xdr:cNvSpPr txBox="1"/>
      </xdr:nvSpPr>
      <xdr:spPr>
        <a:xfrm>
          <a:off x="8886438" y="38966885"/>
          <a:ext cx="684401" cy="84761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/39/5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15</xdr:col>
      <xdr:colOff>334933</xdr:colOff>
      <xdr:row>193</xdr:row>
      <xdr:rowOff>44974</xdr:rowOff>
    </xdr:from>
    <xdr:to>
      <xdr:col>16</xdr:col>
      <xdr:colOff>299143</xdr:colOff>
      <xdr:row>197</xdr:row>
      <xdr:rowOff>112059</xdr:rowOff>
    </xdr:to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id="{03AB255B-D493-4E35-9E2D-87AAFEFC591E}"/>
            </a:ext>
          </a:extLst>
        </xdr:cNvPr>
        <xdr:cNvSpPr txBox="1"/>
      </xdr:nvSpPr>
      <xdr:spPr>
        <a:xfrm>
          <a:off x="9859933" y="38929386"/>
          <a:ext cx="681386" cy="8739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/39/5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16</xdr:col>
      <xdr:colOff>243226</xdr:colOff>
      <xdr:row>202</xdr:row>
      <xdr:rowOff>129560</xdr:rowOff>
    </xdr:from>
    <xdr:to>
      <xdr:col>17</xdr:col>
      <xdr:colOff>207434</xdr:colOff>
      <xdr:row>208</xdr:row>
      <xdr:rowOff>168088</xdr:rowOff>
    </xdr:to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id="{96CD6A76-DF8F-4F37-872D-70AF7EAFA720}"/>
            </a:ext>
          </a:extLst>
        </xdr:cNvPr>
        <xdr:cNvSpPr txBox="1"/>
      </xdr:nvSpPr>
      <xdr:spPr>
        <a:xfrm>
          <a:off x="10485402" y="40829325"/>
          <a:ext cx="681385" cy="124876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/39/6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CC8A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2 CE1-3</a:t>
          </a:r>
        </a:p>
        <a:p>
          <a:r>
            <a:rPr lang="en-ID" sz="800" b="0" baseline="0">
              <a:solidFill>
                <a:srgbClr val="FF0000"/>
              </a:solidFill>
            </a:rPr>
            <a:t>2 F1-3</a:t>
          </a:r>
        </a:p>
        <a:p>
          <a:r>
            <a:rPr lang="en-ID" sz="800" b="0" baseline="0">
              <a:solidFill>
                <a:srgbClr val="FF0000"/>
              </a:solidFill>
            </a:rPr>
            <a:t>2 CM2-12A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136953</xdr:colOff>
      <xdr:row>241</xdr:row>
      <xdr:rowOff>169689</xdr:rowOff>
    </xdr:from>
    <xdr:to>
      <xdr:col>6</xdr:col>
      <xdr:colOff>101161</xdr:colOff>
      <xdr:row>248</xdr:row>
      <xdr:rowOff>67236</xdr:rowOff>
    </xdr:to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id="{42FA3C10-A3D7-4BA9-AA5C-25887987E4D3}"/>
            </a:ext>
          </a:extLst>
        </xdr:cNvPr>
        <xdr:cNvSpPr txBox="1"/>
      </xdr:nvSpPr>
      <xdr:spPr>
        <a:xfrm>
          <a:off x="2490188" y="48758395"/>
          <a:ext cx="681385" cy="130948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/39/7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CC8A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2 CE1-3</a:t>
          </a:r>
        </a:p>
        <a:p>
          <a:r>
            <a:rPr lang="en-ID" sz="800" b="0" baseline="0">
              <a:solidFill>
                <a:srgbClr val="FF0000"/>
              </a:solidFill>
            </a:rPr>
            <a:t>2 F1-3</a:t>
          </a:r>
        </a:p>
        <a:p>
          <a:r>
            <a:rPr lang="en-ID" sz="800" b="0" baseline="0">
              <a:solidFill>
                <a:srgbClr val="FF0000"/>
              </a:solidFill>
            </a:rPr>
            <a:t>2 CM2-12A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249410</xdr:colOff>
      <xdr:row>254</xdr:row>
      <xdr:rowOff>115259</xdr:rowOff>
    </xdr:from>
    <xdr:to>
      <xdr:col>7</xdr:col>
      <xdr:colOff>213620</xdr:colOff>
      <xdr:row>259</xdr:row>
      <xdr:rowOff>11207</xdr:rowOff>
    </xdr:to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id="{D8FA9A84-0F89-4455-80D8-9D7696C2FC78}"/>
            </a:ext>
          </a:extLst>
        </xdr:cNvPr>
        <xdr:cNvSpPr txBox="1"/>
      </xdr:nvSpPr>
      <xdr:spPr>
        <a:xfrm>
          <a:off x="3319822" y="51326141"/>
          <a:ext cx="681386" cy="90447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/39/8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7</xdr:col>
      <xdr:colOff>684038</xdr:colOff>
      <xdr:row>254</xdr:row>
      <xdr:rowOff>126465</xdr:rowOff>
    </xdr:from>
    <xdr:to>
      <xdr:col>8</xdr:col>
      <xdr:colOff>645445</xdr:colOff>
      <xdr:row>259</xdr:row>
      <xdr:rowOff>11207</xdr:rowOff>
    </xdr:to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id="{442A7A43-2C21-4F64-A54B-20EBAC8F264C}"/>
            </a:ext>
          </a:extLst>
        </xdr:cNvPr>
        <xdr:cNvSpPr txBox="1"/>
      </xdr:nvSpPr>
      <xdr:spPr>
        <a:xfrm>
          <a:off x="4471626" y="51337347"/>
          <a:ext cx="678584" cy="89327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/39/9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9</xdr:col>
      <xdr:colOff>245809</xdr:colOff>
      <xdr:row>254</xdr:row>
      <xdr:rowOff>148876</xdr:rowOff>
    </xdr:from>
    <xdr:to>
      <xdr:col>10</xdr:col>
      <xdr:colOff>210017</xdr:colOff>
      <xdr:row>259</xdr:row>
      <xdr:rowOff>33617</xdr:rowOff>
    </xdr:to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id="{E5E2BEC6-6473-4534-B58E-AEEBC1FF9695}"/>
            </a:ext>
          </a:extLst>
        </xdr:cNvPr>
        <xdr:cNvSpPr txBox="1"/>
      </xdr:nvSpPr>
      <xdr:spPr>
        <a:xfrm>
          <a:off x="5467750" y="51359758"/>
          <a:ext cx="681385" cy="89327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/39/10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10</xdr:col>
      <xdr:colOff>509546</xdr:colOff>
      <xdr:row>254</xdr:row>
      <xdr:rowOff>151679</xdr:rowOff>
    </xdr:from>
    <xdr:to>
      <xdr:col>11</xdr:col>
      <xdr:colOff>473756</xdr:colOff>
      <xdr:row>261</xdr:row>
      <xdr:rowOff>13607</xdr:rowOff>
    </xdr:to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id="{0F11DB07-46B9-444C-A8B6-0F29DB558965}"/>
            </a:ext>
          </a:extLst>
        </xdr:cNvPr>
        <xdr:cNvSpPr txBox="1"/>
      </xdr:nvSpPr>
      <xdr:spPr>
        <a:xfrm>
          <a:off x="6469475" y="51954072"/>
          <a:ext cx="685388" cy="129067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/39/11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3 CM5-6</a:t>
          </a:r>
        </a:p>
        <a:p>
          <a:r>
            <a:rPr lang="en-ID" sz="800" b="0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  <xdr:twoCellAnchor>
    <xdr:from>
      <xdr:col>12</xdr:col>
      <xdr:colOff>51708</xdr:colOff>
      <xdr:row>254</xdr:row>
      <xdr:rowOff>174091</xdr:rowOff>
    </xdr:from>
    <xdr:to>
      <xdr:col>13</xdr:col>
      <xdr:colOff>23122</xdr:colOff>
      <xdr:row>259</xdr:row>
      <xdr:rowOff>67235</xdr:rowOff>
    </xdr:to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id="{21D45C3F-C70F-42B0-9C70-8178CE1867BE}"/>
            </a:ext>
          </a:extLst>
        </xdr:cNvPr>
        <xdr:cNvSpPr txBox="1"/>
      </xdr:nvSpPr>
      <xdr:spPr>
        <a:xfrm>
          <a:off x="7425179" y="51384973"/>
          <a:ext cx="688590" cy="9016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/39/12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13</xdr:col>
      <xdr:colOff>304240</xdr:colOff>
      <xdr:row>254</xdr:row>
      <xdr:rowOff>162884</xdr:rowOff>
    </xdr:from>
    <xdr:to>
      <xdr:col>14</xdr:col>
      <xdr:colOff>268447</xdr:colOff>
      <xdr:row>259</xdr:row>
      <xdr:rowOff>33617</xdr:rowOff>
    </xdr:to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id="{313B051E-108C-4560-A192-086D3A6CB3D0}"/>
            </a:ext>
          </a:extLst>
        </xdr:cNvPr>
        <xdr:cNvSpPr txBox="1"/>
      </xdr:nvSpPr>
      <xdr:spPr>
        <a:xfrm>
          <a:off x="8394887" y="51373766"/>
          <a:ext cx="681384" cy="87926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/39/13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14</xdr:col>
      <xdr:colOff>668831</xdr:colOff>
      <xdr:row>254</xdr:row>
      <xdr:rowOff>162885</xdr:rowOff>
    </xdr:from>
    <xdr:to>
      <xdr:col>15</xdr:col>
      <xdr:colOff>633041</xdr:colOff>
      <xdr:row>259</xdr:row>
      <xdr:rowOff>67235</xdr:rowOff>
    </xdr:to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id="{20835AE1-551E-4434-B156-9936F527A9E5}"/>
            </a:ext>
          </a:extLst>
        </xdr:cNvPr>
        <xdr:cNvSpPr txBox="1"/>
      </xdr:nvSpPr>
      <xdr:spPr>
        <a:xfrm>
          <a:off x="9476655" y="51373767"/>
          <a:ext cx="681386" cy="9128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/39/14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16</xdr:col>
      <xdr:colOff>408695</xdr:colOff>
      <xdr:row>254</xdr:row>
      <xdr:rowOff>174090</xdr:rowOff>
    </xdr:from>
    <xdr:to>
      <xdr:col>17</xdr:col>
      <xdr:colOff>372903</xdr:colOff>
      <xdr:row>259</xdr:row>
      <xdr:rowOff>100853</xdr:rowOff>
    </xdr:to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id="{70DEF5A3-80D6-45D3-97B6-FE29EC6F13A5}"/>
            </a:ext>
          </a:extLst>
        </xdr:cNvPr>
        <xdr:cNvSpPr txBox="1"/>
      </xdr:nvSpPr>
      <xdr:spPr>
        <a:xfrm>
          <a:off x="10650871" y="51384972"/>
          <a:ext cx="681385" cy="93529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/39/15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18</xdr:col>
      <xdr:colOff>255707</xdr:colOff>
      <xdr:row>251</xdr:row>
      <xdr:rowOff>148876</xdr:rowOff>
    </xdr:from>
    <xdr:to>
      <xdr:col>18</xdr:col>
      <xdr:colOff>551970</xdr:colOff>
      <xdr:row>252</xdr:row>
      <xdr:rowOff>5116</xdr:rowOff>
    </xdr:to>
    <xdr:cxnSp macro="">
      <xdr:nvCxnSpPr>
        <xdr:cNvPr id="985" name="Straight Arrow Connector 984">
          <a:extLst>
            <a:ext uri="{FF2B5EF4-FFF2-40B4-BE49-F238E27FC236}">
              <a16:creationId xmlns:a16="http://schemas.microsoft.com/office/drawing/2014/main" id="{FCC20260-BBD6-468D-B75E-F8F18216B9DB}"/>
            </a:ext>
          </a:extLst>
        </xdr:cNvPr>
        <xdr:cNvCxnSpPr/>
      </xdr:nvCxnSpPr>
      <xdr:spPr>
        <a:xfrm flipV="1">
          <a:off x="11932236" y="45958523"/>
          <a:ext cx="296263" cy="1312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178600</xdr:colOff>
      <xdr:row>252</xdr:row>
      <xdr:rowOff>72866</xdr:rowOff>
    </xdr:from>
    <xdr:to>
      <xdr:col>18</xdr:col>
      <xdr:colOff>193382</xdr:colOff>
      <xdr:row>254</xdr:row>
      <xdr:rowOff>53626</xdr:rowOff>
    </xdr:to>
    <xdr:cxnSp macro="">
      <xdr:nvCxnSpPr>
        <xdr:cNvPr id="986" name="Straight Arrow Connector 985">
          <a:extLst>
            <a:ext uri="{FF2B5EF4-FFF2-40B4-BE49-F238E27FC236}">
              <a16:creationId xmlns:a16="http://schemas.microsoft.com/office/drawing/2014/main" id="{3C5F9115-8B79-4FFF-B67F-E7AA078B5B85}"/>
            </a:ext>
          </a:extLst>
        </xdr:cNvPr>
        <xdr:cNvCxnSpPr/>
      </xdr:nvCxnSpPr>
      <xdr:spPr>
        <a:xfrm>
          <a:off x="11855129" y="46039395"/>
          <a:ext cx="14782" cy="2833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352666</xdr:colOff>
      <xdr:row>252</xdr:row>
      <xdr:rowOff>138869</xdr:rowOff>
    </xdr:from>
    <xdr:to>
      <xdr:col>19</xdr:col>
      <xdr:colOff>316874</xdr:colOff>
      <xdr:row>258</xdr:row>
      <xdr:rowOff>179293</xdr:rowOff>
    </xdr:to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1AB94166-6086-43F6-AA2F-D96B52E07C64}"/>
            </a:ext>
          </a:extLst>
        </xdr:cNvPr>
        <xdr:cNvSpPr txBox="1"/>
      </xdr:nvSpPr>
      <xdr:spPr>
        <a:xfrm>
          <a:off x="12029195" y="50946340"/>
          <a:ext cx="681385" cy="125065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/39/16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CC8A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</a:p>
        <a:p>
          <a:r>
            <a:rPr lang="en-ID" sz="800" b="0" baseline="0">
              <a:solidFill>
                <a:srgbClr val="FF0000"/>
              </a:solidFill>
            </a:rPr>
            <a:t>2 CE1-3</a:t>
          </a:r>
        </a:p>
        <a:p>
          <a:r>
            <a:rPr lang="en-ID" sz="800" b="0" baseline="0">
              <a:solidFill>
                <a:srgbClr val="FF0000"/>
              </a:solidFill>
            </a:rPr>
            <a:t>2 F1-3</a:t>
          </a:r>
        </a:p>
        <a:p>
          <a:r>
            <a:rPr lang="en-ID" sz="800" b="0" baseline="0">
              <a:solidFill>
                <a:srgbClr val="FF0000"/>
              </a:solidFill>
            </a:rPr>
            <a:t>2 CM2-12A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41701</xdr:colOff>
      <xdr:row>240</xdr:row>
      <xdr:rowOff>165686</xdr:rowOff>
    </xdr:from>
    <xdr:to>
      <xdr:col>18</xdr:col>
      <xdr:colOff>5911</xdr:colOff>
      <xdr:row>248</xdr:row>
      <xdr:rowOff>168088</xdr:rowOff>
    </xdr:to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id="{835785D0-B549-4307-B04F-C60A71EC5436}"/>
            </a:ext>
          </a:extLst>
        </xdr:cNvPr>
        <xdr:cNvSpPr txBox="1"/>
      </xdr:nvSpPr>
      <xdr:spPr>
        <a:xfrm>
          <a:off x="11001054" y="48552686"/>
          <a:ext cx="681386" cy="161604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800" b="1" u="sng">
              <a:solidFill>
                <a:srgbClr val="FF0000"/>
              </a:solidFill>
            </a:rPr>
            <a:t>T1-180/63</a:t>
          </a:r>
        </a:p>
        <a:p>
          <a:pPr algn="ctr"/>
          <a:r>
            <a:rPr lang="en-ID" sz="800" b="1" u="sng">
              <a:solidFill>
                <a:srgbClr val="FF0000"/>
              </a:solidFill>
            </a:rPr>
            <a:t>/39/7</a:t>
          </a:r>
          <a:endParaRPr lang="en-ID" sz="800" b="0">
            <a:solidFill>
              <a:srgbClr val="FF0000"/>
            </a:solidFill>
          </a:endParaRPr>
        </a:p>
        <a:p>
          <a:endParaRPr lang="en-ID" sz="800" b="0">
            <a:solidFill>
              <a:srgbClr val="FF0000"/>
            </a:solidFill>
          </a:endParaRPr>
        </a:p>
        <a:p>
          <a:r>
            <a:rPr lang="en-ID" sz="800" b="0">
              <a:solidFill>
                <a:srgbClr val="FF0000"/>
              </a:solidFill>
            </a:rPr>
            <a:t>2 C12-350</a:t>
          </a:r>
        </a:p>
        <a:p>
          <a:r>
            <a:rPr lang="en-ID" sz="800" b="0" baseline="0">
              <a:solidFill>
                <a:srgbClr val="FF0000"/>
              </a:solidFill>
            </a:rPr>
            <a:t>1 CC1-A</a:t>
          </a:r>
        </a:p>
        <a:p>
          <a:r>
            <a:rPr lang="en-ID" sz="800" b="0" baseline="0">
              <a:solidFill>
                <a:srgbClr val="FF0000"/>
              </a:solidFill>
            </a:rPr>
            <a:t>1 CC7</a:t>
          </a:r>
        </a:p>
        <a:p>
          <a:r>
            <a:rPr lang="en-ID" sz="800" b="0" baseline="0">
              <a:solidFill>
                <a:srgbClr val="FF0000"/>
              </a:solidFill>
            </a:rPr>
            <a:t>1 CG313</a:t>
          </a:r>
        </a:p>
        <a:p>
          <a:r>
            <a:rPr lang="en-ID" sz="800" b="0" baseline="0">
              <a:solidFill>
                <a:srgbClr val="FF0000"/>
              </a:solidFill>
            </a:rPr>
            <a:t>2 CM2-11M</a:t>
          </a:r>
        </a:p>
        <a:p>
          <a:r>
            <a:rPr lang="en-ID" sz="800" b="0" baseline="0">
              <a:solidFill>
                <a:srgbClr val="FF0000"/>
              </a:solidFill>
            </a:rPr>
            <a:t>2 CM2-12</a:t>
          </a:r>
        </a:p>
        <a:p>
          <a:r>
            <a:rPr lang="en-ID" sz="800" b="0" baseline="0">
              <a:solidFill>
                <a:srgbClr val="FF0000"/>
              </a:solidFill>
            </a:rPr>
            <a:t>1 CE1-3</a:t>
          </a:r>
        </a:p>
        <a:p>
          <a:r>
            <a:rPr lang="en-ID" sz="800" b="0" baseline="0">
              <a:solidFill>
                <a:srgbClr val="FF0000"/>
              </a:solidFill>
            </a:rPr>
            <a:t>1 F1-3</a:t>
          </a:r>
        </a:p>
        <a:p>
          <a:r>
            <a:rPr lang="en-ID" sz="800" b="0" baseline="0">
              <a:solidFill>
                <a:srgbClr val="FF0000"/>
              </a:solidFill>
            </a:rPr>
            <a:t>1 CM2-12A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97239</xdr:colOff>
      <xdr:row>197</xdr:row>
      <xdr:rowOff>62862</xdr:rowOff>
    </xdr:from>
    <xdr:to>
      <xdr:col>9</xdr:col>
      <xdr:colOff>389750</xdr:colOff>
      <xdr:row>198</xdr:row>
      <xdr:rowOff>126124</xdr:rowOff>
    </xdr:to>
    <xdr:grpSp>
      <xdr:nvGrpSpPr>
        <xdr:cNvPr id="989" name="Group 988">
          <a:extLst>
            <a:ext uri="{FF2B5EF4-FFF2-40B4-BE49-F238E27FC236}">
              <a16:creationId xmlns:a16="http://schemas.microsoft.com/office/drawing/2014/main" id="{DDCD2768-B263-43AA-9C15-E7BA0101ECDF}"/>
            </a:ext>
          </a:extLst>
        </xdr:cNvPr>
        <xdr:cNvGrpSpPr/>
      </xdr:nvGrpSpPr>
      <xdr:grpSpPr>
        <a:xfrm rot="776675">
          <a:off x="5335989" y="40231148"/>
          <a:ext cx="292511" cy="267369"/>
          <a:chOff x="3927232" y="6117981"/>
          <a:chExt cx="351692" cy="416361"/>
        </a:xfrm>
      </xdr:grpSpPr>
      <xdr:cxnSp macro="">
        <xdr:nvCxnSpPr>
          <xdr:cNvPr id="990" name="Straight Connector 989">
            <a:extLst>
              <a:ext uri="{FF2B5EF4-FFF2-40B4-BE49-F238E27FC236}">
                <a16:creationId xmlns:a16="http://schemas.microsoft.com/office/drawing/2014/main" id="{C9AF8462-73B9-8513-BC6B-90CF893CBF08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91" name="Straight Connector 990">
            <a:extLst>
              <a:ext uri="{FF2B5EF4-FFF2-40B4-BE49-F238E27FC236}">
                <a16:creationId xmlns:a16="http://schemas.microsoft.com/office/drawing/2014/main" id="{030FC262-47A7-C115-F892-19F04519E4B5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1570</xdr:colOff>
      <xdr:row>196</xdr:row>
      <xdr:rowOff>123029</xdr:rowOff>
    </xdr:from>
    <xdr:to>
      <xdr:col>11</xdr:col>
      <xdr:colOff>291280</xdr:colOff>
      <xdr:row>198</xdr:row>
      <xdr:rowOff>15402</xdr:rowOff>
    </xdr:to>
    <xdr:grpSp>
      <xdr:nvGrpSpPr>
        <xdr:cNvPr id="992" name="Group 991">
          <a:extLst>
            <a:ext uri="{FF2B5EF4-FFF2-40B4-BE49-F238E27FC236}">
              <a16:creationId xmlns:a16="http://schemas.microsoft.com/office/drawing/2014/main" id="{9315EC17-5B39-4D99-8F84-D54AB4884443}"/>
            </a:ext>
          </a:extLst>
        </xdr:cNvPr>
        <xdr:cNvGrpSpPr/>
      </xdr:nvGrpSpPr>
      <xdr:grpSpPr>
        <a:xfrm rot="776675">
          <a:off x="6682677" y="40087208"/>
          <a:ext cx="289710" cy="300587"/>
          <a:chOff x="3927232" y="6117981"/>
          <a:chExt cx="351692" cy="416361"/>
        </a:xfrm>
      </xdr:grpSpPr>
      <xdr:cxnSp macro="">
        <xdr:nvCxnSpPr>
          <xdr:cNvPr id="993" name="Straight Connector 992">
            <a:extLst>
              <a:ext uri="{FF2B5EF4-FFF2-40B4-BE49-F238E27FC236}">
                <a16:creationId xmlns:a16="http://schemas.microsoft.com/office/drawing/2014/main" id="{A4B6E50B-BA3C-33BC-A4E8-D29FE4958431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94" name="Straight Connector 993">
            <a:extLst>
              <a:ext uri="{FF2B5EF4-FFF2-40B4-BE49-F238E27FC236}">
                <a16:creationId xmlns:a16="http://schemas.microsoft.com/office/drawing/2014/main" id="{2C974365-9D09-4ED4-A4A9-FEF0B31DD667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286376</xdr:colOff>
      <xdr:row>197</xdr:row>
      <xdr:rowOff>1316</xdr:rowOff>
    </xdr:from>
    <xdr:to>
      <xdr:col>12</xdr:col>
      <xdr:colOff>583075</xdr:colOff>
      <xdr:row>198</xdr:row>
      <xdr:rowOff>50571</xdr:rowOff>
    </xdr:to>
    <xdr:grpSp>
      <xdr:nvGrpSpPr>
        <xdr:cNvPr id="995" name="Group 994">
          <a:extLst>
            <a:ext uri="{FF2B5EF4-FFF2-40B4-BE49-F238E27FC236}">
              <a16:creationId xmlns:a16="http://schemas.microsoft.com/office/drawing/2014/main" id="{F95B346E-B822-481F-8244-2CB324BF6DB7}"/>
            </a:ext>
          </a:extLst>
        </xdr:cNvPr>
        <xdr:cNvGrpSpPr/>
      </xdr:nvGrpSpPr>
      <xdr:grpSpPr>
        <a:xfrm rot="776675">
          <a:off x="7688662" y="40169602"/>
          <a:ext cx="296699" cy="253362"/>
          <a:chOff x="3927232" y="6117981"/>
          <a:chExt cx="351692" cy="416361"/>
        </a:xfrm>
      </xdr:grpSpPr>
      <xdr:cxnSp macro="">
        <xdr:nvCxnSpPr>
          <xdr:cNvPr id="996" name="Straight Connector 995">
            <a:extLst>
              <a:ext uri="{FF2B5EF4-FFF2-40B4-BE49-F238E27FC236}">
                <a16:creationId xmlns:a16="http://schemas.microsoft.com/office/drawing/2014/main" id="{AE8F2B1C-ADD6-071D-FDC1-578D2C080D5A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97" name="Straight Connector 996">
            <a:extLst>
              <a:ext uri="{FF2B5EF4-FFF2-40B4-BE49-F238E27FC236}">
                <a16:creationId xmlns:a16="http://schemas.microsoft.com/office/drawing/2014/main" id="{7969FB3F-75B4-17EA-B498-0386F9F4C5E5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695325</xdr:colOff>
      <xdr:row>23</xdr:row>
      <xdr:rowOff>0</xdr:rowOff>
    </xdr:from>
    <xdr:to>
      <xdr:col>5</xdr:col>
      <xdr:colOff>137886</xdr:colOff>
      <xdr:row>23</xdr:row>
      <xdr:rowOff>149459</xdr:rowOff>
    </xdr:to>
    <xdr:grpSp>
      <xdr:nvGrpSpPr>
        <xdr:cNvPr id="1000" name="Group 999">
          <a:extLst>
            <a:ext uri="{FF2B5EF4-FFF2-40B4-BE49-F238E27FC236}">
              <a16:creationId xmlns:a16="http://schemas.microsoft.com/office/drawing/2014/main" id="{E6EC1847-A1B8-4CB7-8C94-CA6168711319}"/>
            </a:ext>
          </a:extLst>
        </xdr:cNvPr>
        <xdr:cNvGrpSpPr/>
      </xdr:nvGrpSpPr>
      <xdr:grpSpPr>
        <a:xfrm>
          <a:off x="2328182" y="4653643"/>
          <a:ext cx="163740" cy="1494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01" name="Oval 1000">
            <a:extLst>
              <a:ext uri="{FF2B5EF4-FFF2-40B4-BE49-F238E27FC236}">
                <a16:creationId xmlns:a16="http://schemas.microsoft.com/office/drawing/2014/main" id="{7BC91F11-2650-E671-1B68-36E11C2A751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800" b="0"/>
          </a:p>
        </xdr:txBody>
      </xdr:sp>
      <xdr:cxnSp macro="">
        <xdr:nvCxnSpPr>
          <xdr:cNvPr id="1002" name="Straight Connector 1001">
            <a:extLst>
              <a:ext uri="{FF2B5EF4-FFF2-40B4-BE49-F238E27FC236}">
                <a16:creationId xmlns:a16="http://schemas.microsoft.com/office/drawing/2014/main" id="{6A34312D-F1EA-149C-6A49-77C3AA0726D3}"/>
              </a:ext>
            </a:extLst>
          </xdr:cNvPr>
          <xdr:cNvCxnSpPr>
            <a:stCxn id="1001" idx="1"/>
            <a:endCxn id="100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3" name="Straight Connector 1002">
            <a:extLst>
              <a:ext uri="{FF2B5EF4-FFF2-40B4-BE49-F238E27FC236}">
                <a16:creationId xmlns:a16="http://schemas.microsoft.com/office/drawing/2014/main" id="{395CF514-9023-32A5-E3BC-15D0EA4DAF9C}"/>
              </a:ext>
            </a:extLst>
          </xdr:cNvPr>
          <xdr:cNvCxnSpPr>
            <a:stCxn id="1001" idx="3"/>
            <a:endCxn id="100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219075</xdr:colOff>
      <xdr:row>24</xdr:row>
      <xdr:rowOff>76200</xdr:rowOff>
    </xdr:from>
    <xdr:to>
      <xdr:col>5</xdr:col>
      <xdr:colOff>147863</xdr:colOff>
      <xdr:row>26</xdr:row>
      <xdr:rowOff>161925</xdr:rowOff>
    </xdr:to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5B55AAE5-F76D-4577-BF4C-0CB6AC013B5D}"/>
            </a:ext>
          </a:extLst>
        </xdr:cNvPr>
        <xdr:cNvSpPr txBox="1"/>
      </xdr:nvSpPr>
      <xdr:spPr>
        <a:xfrm>
          <a:off x="1838325" y="4838700"/>
          <a:ext cx="643163" cy="4857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>
              <a:solidFill>
                <a:schemeClr val="tx1"/>
              </a:solidFill>
            </a:rPr>
            <a:t>1 C11-200</a:t>
          </a:r>
        </a:p>
        <a:p>
          <a:r>
            <a:rPr lang="en-ID" sz="800" b="0">
              <a:solidFill>
                <a:schemeClr val="tx1"/>
              </a:solidFill>
            </a:rPr>
            <a:t>1</a:t>
          </a:r>
          <a:r>
            <a:rPr lang="en-ID" sz="800" b="0" baseline="0">
              <a:solidFill>
                <a:schemeClr val="tx1"/>
              </a:solidFill>
            </a:rPr>
            <a:t> P12C-2</a:t>
          </a:r>
        </a:p>
        <a:p>
          <a:r>
            <a:rPr lang="en-ID" sz="800" b="0" baseline="0">
              <a:solidFill>
                <a:schemeClr val="tx1"/>
              </a:solidFill>
            </a:rPr>
            <a:t>1 CC1A</a:t>
          </a:r>
          <a:endParaRPr lang="en-ID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628650</xdr:colOff>
      <xdr:row>22</xdr:row>
      <xdr:rowOff>161925</xdr:rowOff>
    </xdr:from>
    <xdr:to>
      <xdr:col>5</xdr:col>
      <xdr:colOff>148735</xdr:colOff>
      <xdr:row>23</xdr:row>
      <xdr:rowOff>136840</xdr:rowOff>
    </xdr:to>
    <xdr:grpSp>
      <xdr:nvGrpSpPr>
        <xdr:cNvPr id="1005" name="Group 1004">
          <a:extLst>
            <a:ext uri="{FF2B5EF4-FFF2-40B4-BE49-F238E27FC236}">
              <a16:creationId xmlns:a16="http://schemas.microsoft.com/office/drawing/2014/main" id="{5A5C2A84-8D4C-4D0F-BBAA-5E136B7DE39C}"/>
            </a:ext>
          </a:extLst>
        </xdr:cNvPr>
        <xdr:cNvGrpSpPr/>
      </xdr:nvGrpSpPr>
      <xdr:grpSpPr>
        <a:xfrm>
          <a:off x="2261507" y="4611461"/>
          <a:ext cx="241264" cy="179022"/>
          <a:chOff x="3927232" y="6117981"/>
          <a:chExt cx="351692" cy="416361"/>
        </a:xfrm>
      </xdr:grpSpPr>
      <xdr:cxnSp macro="">
        <xdr:nvCxnSpPr>
          <xdr:cNvPr id="1006" name="Straight Connector 1005">
            <a:extLst>
              <a:ext uri="{FF2B5EF4-FFF2-40B4-BE49-F238E27FC236}">
                <a16:creationId xmlns:a16="http://schemas.microsoft.com/office/drawing/2014/main" id="{972137DE-F8C2-7814-6F34-0F1D24064AE1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07" name="Straight Connector 1006">
            <a:extLst>
              <a:ext uri="{FF2B5EF4-FFF2-40B4-BE49-F238E27FC236}">
                <a16:creationId xmlns:a16="http://schemas.microsoft.com/office/drawing/2014/main" id="{D7B7C132-9A69-4856-0F6C-C8E4DC5F9F27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161925</xdr:colOff>
      <xdr:row>24</xdr:row>
      <xdr:rowOff>76199</xdr:rowOff>
    </xdr:from>
    <xdr:to>
      <xdr:col>5</xdr:col>
      <xdr:colOff>47625</xdr:colOff>
      <xdr:row>26</xdr:row>
      <xdr:rowOff>180974</xdr:rowOff>
    </xdr:to>
    <xdr:grpSp>
      <xdr:nvGrpSpPr>
        <xdr:cNvPr id="1008" name="Group 1007">
          <a:extLst>
            <a:ext uri="{FF2B5EF4-FFF2-40B4-BE49-F238E27FC236}">
              <a16:creationId xmlns:a16="http://schemas.microsoft.com/office/drawing/2014/main" id="{09689066-7169-41F5-B67F-7E2BD40B3348}"/>
            </a:ext>
          </a:extLst>
        </xdr:cNvPr>
        <xdr:cNvGrpSpPr/>
      </xdr:nvGrpSpPr>
      <xdr:grpSpPr>
        <a:xfrm>
          <a:off x="1794782" y="4933949"/>
          <a:ext cx="606879" cy="512989"/>
          <a:chOff x="3927232" y="6117981"/>
          <a:chExt cx="351692" cy="416361"/>
        </a:xfrm>
      </xdr:grpSpPr>
      <xdr:cxnSp macro="">
        <xdr:nvCxnSpPr>
          <xdr:cNvPr id="1009" name="Straight Connector 1008">
            <a:extLst>
              <a:ext uri="{FF2B5EF4-FFF2-40B4-BE49-F238E27FC236}">
                <a16:creationId xmlns:a16="http://schemas.microsoft.com/office/drawing/2014/main" id="{D8B1C690-2EB5-B879-1F39-2762618BD3DF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10" name="Straight Connector 1009">
            <a:extLst>
              <a:ext uri="{FF2B5EF4-FFF2-40B4-BE49-F238E27FC236}">
                <a16:creationId xmlns:a16="http://schemas.microsoft.com/office/drawing/2014/main" id="{498E753E-8CCD-822E-B1AA-37C51A6474FD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100853</xdr:colOff>
      <xdr:row>86</xdr:row>
      <xdr:rowOff>112059</xdr:rowOff>
    </xdr:from>
    <xdr:to>
      <xdr:col>6</xdr:col>
      <xdr:colOff>45077</xdr:colOff>
      <xdr:row>89</xdr:row>
      <xdr:rowOff>33618</xdr:rowOff>
    </xdr:to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F0C180AE-D0CA-4BD6-A7E9-C57BB92E5B42}"/>
            </a:ext>
          </a:extLst>
        </xdr:cNvPr>
        <xdr:cNvSpPr txBox="1"/>
      </xdr:nvSpPr>
      <xdr:spPr>
        <a:xfrm>
          <a:off x="2454088" y="17413941"/>
          <a:ext cx="661401" cy="52667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156882</xdr:colOff>
      <xdr:row>86</xdr:row>
      <xdr:rowOff>145677</xdr:rowOff>
    </xdr:from>
    <xdr:to>
      <xdr:col>7</xdr:col>
      <xdr:colOff>101107</xdr:colOff>
      <xdr:row>89</xdr:row>
      <xdr:rowOff>67236</xdr:rowOff>
    </xdr:to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27A22166-AC72-417A-861B-7DDFA42643AF}"/>
            </a:ext>
          </a:extLst>
        </xdr:cNvPr>
        <xdr:cNvSpPr txBox="1"/>
      </xdr:nvSpPr>
      <xdr:spPr>
        <a:xfrm>
          <a:off x="3227294" y="17447559"/>
          <a:ext cx="661401" cy="52667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 b="0">
              <a:solidFill>
                <a:srgbClr val="FF0000"/>
              </a:solidFill>
            </a:rPr>
            <a:t>1 C12-200</a:t>
          </a:r>
        </a:p>
        <a:p>
          <a:r>
            <a:rPr lang="en-ID" sz="800" b="0" baseline="0">
              <a:solidFill>
                <a:srgbClr val="FF0000"/>
              </a:solidFill>
            </a:rPr>
            <a:t>1 CC1A</a:t>
          </a:r>
        </a:p>
        <a:p>
          <a:r>
            <a:rPr lang="en-ID" sz="800" b="0" baseline="0">
              <a:solidFill>
                <a:srgbClr val="FF0000"/>
              </a:solidFill>
            </a:rPr>
            <a:t>1 CM2-12</a:t>
          </a:r>
          <a:endParaRPr lang="en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358589</xdr:colOff>
      <xdr:row>80</xdr:row>
      <xdr:rowOff>145677</xdr:rowOff>
    </xdr:from>
    <xdr:to>
      <xdr:col>6</xdr:col>
      <xdr:colOff>112059</xdr:colOff>
      <xdr:row>82</xdr:row>
      <xdr:rowOff>64841</xdr:rowOff>
    </xdr:to>
    <xdr:grpSp>
      <xdr:nvGrpSpPr>
        <xdr:cNvPr id="1013" name="Group 1012">
          <a:extLst>
            <a:ext uri="{FF2B5EF4-FFF2-40B4-BE49-F238E27FC236}">
              <a16:creationId xmlns:a16="http://schemas.microsoft.com/office/drawing/2014/main" id="{6282B732-8795-435D-92F1-B59BFC1E841E}"/>
            </a:ext>
          </a:extLst>
        </xdr:cNvPr>
        <xdr:cNvGrpSpPr/>
      </xdr:nvGrpSpPr>
      <xdr:grpSpPr>
        <a:xfrm>
          <a:off x="2712625" y="16433427"/>
          <a:ext cx="474648" cy="327378"/>
          <a:chOff x="3927232" y="6117981"/>
          <a:chExt cx="351692" cy="416361"/>
        </a:xfrm>
      </xdr:grpSpPr>
      <xdr:cxnSp macro="">
        <xdr:nvCxnSpPr>
          <xdr:cNvPr id="1014" name="Straight Connector 1013">
            <a:extLst>
              <a:ext uri="{FF2B5EF4-FFF2-40B4-BE49-F238E27FC236}">
                <a16:creationId xmlns:a16="http://schemas.microsoft.com/office/drawing/2014/main" id="{FD39D4F1-4043-F97B-144E-B7153448BCB3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15" name="Straight Connector 1014">
            <a:extLst>
              <a:ext uri="{FF2B5EF4-FFF2-40B4-BE49-F238E27FC236}">
                <a16:creationId xmlns:a16="http://schemas.microsoft.com/office/drawing/2014/main" id="{CA90DB96-E30A-4688-1134-563A0E0FA6E0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533401</xdr:colOff>
      <xdr:row>80</xdr:row>
      <xdr:rowOff>174812</xdr:rowOff>
    </xdr:from>
    <xdr:to>
      <xdr:col>7</xdr:col>
      <xdr:colOff>286872</xdr:colOff>
      <xdr:row>82</xdr:row>
      <xdr:rowOff>93976</xdr:rowOff>
    </xdr:to>
    <xdr:grpSp>
      <xdr:nvGrpSpPr>
        <xdr:cNvPr id="1016" name="Group 1015">
          <a:extLst>
            <a:ext uri="{FF2B5EF4-FFF2-40B4-BE49-F238E27FC236}">
              <a16:creationId xmlns:a16="http://schemas.microsoft.com/office/drawing/2014/main" id="{8C4A4F30-901B-4BE8-BBFF-D653C20AAE8D}"/>
            </a:ext>
          </a:extLst>
        </xdr:cNvPr>
        <xdr:cNvGrpSpPr/>
      </xdr:nvGrpSpPr>
      <xdr:grpSpPr>
        <a:xfrm>
          <a:off x="3608615" y="16462562"/>
          <a:ext cx="474650" cy="327378"/>
          <a:chOff x="3927232" y="6117981"/>
          <a:chExt cx="351692" cy="416361"/>
        </a:xfrm>
      </xdr:grpSpPr>
      <xdr:cxnSp macro="">
        <xdr:nvCxnSpPr>
          <xdr:cNvPr id="1017" name="Straight Connector 1016">
            <a:extLst>
              <a:ext uri="{FF2B5EF4-FFF2-40B4-BE49-F238E27FC236}">
                <a16:creationId xmlns:a16="http://schemas.microsoft.com/office/drawing/2014/main" id="{65AF765B-DA43-F807-2AAE-D302901B348B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18" name="Straight Connector 1017">
            <a:extLst>
              <a:ext uri="{FF2B5EF4-FFF2-40B4-BE49-F238E27FC236}">
                <a16:creationId xmlns:a16="http://schemas.microsoft.com/office/drawing/2014/main" id="{5C11126D-BF68-F464-F7AD-C5D97327EAFE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571500</xdr:colOff>
      <xdr:row>83</xdr:row>
      <xdr:rowOff>134470</xdr:rowOff>
    </xdr:from>
    <xdr:to>
      <xdr:col>6</xdr:col>
      <xdr:colOff>88287</xdr:colOff>
      <xdr:row>85</xdr:row>
      <xdr:rowOff>37826</xdr:rowOff>
    </xdr:to>
    <xdr:grpSp>
      <xdr:nvGrpSpPr>
        <xdr:cNvPr id="1019" name="Group 1018">
          <a:extLst>
            <a:ext uri="{FF2B5EF4-FFF2-40B4-BE49-F238E27FC236}">
              <a16:creationId xmlns:a16="http://schemas.microsoft.com/office/drawing/2014/main" id="{93E356F6-1C80-4C0B-96A7-D2CFB024B0AA}"/>
            </a:ext>
          </a:extLst>
        </xdr:cNvPr>
        <xdr:cNvGrpSpPr/>
      </xdr:nvGrpSpPr>
      <xdr:grpSpPr>
        <a:xfrm>
          <a:off x="2925536" y="17034541"/>
          <a:ext cx="237965" cy="311571"/>
          <a:chOff x="3927232" y="6117981"/>
          <a:chExt cx="351692" cy="416361"/>
        </a:xfrm>
      </xdr:grpSpPr>
      <xdr:cxnSp macro="">
        <xdr:nvCxnSpPr>
          <xdr:cNvPr id="1020" name="Straight Connector 1019">
            <a:extLst>
              <a:ext uri="{FF2B5EF4-FFF2-40B4-BE49-F238E27FC236}">
                <a16:creationId xmlns:a16="http://schemas.microsoft.com/office/drawing/2014/main" id="{27D7E653-00F4-5B04-51F3-DE2A007C618B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21" name="Straight Connector 1020">
            <a:extLst>
              <a:ext uri="{FF2B5EF4-FFF2-40B4-BE49-F238E27FC236}">
                <a16:creationId xmlns:a16="http://schemas.microsoft.com/office/drawing/2014/main" id="{5AC3A389-2DE9-6C4B-1031-3B3314401A46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667870</xdr:colOff>
      <xdr:row>83</xdr:row>
      <xdr:rowOff>163606</xdr:rowOff>
    </xdr:from>
    <xdr:to>
      <xdr:col>7</xdr:col>
      <xdr:colOff>184658</xdr:colOff>
      <xdr:row>85</xdr:row>
      <xdr:rowOff>66962</xdr:rowOff>
    </xdr:to>
    <xdr:grpSp>
      <xdr:nvGrpSpPr>
        <xdr:cNvPr id="1022" name="Group 1021">
          <a:extLst>
            <a:ext uri="{FF2B5EF4-FFF2-40B4-BE49-F238E27FC236}">
              <a16:creationId xmlns:a16="http://schemas.microsoft.com/office/drawing/2014/main" id="{E195380D-1AB4-4C79-B33F-4BF64B7BB917}"/>
            </a:ext>
          </a:extLst>
        </xdr:cNvPr>
        <xdr:cNvGrpSpPr/>
      </xdr:nvGrpSpPr>
      <xdr:grpSpPr>
        <a:xfrm>
          <a:off x="3743084" y="17063677"/>
          <a:ext cx="237967" cy="311571"/>
          <a:chOff x="3927232" y="6117981"/>
          <a:chExt cx="351692" cy="416361"/>
        </a:xfrm>
      </xdr:grpSpPr>
      <xdr:cxnSp macro="">
        <xdr:nvCxnSpPr>
          <xdr:cNvPr id="1023" name="Straight Connector 1022">
            <a:extLst>
              <a:ext uri="{FF2B5EF4-FFF2-40B4-BE49-F238E27FC236}">
                <a16:creationId xmlns:a16="http://schemas.microsoft.com/office/drawing/2014/main" id="{63D1FD53-DFF9-006F-4293-628892BE0E8F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24" name="Straight Connector 1023">
            <a:extLst>
              <a:ext uri="{FF2B5EF4-FFF2-40B4-BE49-F238E27FC236}">
                <a16:creationId xmlns:a16="http://schemas.microsoft.com/office/drawing/2014/main" id="{F9F2D93F-761B-9B33-B35A-27BB60F5EF11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244928</xdr:colOff>
      <xdr:row>155</xdr:row>
      <xdr:rowOff>40821</xdr:rowOff>
    </xdr:from>
    <xdr:to>
      <xdr:col>12</xdr:col>
      <xdr:colOff>614333</xdr:colOff>
      <xdr:row>155</xdr:row>
      <xdr:rowOff>45919</xdr:rowOff>
    </xdr:to>
    <xdr:cxnSp macro="">
      <xdr:nvCxnSpPr>
        <xdr:cNvPr id="1030" name="Straight Connector 1029">
          <a:extLst>
            <a:ext uri="{FF2B5EF4-FFF2-40B4-BE49-F238E27FC236}">
              <a16:creationId xmlns:a16="http://schemas.microsoft.com/office/drawing/2014/main" id="{FBAFEA50-952E-4341-A660-F471C3B05C5E}"/>
            </a:ext>
          </a:extLst>
        </xdr:cNvPr>
        <xdr:cNvCxnSpPr/>
      </xdr:nvCxnSpPr>
      <xdr:spPr>
        <a:xfrm flipH="1">
          <a:off x="7647214" y="31636607"/>
          <a:ext cx="369405" cy="5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625928</xdr:colOff>
      <xdr:row>151</xdr:row>
      <xdr:rowOff>54428</xdr:rowOff>
    </xdr:from>
    <xdr:to>
      <xdr:col>13</xdr:col>
      <xdr:colOff>21399</xdr:colOff>
      <xdr:row>153</xdr:row>
      <xdr:rowOff>27285</xdr:rowOff>
    </xdr:to>
    <xdr:cxnSp macro="">
      <xdr:nvCxnSpPr>
        <xdr:cNvPr id="1031" name="Straight Connector 1030">
          <a:extLst>
            <a:ext uri="{FF2B5EF4-FFF2-40B4-BE49-F238E27FC236}">
              <a16:creationId xmlns:a16="http://schemas.microsoft.com/office/drawing/2014/main" id="{CF243D00-D54F-4FF8-9DE4-053C72D28F70}"/>
            </a:ext>
          </a:extLst>
        </xdr:cNvPr>
        <xdr:cNvCxnSpPr/>
      </xdr:nvCxnSpPr>
      <xdr:spPr>
        <a:xfrm flipH="1">
          <a:off x="8028214" y="30833785"/>
          <a:ext cx="116649" cy="38107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530677</xdr:colOff>
      <xdr:row>151</xdr:row>
      <xdr:rowOff>95249</xdr:rowOff>
    </xdr:from>
    <xdr:to>
      <xdr:col>12</xdr:col>
      <xdr:colOff>703318</xdr:colOff>
      <xdr:row>152</xdr:row>
      <xdr:rowOff>111102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6E80FFC3-FFC1-463B-81B2-1FC03C892D9C}"/>
            </a:ext>
          </a:extLst>
        </xdr:cNvPr>
        <xdr:cNvSpPr txBox="1"/>
      </xdr:nvSpPr>
      <xdr:spPr>
        <a:xfrm>
          <a:off x="7932963" y="30874606"/>
          <a:ext cx="172641" cy="2199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200" b="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7</xdr:col>
      <xdr:colOff>618898</xdr:colOff>
      <xdr:row>203</xdr:row>
      <xdr:rowOff>65031</xdr:rowOff>
    </xdr:from>
    <xdr:to>
      <xdr:col>8</xdr:col>
      <xdr:colOff>147432</xdr:colOff>
      <xdr:row>205</xdr:row>
      <xdr:rowOff>12268</xdr:rowOff>
    </xdr:to>
    <xdr:grpSp>
      <xdr:nvGrpSpPr>
        <xdr:cNvPr id="1033" name="Group 1032">
          <a:extLst>
            <a:ext uri="{FF2B5EF4-FFF2-40B4-BE49-F238E27FC236}">
              <a16:creationId xmlns:a16="http://schemas.microsoft.com/office/drawing/2014/main" id="{045FB6B5-4BE9-4C96-A62D-6E7FFE2A3949}"/>
            </a:ext>
          </a:extLst>
        </xdr:cNvPr>
        <xdr:cNvGrpSpPr/>
      </xdr:nvGrpSpPr>
      <xdr:grpSpPr>
        <a:xfrm rot="21282593">
          <a:off x="4415291" y="41457960"/>
          <a:ext cx="249712" cy="355451"/>
          <a:chOff x="3927232" y="6117981"/>
          <a:chExt cx="351692" cy="416361"/>
        </a:xfrm>
      </xdr:grpSpPr>
      <xdr:cxnSp macro="">
        <xdr:nvCxnSpPr>
          <xdr:cNvPr id="1034" name="Straight Connector 1033">
            <a:extLst>
              <a:ext uri="{FF2B5EF4-FFF2-40B4-BE49-F238E27FC236}">
                <a16:creationId xmlns:a16="http://schemas.microsoft.com/office/drawing/2014/main" id="{E580B9DC-12CF-49AC-D362-6D6F9631575E}"/>
              </a:ext>
            </a:extLst>
          </xdr:cNvPr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35" name="Straight Connector 1034">
            <a:extLst>
              <a:ext uri="{FF2B5EF4-FFF2-40B4-BE49-F238E27FC236}">
                <a16:creationId xmlns:a16="http://schemas.microsoft.com/office/drawing/2014/main" id="{81033726-214F-12D7-0DAA-4981BEF5AD87}"/>
              </a:ext>
            </a:extLst>
          </xdr:cNvPr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638225</xdr:colOff>
      <xdr:row>201</xdr:row>
      <xdr:rowOff>47092</xdr:rowOff>
    </xdr:from>
    <xdr:to>
      <xdr:col>8</xdr:col>
      <xdr:colOff>89688</xdr:colOff>
      <xdr:row>202</xdr:row>
      <xdr:rowOff>62945</xdr:rowOff>
    </xdr:to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297638EF-8F4B-4C7C-80B3-5ECF5A049AF3}"/>
            </a:ext>
          </a:extLst>
        </xdr:cNvPr>
        <xdr:cNvSpPr txBox="1"/>
      </xdr:nvSpPr>
      <xdr:spPr>
        <a:xfrm>
          <a:off x="4434618" y="41031806"/>
          <a:ext cx="172641" cy="2199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200" b="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7</xdr:col>
      <xdr:colOff>693964</xdr:colOff>
      <xdr:row>201</xdr:row>
      <xdr:rowOff>0</xdr:rowOff>
    </xdr:from>
    <xdr:to>
      <xdr:col>8</xdr:col>
      <xdr:colOff>89435</xdr:colOff>
      <xdr:row>202</xdr:row>
      <xdr:rowOff>176964</xdr:rowOff>
    </xdr:to>
    <xdr:cxnSp macro="">
      <xdr:nvCxnSpPr>
        <xdr:cNvPr id="1038" name="Straight Connector 1037">
          <a:extLst>
            <a:ext uri="{FF2B5EF4-FFF2-40B4-BE49-F238E27FC236}">
              <a16:creationId xmlns:a16="http://schemas.microsoft.com/office/drawing/2014/main" id="{54DA21A6-EDD5-4DE7-871E-A56D89EF6723}"/>
            </a:ext>
          </a:extLst>
        </xdr:cNvPr>
        <xdr:cNvCxnSpPr/>
      </xdr:nvCxnSpPr>
      <xdr:spPr>
        <a:xfrm flipH="1">
          <a:off x="4490357" y="40984714"/>
          <a:ext cx="116649" cy="38107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 editAs="oneCell">
    <xdr:from>
      <xdr:col>9</xdr:col>
      <xdr:colOff>86593</xdr:colOff>
      <xdr:row>10</xdr:row>
      <xdr:rowOff>86589</xdr:rowOff>
    </xdr:from>
    <xdr:to>
      <xdr:col>21</xdr:col>
      <xdr:colOff>432955</xdr:colOff>
      <xdr:row>62</xdr:row>
      <xdr:rowOff>123964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2B1B9B-8A36-D583-EE5D-AA74EF70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5638" y="1610589"/>
          <a:ext cx="7619999" cy="8142284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190501</xdr:colOff>
      <xdr:row>9</xdr:row>
      <xdr:rowOff>0</xdr:rowOff>
    </xdr:from>
    <xdr:to>
      <xdr:col>17</xdr:col>
      <xdr:colOff>556980</xdr:colOff>
      <xdr:row>50</xdr:row>
      <xdr:rowOff>1758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B3A573-4D67-9D66-30CF-24EAE760A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7228" y="1558636"/>
          <a:ext cx="7640116" cy="63921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7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12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162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69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11889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240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21</v>
      </c>
      <c r="G20" s="41">
        <f ca="1">IF(ISERROR(OFFSET('HARGA SATUAN'!$I$6,MATCH(C20,'HARGA SATUAN'!$C$7:$C$1492,0),0)),"",OFFSET('HARGA SATUAN'!$I$6,MATCH(C20,'HARGA SATUAN'!$C$7:$C$1492,0),0))</f>
        <v>36900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3</v>
      </c>
      <c r="G21" s="41">
        <f ca="1">IF(ISERROR(OFFSET('HARGA SATUAN'!$I$6,MATCH(C21,'HARGA SATUAN'!$C$7:$C$1492,0),0)),"",OFFSET('HARGA SATUAN'!$I$6,MATCH(C21,'HARGA SATUAN'!$C$7:$C$1492,0),0))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Kabel NYY 1 x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44</v>
      </c>
      <c r="G22" s="41">
        <f ca="1">IF(ISERROR(OFFSET('HARGA SATUAN'!$I$6,MATCH(C22,'HARGA SATUAN'!$C$7:$C$1492,0),0)),"",OFFSET('HARGA SATUAN'!$I$6,MATCH(C22,'HARGA SATUAN'!$C$7:$C$1492,0),0))</f>
        <v>94700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Modem 3G/4G</v>
      </c>
      <c r="D23" s="101" t="str">
        <f ca="1">IF(ISERROR(OFFSET('HARGA SATUAN'!$D$6,MATCH(C23,'HARGA SATUAN'!$C$7:$C$1492,0),0)),"",OFFSET('HARGA SATUAN'!$D$6,MATCH(C23,'HARGA SATUAN'!$C$7:$C$1492,0),0))</f>
        <v>HDW</v>
      </c>
      <c r="E23" s="101" t="str">
        <f ca="1">IF(B23="+","Unit",IF(ISERROR(OFFSET('HARGA SATUAN'!$E$6,MATCH(C23,'HARGA SATUAN'!$C$7:$C$1492,0),0)),"",OFFSET('HARGA SATUAN'!$E$6,MATCH(C23,'HARGA SATUAN'!$C$7:$C$1492,0),0)))</f>
        <v>Unit</v>
      </c>
      <c r="F23" s="138">
        <f t="shared" ca="1" si="2"/>
        <v>1</v>
      </c>
      <c r="G23" s="41">
        <f ca="1">IF(ISERROR(OFFSET('HARGA SATUAN'!$I$6,MATCH(C23,'HARGA SATUAN'!$C$7:$C$1492,0),0)),"",OFFSET('HARGA SATUAN'!$I$6,MATCH(C23,'HARGA SATUAN'!$C$7:$C$1492,0),0))</f>
        <v>1113900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SUMIFS(RAB!$F$14:$F$346,RAB!$C$14:$C$346,C714)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SUMIFS(RAB!$F$14:$F$346,RAB!$C$14:$C$346,C715)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SUMIFS(RAB!$F$14:$F$346,RAB!$C$14:$C$346,C716)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SUMIFS(RAB!$F$14:$F$346,RAB!$C$14:$C$346,C717)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SUMIFS(RAB!$F$14:$F$346,RAB!$C$14:$C$346,C718)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SUMIFS(RAB!$F$14:$F$346,RAB!$C$14:$C$346,C719)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SUMIFS(RAB!$F$14:$F$346,RAB!$C$14:$C$346,C720)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SUMIFS(RAB!$F$14:$F$346,RAB!$C$14:$C$346,C721)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SUMIFS(RAB!$F$14:$F$346,RAB!$C$14:$C$346,C722)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SUMIFS(RAB!$F$14:$F$346,RAB!$C$14:$C$346,C723)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SUMIFS(RAB!$F$14:$F$346,RAB!$C$14:$C$346,C724)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SUMIFS(RAB!$F$14:$F$346,RAB!$C$14:$C$346,C725)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SUMIFS(RAB!$F$14:$F$346,RAB!$C$14:$C$346,C726)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SUMIFS(RAB!$F$14:$F$346,RAB!$C$14:$C$346,C727)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SUMIFS(RAB!$F$14:$F$346,RAB!$C$14:$C$346,C728)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SUMIFS(RAB!$F$14:$F$346,RAB!$C$14:$C$346,C729)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SUMIFS(RAB!$F$14:$F$346,RAB!$C$14:$C$346,C730)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SUMIFS(RAB!$F$14:$F$346,RAB!$C$14:$C$346,C731)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SUMIFS(RAB!$F$14:$F$346,RAB!$C$14:$C$346,C732)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SUMIFS(RAB!$F$14:$F$346,RAB!$C$14:$C$346,C733)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SUMIFS(RAB!$F$14:$F$346,RAB!$C$14:$C$346,C734)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SUMIFS(RAB!$F$14:$F$346,RAB!$C$14:$C$346,C735)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SUMIFS(RAB!$F$14:$F$346,RAB!$C$14:$C$346,C736)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SUMIFS(RAB!$F$14:$F$346,RAB!$C$14:$C$346,C737)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SUMIFS(RAB!$F$14:$F$346,RAB!$C$14:$C$346,C738)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SUMIFS(RAB!$F$14:$F$346,RAB!$C$14:$C$346,C739)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SUMIFS(RAB!$F$14:$F$346,RAB!$C$14:$C$346,C740)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SUMIFS(RAB!$F$14:$F$346,RAB!$C$14:$C$346,C741)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SUMIFS(RAB!$F$14:$F$346,RAB!$C$14:$C$346,C742)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SUMIFS(RAB!$F$14:$F$346,RAB!$C$14:$C$346,C743)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SUMIFS(RAB!$F$14:$F$346,RAB!$C$14:$C$346,C744)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SUMIFS(RAB!$F$14:$F$346,RAB!$C$14:$C$346,C745)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SUMIFS(RAB!$F$14:$F$346,RAB!$C$14:$C$346,C746)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SUMIFS(RAB!$F$14:$F$346,RAB!$C$14:$C$346,C747)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SUMIFS(RAB!$F$14:$F$346,RAB!$C$14:$C$346,C748)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SUMIFS(RAB!$F$14:$F$346,RAB!$C$14:$C$346,C749)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SUMIFS(RAB!$F$14:$F$346,RAB!$C$14:$C$346,C750)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SUMIFS(RAB!$F$14:$F$346,RAB!$C$14:$C$346,C751)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SUMIFS(RAB!$F$14:$F$346,RAB!$C$14:$C$346,C752)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SUMIFS(RAB!$F$14:$F$346,RAB!$C$14:$C$346,C753)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SUMIFS(RAB!$F$14:$F$346,RAB!$C$14:$C$346,C754)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SUMIFS(RAB!$F$14:$F$346,RAB!$C$14:$C$346,C755)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SUMIFS(RAB!$F$14:$F$346,RAB!$C$14:$C$346,C756)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SUMIFS(RAB!$F$14:$F$346,RAB!$C$14:$C$346,C757)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SUMIFS(RAB!$F$14:$F$346,RAB!$C$14:$C$346,C758)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SUMIFS(RAB!$F$14:$F$346,RAB!$C$14:$C$346,C759)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SUMIFS(RAB!$F$14:$F$346,RAB!$C$14:$C$346,C760)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SUMIFS(RAB!$F$14:$F$346,RAB!$C$14:$C$346,C761)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SUMIFS(RAB!$F$14:$F$346,RAB!$C$14:$C$346,C762)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SUMIFS(RAB!$F$14:$F$346,RAB!$C$14:$C$346,C763)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SUMIFS(RAB!$F$14:$F$346,RAB!$C$14:$C$346,C764)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SUMIFS(RAB!$F$14:$F$346,RAB!$C$14:$C$346,C765)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SUMIFS(RAB!$F$14:$F$346,RAB!$C$14:$C$346,C766)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SUMIFS(RAB!$F$14:$F$346,RAB!$C$14:$C$346,C767)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SUMIFS(RAB!$F$14:$F$346,RAB!$C$14:$C$346,C768)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SUMIFS(RAB!$F$14:$F$346,RAB!$C$14:$C$346,C769)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SUMIFS(RAB!$F$14:$F$346,RAB!$C$14:$C$346,C770)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SUMIFS(RAB!$F$14:$F$346,RAB!$C$14:$C$346,C771)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SUMIFS(RAB!$F$14:$F$346,RAB!$C$14:$C$346,C772)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SUMIFS(RAB!$F$14:$F$346,RAB!$C$14:$C$346,C773)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SUMIFS(RAB!$F$14:$F$346,RAB!$C$14:$C$346,C774)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SUMIFS(RAB!$F$14:$F$346,RAB!$C$14:$C$346,C775)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SUMIFS(RAB!$F$14:$F$346,RAB!$C$14:$C$346,C776)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SUMIFS(RAB!$F$14:$F$346,RAB!$C$14:$C$346,C777)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SUMIFS(RAB!$F$14:$F$346,RAB!$C$14:$C$346,C778)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SUMIFS(RAB!$F$14:$F$346,RAB!$C$14:$C$346,C779)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SUMIFS(RAB!$F$14:$F$346,RAB!$C$14:$C$346,C780)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SUMIFS(RAB!$F$14:$F$346,RAB!$C$14:$C$346,C781)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SUMIFS(RAB!$F$14:$F$346,RAB!$C$14:$C$346,C782)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SUMIFS(RAB!$F$14:$F$346,RAB!$C$14:$C$346,C783)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SUMIFS(RAB!$F$14:$F$346,RAB!$C$14:$C$346,C784)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SUMIFS(RAB!$F$14:$F$346,RAB!$C$14:$C$346,C785)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SUMIFS(RAB!$F$14:$F$346,RAB!$C$14:$C$346,C786)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SUMIFS(RAB!$F$14:$F$346,RAB!$C$14:$C$346,C787)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SUMIFS(RAB!$F$14:$F$346,RAB!$C$14:$C$346,C788)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SUMIFS(RAB!$F$14:$F$346,RAB!$C$14:$C$346,C789)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SUMIFS(RAB!$F$14:$F$346,RAB!$C$14:$C$346,C790)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SUMIFS(RAB!$F$14:$F$346,RAB!$C$14:$C$346,C791)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SUMIFS(RAB!$F$14:$F$346,RAB!$C$14:$C$346,C792)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SUMIFS(RAB!$F$14:$F$346,RAB!$C$14:$C$346,C793)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SUMIFS(RAB!$F$14:$F$346,RAB!$C$14:$C$346,C794)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SUMIFS(RAB!$F$14:$F$346,RAB!$C$14:$C$346,C795)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SUMIFS(RAB!$F$14:$F$346,RAB!$C$14:$C$346,C796)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SUMIFS(RAB!$F$14:$F$346,RAB!$C$14:$C$346,C797)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SUMIFS(RAB!$F$14:$F$346,RAB!$C$14:$C$346,C798)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SUMIFS(RAB!$F$14:$F$346,RAB!$C$14:$C$346,C799)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SUMIFS(RAB!$F$14:$F$346,RAB!$C$14:$C$346,C800)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SUMIFS(RAB!$F$14:$F$346,RAB!$C$14:$C$346,C801)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SUMIFS(RAB!$F$14:$F$346,RAB!$C$14:$C$346,C802)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SUMIFS(RAB!$F$14:$F$346,RAB!$C$14:$C$346,C803)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SUMIFS(RAB!$F$14:$F$346,RAB!$C$14:$C$346,C804)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SUMIFS(RAB!$F$14:$F$346,RAB!$C$14:$C$346,C805)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SUMIFS(RAB!$F$14:$F$346,RAB!$C$14:$C$346,C806)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SUMIFS(RAB!$F$14:$F$346,RAB!$C$14:$C$346,C807)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SUMIFS(RAB!$F$14:$F$346,RAB!$C$14:$C$346,C808)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SUMIFS(RAB!$F$14:$F$346,RAB!$C$14:$C$346,C809)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SUMIFS(RAB!$F$14:$F$346,RAB!$C$14:$C$346,C810)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SUMIFS(RAB!$F$14:$F$346,RAB!$C$14:$C$346,C811)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SUMIFS(RAB!$F$14:$F$346,RAB!$C$14:$C$346,C812)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SUMIFS(RAB!$F$14:$F$346,RAB!$C$14:$C$346,C813)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SUMIFS(RAB!$F$14:$F$346,RAB!$C$14:$C$346,C814)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SUMIFS(RAB!$F$14:$F$346,RAB!$C$14:$C$346,C815)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SUMIFS(RAB!$F$14:$F$346,RAB!$C$14:$C$346,C816)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SUMIFS(RAB!$F$14:$F$346,RAB!$C$14:$C$346,C817)</f>
        <v>7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SUMIFS(RAB!$F$14:$F$346,RAB!$C$14:$C$346,C818)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SUMIFS(RAB!$F$14:$F$346,RAB!$C$14:$C$346,C819)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SUMIFS(RAB!$F$14:$F$346,RAB!$C$14:$C$346,C820)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SUMIFS(RAB!$F$14:$F$346,RAB!$C$14:$C$346,C821)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SUMIFS(RAB!$F$14:$F$346,RAB!$C$14:$C$346,C822)</f>
        <v>12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SUMIFS(RAB!$F$14:$F$346,RAB!$C$14:$C$346,C823)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SUMIFS(RAB!$F$14:$F$346,RAB!$C$14:$C$346,C824)</f>
        <v>162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SUMIFS(RAB!$F$14:$F$346,RAB!$C$14:$C$346,C825)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SUMIFS(RAB!$F$14:$F$346,RAB!$C$14:$C$346,C826)</f>
        <v>69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SUMIFS(RAB!$F$14:$F$346,RAB!$C$14:$C$346,C827)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SUMIFS(RAB!$F$14:$F$346,RAB!$C$14:$C$346,C828)</f>
        <v>11889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SUMIFS(RAB!$F$14:$F$346,RAB!$C$14:$C$346,C829)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SUMIFS(RAB!$F$14:$F$346,RAB!$C$14:$C$346,C830)</f>
        <v>21</v>
      </c>
      <c r="E830" s="26">
        <f t="shared" ca="1" si="34"/>
        <v>1</v>
      </c>
      <c r="F830" s="26">
        <f ca="1">IF(D830=0,0,SUM($E$713:E830))</f>
        <v>9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SUMIFS(RAB!$F$14:$F$346,RAB!$C$14:$C$346,C831)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SUMIFS(RAB!$F$14:$F$346,RAB!$C$14:$C$346,C832)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SUMIFS(RAB!$F$14:$F$346,RAB!$C$14:$C$346,C833)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SUMIFS(RAB!$F$14:$F$346,RAB!$C$14:$C$346,C834)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SUMIFS(RAB!$F$14:$F$346,RAB!$C$14:$C$346,C835)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SUMIFS(RAB!$F$14:$F$346,RAB!$C$14:$C$346,C836)</f>
        <v>3</v>
      </c>
      <c r="E836" s="26">
        <f t="shared" ca="1" si="34"/>
        <v>1</v>
      </c>
      <c r="F836" s="26">
        <f ca="1">IF(D836=0,0,SUM($E$713:E836))</f>
        <v>10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SUMIFS(RAB!$F$14:$F$346,RAB!$C$14:$C$346,C837)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SUMIFS(RAB!$F$14:$F$346,RAB!$C$14:$C$346,C838)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SUMIFS(RAB!$F$14:$F$346,RAB!$C$14:$C$346,C839)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SUMIFS(RAB!$F$14:$F$346,RAB!$C$14:$C$346,C840)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SUMIFS(RAB!$F$14:$F$346,RAB!$C$14:$C$346,C841)</f>
        <v>44</v>
      </c>
      <c r="E841" s="26">
        <f t="shared" ca="1" si="34"/>
        <v>1</v>
      </c>
      <c r="F841" s="26">
        <f ca="1">IF(D841=0,0,SUM($E$713:E841))</f>
        <v>11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SUMIFS(RAB!$F$14:$F$346,RAB!$C$14:$C$346,C842)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SUMIFS(RAB!$F$14:$F$346,RAB!$C$14:$C$346,C843)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SUMIFS(RAB!$F$14:$F$346,RAB!$C$14:$C$346,C844)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SUMIFS(RAB!$F$14:$F$346,RAB!$C$14:$C$346,C845)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SUMIFS(RAB!$F$14:$F$346,RAB!$C$14:$C$346,C846)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SUMIFS(RAB!$F$14:$F$346,RAB!$C$14:$C$346,C847)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SUMIFS(RAB!$F$14:$F$346,RAB!$C$14:$C$346,C848)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SUMIFS(RAB!$F$14:$F$346,RAB!$C$14:$C$346,C849)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SUMIFS(RAB!$F$14:$F$346,RAB!$C$14:$C$346,C850)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SUMIFS(RAB!$F$14:$F$346,RAB!$C$14:$C$346,C851)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SUMIFS(RAB!$F$14:$F$346,RAB!$C$14:$C$346,C852)</f>
        <v>1</v>
      </c>
      <c r="E852" s="26">
        <f t="shared" ca="1" si="35"/>
        <v>1</v>
      </c>
      <c r="F852" s="26">
        <f ca="1">IF(D852=0,0,SUM($E$713:E852))</f>
        <v>12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SUMIFS(RAB!$F$14:$F$346,RAB!$C$14:$C$346,C853)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SUMIFS(RAB!$F$14:$F$346,RAB!$C$14:$C$346,C854)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SUMIFS(RAB!$F$14:$F$346,RAB!$C$14:$C$346,C855)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SUMIFS(RAB!$F$14:$F$346,RAB!$C$14:$C$346,C856)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SUMIFS(RAB!$F$14:$F$346,RAB!$C$14:$C$346,C857)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SUMIFS(RAB!$F$14:$F$346,RAB!$C$14:$C$346,C858)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SUMIFS(RAB!$F$14:$F$346,RAB!$C$14:$C$346,C859)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SUMIFS(RAB!$F$14:$F$346,RAB!$C$14:$C$346,C860)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SUMIFS(RAB!$F$14:$F$346,RAB!$C$14:$C$346,C861)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SUMIFS(RAB!$F$14:$F$346,RAB!$C$14:$C$346,C862)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SUMIFS(RAB!$F$14:$F$346,RAB!$C$14:$C$346,C863)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SUMIFS(RAB!$F$14:$F$346,RAB!$C$14:$C$346,C864)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SUMIFS(RAB!$F$14:$F$346,RAB!$C$14:$C$346,C865)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SUMIFS(RAB!$F$14:$F$346,RAB!$C$14:$C$346,C866)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SUMIFS(RAB!$F$14:$F$346,RAB!$C$14:$C$346,C867)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SUMIFS(RAB!$F$14:$F$346,RAB!$C$14:$C$346,C868)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SUMIFS(RAB!$F$14:$F$346,RAB!$C$14:$C$346,C869)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SUMIFS(RAB!$F$14:$F$346,RAB!$C$14:$C$346,C870)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SUMIFS(RAB!$F$14:$F$346,RAB!$C$14:$C$346,C871)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SUMIFS(RAB!$F$14:$F$346,RAB!$C$14:$C$346,C872)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SUMIFS(RAB!$F$14:$F$346,RAB!$C$14:$C$346,C873)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SUMIFS(RAB!$F$14:$F$346,RAB!$C$14:$C$346,C874)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SUMIFS(RAB!$F$14:$F$346,RAB!$C$14:$C$346,C875)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SUMIFS(RAB!$F$14:$F$346,RAB!$C$14:$C$346,C876)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SUMIFS(RAB!$F$14:$F$346,RAB!$C$14:$C$346,C877)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SUMIFS(RAB!$F$14:$F$346,RAB!$C$14:$C$346,C878)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SUMIFS(RAB!$F$14:$F$346,RAB!$C$14:$C$346,C879)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SUMIFS(RAB!$F$14:$F$346,RAB!$C$14:$C$346,C880)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SUMIFS(RAB!$F$14:$F$346,RAB!$C$14:$C$346,C881)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SUMIFS(RAB!$F$14:$F$346,RAB!$C$14:$C$346,C882)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SUMIFS(RAB!$F$14:$F$346,RAB!$C$14:$C$346,C883)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SUMIFS(RAB!$F$14:$F$346,RAB!$C$14:$C$346,C884)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SUMIFS(RAB!$F$14:$F$346,RAB!$C$14:$C$346,C885)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SUMIFS(RAB!$F$14:$F$346,RAB!$C$14:$C$346,C886)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SUMIFS(RAB!$F$14:$F$346,RAB!$C$14:$C$346,C887)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SUMIFS(RAB!$F$14:$F$346,RAB!$C$14:$C$346,C888)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SUMIFS(RAB!$F$14:$F$346,RAB!$C$14:$C$346,C889)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SUMIFS(RAB!$F$14:$F$346,RAB!$C$14:$C$346,C890)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SUMIFS(RAB!$F$14:$F$346,RAB!$C$14:$C$346,C891)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SUMIFS(RAB!$F$14:$F$346,RAB!$C$14:$C$346,C892)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SUMIFS(RAB!$F$14:$F$346,RAB!$C$14:$C$346,C893)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SUMIFS(RAB!$F$14:$F$346,RAB!$C$14:$C$346,C894)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SUMIFS(RAB!$F$14:$F$346,RAB!$C$14:$C$346,C895)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SUMIFS(RAB!$F$14:$F$346,RAB!$C$14:$C$346,C896)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SUMIFS(RAB!$F$14:$F$346,RAB!$C$14:$C$346,C897)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SUMIFS(RAB!$F$14:$F$346,RAB!$C$14:$C$346,C898)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SUMIFS(RAB!$F$14:$F$346,RAB!$C$14:$C$346,C899)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SUMIFS(RAB!$F$14:$F$346,RAB!$C$14:$C$346,C900)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SUMIFS(RAB!$F$14:$F$346,RAB!$C$14:$C$346,C901)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SUMIFS(RAB!$F$14:$F$346,RAB!$C$14:$C$346,C902)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SUMIFS(RAB!$F$14:$F$346,RAB!$C$14:$C$346,C903)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SUMIFS(RAB!$F$14:$F$346,RAB!$C$14:$C$346,C904)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SUMIFS(RAB!$F$14:$F$346,RAB!$C$14:$C$346,C905)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SUMIFS(RAB!$F$14:$F$346,RAB!$C$14:$C$346,C906)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SUMIFS(RAB!$F$14:$F$346,RAB!$C$14:$C$346,C907)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SUMIFS(RAB!$F$14:$F$346,RAB!$C$14:$C$346,C908)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SUMIFS(RAB!$F$14:$F$346,RAB!$C$14:$C$346,C909)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SUMIFS(RAB!$F$14:$F$346,RAB!$C$14:$C$346,C910)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SUMIFS(RAB!$F$14:$F$346,RAB!$C$14:$C$346,C911)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SUMIFS(RAB!$F$14:$F$346,RAB!$C$14:$C$346,C912)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SUMIFS(RAB!$F$14:$F$346,RAB!$C$14:$C$346,C913)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SUMIFS(RAB!$F$14:$F$346,RAB!$C$14:$C$346,C914)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SUMIFS(RAB!$F$14:$F$346,RAB!$C$14:$C$346,C915)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SUMIFS(RAB!$F$14:$F$346,RAB!$C$14:$C$346,C916)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SUMIFS(RAB!$F$14:$F$346,RAB!$C$14:$C$346,C917)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SUMIFS(RAB!$F$14:$F$346,RAB!$C$14:$C$346,C918)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SUMIFS(RAB!$F$14:$F$346,RAB!$C$14:$C$346,C919)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SUMIFS(RAB!$F$14:$F$346,RAB!$C$14:$C$346,C920)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SUMIFS(RAB!$F$14:$F$346,RAB!$C$14:$C$346,C921)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SUMIFS(RAB!$F$14:$F$346,RAB!$C$14:$C$346,C922)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SUMIFS(RAB!$F$14:$F$346,RAB!$C$14:$C$346,C923)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SUMIFS(RAB!$F$14:$F$346,RAB!$C$14:$C$346,C924)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SUMIFS(RAB!$F$14:$F$346,RAB!$C$14:$C$346,C925)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SUMIFS(RAB!$F$14:$F$346,RAB!$C$14:$C$346,C926)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SUMIFS(RAB!$F$14:$F$346,RAB!$C$14:$C$346,C927)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SUMIFS(RAB!$F$14:$F$346,RAB!$C$14:$C$346,C928)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SUMIFS(RAB!$F$14:$F$346,RAB!$C$14:$C$346,C929)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SUMIFS(RAB!$F$14:$F$346,RAB!$C$14:$C$346,C930)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SUMIFS(RAB!$F$14:$F$346,RAB!$C$14:$C$346,C931)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SUMIFS(RAB!$F$14:$F$346,RAB!$C$14:$C$346,C932)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SUMIFS(RAB!$F$14:$F$346,RAB!$C$14:$C$346,C933)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SUMIFS(RAB!$F$14:$F$346,RAB!$C$14:$C$346,C934)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SUMIFS(RAB!$F$14:$F$346,RAB!$C$14:$C$346,C935)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SUMIFS(RAB!$F$14:$F$346,RAB!$C$14:$C$346,C936)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SUMIFS(RAB!$F$14:$F$346,RAB!$C$14:$C$346,C937)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SUMIFS(RAB!$F$14:$F$346,RAB!$C$14:$C$346,C938)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SUMIFS(RAB!$F$14:$F$346,RAB!$C$14:$C$346,C939)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SUMIFS(RAB!$F$14:$F$346,RAB!$C$14:$C$346,C940)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SUMIFS(RAB!$F$14:$F$346,RAB!$C$14:$C$346,C941)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SUMIFS(RAB!$F$14:$F$346,RAB!$C$14:$C$346,C942)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SUMIFS(RAB!$F$14:$F$346,RAB!$C$14:$C$346,C943)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SUMIFS(RAB!$F$14:$F$346,RAB!$C$14:$C$346,C944)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SUMIFS(RAB!$F$14:$F$346,RAB!$C$14:$C$346,C945)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SUMIFS(RAB!$F$14:$F$346,RAB!$C$14:$C$346,C946)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SUMIFS(RAB!$F$14:$F$346,RAB!$C$14:$C$346,C947)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SUMIFS(RAB!$F$14:$F$346,RAB!$C$14:$C$346,C948)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SUMIFS(RAB!$F$14:$F$346,RAB!$C$14:$C$346,C949)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SUMIFS(RAB!$F$14:$F$346,RAB!$C$14:$C$346,C950)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SUMIFS(RAB!$F$14:$F$346,RAB!$C$14:$C$346,C951)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SUMIFS(RAB!$F$14:$F$346,RAB!$C$14:$C$346,C952)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SUMIFS(RAB!$F$14:$F$346,RAB!$C$14:$C$346,C953)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SUMIFS(RAB!$F$14:$F$346,RAB!$C$14:$C$346,C954)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SUMIFS(RAB!$F$14:$F$346,RAB!$C$14:$C$346,C955)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SUMIFS(RAB!$F$14:$F$346,RAB!$C$14:$C$346,C956)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SUMIFS(RAB!$F$14:$F$346,RAB!$C$14:$C$346,C957)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SUMIFS(RAB!$F$14:$F$346,RAB!$C$14:$C$346,C958)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SUMIFS(RAB!$F$14:$F$346,RAB!$C$14:$C$346,C959)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SUMIFS(RAB!$F$14:$F$346,RAB!$C$14:$C$346,C960)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SUMIFS(RAB!$F$14:$F$346,RAB!$C$14:$C$346,C961)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SUMIFS(RAB!$F$14:$F$346,RAB!$C$14:$C$346,C962)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SUMIFS(RAB!$F$14:$F$346,RAB!$C$14:$C$346,C963)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SUMIFS(RAB!$F$14:$F$346,RAB!$C$14:$C$346,C964)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SUMIFS(RAB!$F$14:$F$346,RAB!$C$14:$C$346,C965)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SUMIFS(RAB!$F$14:$F$346,RAB!$C$14:$C$346,C966)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SUMIFS(RAB!$F$14:$F$346,RAB!$C$14:$C$346,C967)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SUMIFS(RAB!$F$14:$F$346,RAB!$C$14:$C$346,C968)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SUMIFS(RAB!$F$14:$F$346,RAB!$C$14:$C$346,C969)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SUMIFS(RAB!$F$14:$F$346,RAB!$C$14:$C$346,C970)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SUMIFS(RAB!$F$14:$F$346,RAB!$C$14:$C$346,C971)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SUMIFS(RAB!$F$14:$F$346,RAB!$C$14:$C$346,C972)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SUMIFS(RAB!$F$14:$F$346,RAB!$C$14:$C$346,C973)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SUMIFS(RAB!$F$14:$F$346,RAB!$C$14:$C$346,C974)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SUMIFS(RAB!$F$14:$F$346,RAB!$C$14:$C$346,C975)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SUMIFS(RAB!$F$14:$F$346,RAB!$C$14:$C$346,C976)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SUMIFS(RAB!$F$14:$F$346,RAB!$C$14:$C$346,C977)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SUMIFS(RAB!$F$14:$F$346,RAB!$C$14:$C$346,C978)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SUMIFS(RAB!$F$14:$F$346,RAB!$C$14:$C$346,C979)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SUMIFS(RAB!$F$14:$F$346,RAB!$C$14:$C$346,C980)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SUMIFS(RAB!$F$14:$F$346,RAB!$C$14:$C$346,C981)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SUMIFS(RAB!$F$14:$F$346,RAB!$C$14:$C$346,C982)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SUMIFS(RAB!$F$14:$F$346,RAB!$C$14:$C$346,C983)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SUMIFS(RAB!$F$14:$F$346,RAB!$C$14:$C$346,C984)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SUMIFS(RAB!$F$14:$F$346,RAB!$C$14:$C$346,C985)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SUMIFS(RAB!$F$14:$F$346,RAB!$C$14:$C$346,C986)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SUMIFS(RAB!$F$14:$F$346,RAB!$C$14:$C$346,C987)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SUMIFS(RAB!$F$14:$F$346,RAB!$C$14:$C$346,C988)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SUMIFS(RAB!$F$14:$F$346,RAB!$C$14:$C$346,C989)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SUMIFS(RAB!$F$14:$F$346,RAB!$C$14:$C$346,C990)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SUMIFS(RAB!$F$14:$F$346,RAB!$C$14:$C$346,C991)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SUMIFS(RAB!$F$14:$F$346,RAB!$C$14:$C$346,C992)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SUMIFS(RAB!$F$14:$F$346,RAB!$C$14:$C$346,C993)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SUMIFS(RAB!$F$14:$F$346,RAB!$C$14:$C$346,C994)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SUMIFS(RAB!$F$14:$F$346,RAB!$C$14:$C$346,C995)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SUMIFS(RAB!$F$14:$F$346,RAB!$C$14:$C$346,C996)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SUMIFS(RAB!$F$14:$F$346,RAB!$C$14:$C$346,C997)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SUMIFS(RAB!$F$14:$F$346,RAB!$C$14:$C$346,C998)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SUMIFS(RAB!$F$14:$F$346,RAB!$C$14:$C$346,C999)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SUMIFS(RAB!$F$14:$F$346,RAB!$C$14:$C$346,C1000)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SUMIFS(RAB!$F$14:$F$346,RAB!$C$14:$C$346,C1001)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SUMIFS(RAB!$F$14:$F$346,RAB!$C$14:$C$346,C1002)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SUMIFS(RAB!$F$14:$F$346,RAB!$C$14:$C$346,C1003)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SUMIFS(RAB!$F$14:$F$346,RAB!$C$14:$C$346,C1004)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SUMIFS(RAB!$F$14:$F$346,RAB!$C$14:$C$346,C1005)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SUMIFS(RAB!$F$14:$F$346,RAB!$C$14:$C$346,C1006)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SUMIFS(RAB!$F$14:$F$346,RAB!$C$14:$C$346,C1007)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SUMIFS(RAB!$F$14:$F$346,RAB!$C$14:$C$346,C1008)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SUMIFS(RAB!$F$14:$F$346,RAB!$C$14:$C$346,C1009)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SUMIFS(RAB!$F$14:$F$346,RAB!$C$14:$C$346,C1010)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SUMIFS(RAB!$F$14:$F$346,RAB!$C$14:$C$346,C1011)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SUMIFS(RAB!$F$14:$F$346,RAB!$C$14:$C$346,C1012)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SUMIFS(RAB!$F$14:$F$346,RAB!$C$14:$C$346,C1013)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SUMIFS(RAB!$F$14:$F$346,RAB!$C$14:$C$346,C1014)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SUMIFS(RAB!$F$14:$F$346,RAB!$C$14:$C$346,C1015)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SUMIFS(RAB!$F$14:$F$346,RAB!$C$14:$C$346,C1016)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SUMIFS(RAB!$F$14:$F$346,RAB!$C$14:$C$346,C1017)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SUMIFS(RAB!$F$14:$F$346,RAB!$C$14:$C$346,C1018)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SUMIFS(RAB!$F$14:$F$346,RAB!$C$14:$C$346,C1019)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SUMIFS(RAB!$F$14:$F$346,RAB!$C$14:$C$346,C1020)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SUMIFS(RAB!$F$14:$F$346,RAB!$C$14:$C$346,C1021)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SUMIFS(RAB!$F$14:$F$346,RAB!$C$14:$C$346,C1022)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SUMIFS(RAB!$F$14:$F$346,RAB!$C$14:$C$346,C1023)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SUMIFS(RAB!$F$14:$F$346,RAB!$C$14:$C$346,C1024)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SUMIFS(RAB!$F$14:$F$346,RAB!$C$14:$C$346,C1025)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SUMIFS(RAB!$F$14:$F$346,RAB!$C$14:$C$346,C1026)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SUMIFS(RAB!$F$14:$F$346,RAB!$C$14:$C$346,C1027)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SUMIFS(RAB!$F$14:$F$346,RAB!$C$14:$C$346,C1028)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SUMIFS(RAB!$F$14:$F$346,RAB!$C$14:$C$346,C1029)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SUMIFS(RAB!$F$14:$F$346,RAB!$C$14:$C$346,C1030)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SUMIFS(RAB!$F$14:$F$346,RAB!$C$14:$C$346,C1031)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SUMIFS(RAB!$F$14:$F$346,RAB!$C$14:$C$346,C1032)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SUMIFS(RAB!$F$14:$F$346,RAB!$C$14:$C$346,C1033)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SUMIFS(RAB!$F$14:$F$346,RAB!$C$14:$C$346,C1034)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SUMIFS(RAB!$F$14:$F$346,RAB!$C$14:$C$346,C1035)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SUMIFS(RAB!$F$14:$F$346,RAB!$C$14:$C$346,C1036)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SUMIFS(RAB!$F$14:$F$346,RAB!$C$14:$C$346,C1037)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SUMIFS(RAB!$F$14:$F$346,RAB!$C$14:$C$346,C1038)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SUMIFS(RAB!$F$14:$F$346,RAB!$C$14:$C$346,C1039)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SUMIFS(RAB!$F$14:$F$346,RAB!$C$14:$C$346,C1040)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SUMIFS(RAB!$F$14:$F$346,RAB!$C$14:$C$346,C1041)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SUMIFS(RAB!$F$14:$F$346,RAB!$C$14:$C$346,C1042)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SUMIFS(RAB!$F$14:$F$346,RAB!$C$14:$C$346,C1043)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SUMIFS(RAB!$F$14:$F$346,RAB!$C$14:$C$346,C1044)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SUMIFS(RAB!$F$14:$F$346,RAB!$C$14:$C$346,C1045)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SUMIFS(RAB!$F$14:$F$346,RAB!$C$14:$C$346,C1046)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SUMIFS(RAB!$F$14:$F$346,RAB!$C$14:$C$346,C1047)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SUMIFS(RAB!$F$14:$F$346,RAB!$C$14:$C$346,C1048)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SUMIFS(RAB!$F$14:$F$346,RAB!$C$14:$C$346,C1049)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SUMIFS(RAB!$F$14:$F$346,RAB!$C$14:$C$346,C1050)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SUMIFS(RAB!$F$14:$F$346,RAB!$C$14:$C$346,C1051)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SUMIFS(RAB!$F$14:$F$346,RAB!$C$14:$C$346,C1052)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SUMIFS(RAB!$F$14:$F$346,RAB!$C$14:$C$346,C1053)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SUMIFS(RAB!$F$14:$F$346,RAB!$C$14:$C$346,C1054)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SUMIFS(RAB!$F$14:$F$346,RAB!$C$14:$C$346,C1055)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SUMIFS(RAB!$F$14:$F$346,RAB!$C$14:$C$346,C1056)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SUMIFS(RAB!$F$14:$F$346,RAB!$C$14:$C$346,C1057)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SUMIFS(RAB!$F$14:$F$346,RAB!$C$14:$C$346,C1058)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SUMIFS(RAB!$F$14:$F$346,RAB!$C$14:$C$346,C1059)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SUMIFS(RAB!$F$14:$F$346,RAB!$C$14:$C$346,C1060)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SUMIFS(RAB!$F$14:$F$346,RAB!$C$14:$C$346,C1061)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SUMIFS(RAB!$F$14:$F$346,RAB!$C$14:$C$346,C1062)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SUMIFS(RAB!$F$14:$F$346,RAB!$C$14:$C$346,C1063)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SUMIFS(RAB!$F$14:$F$346,RAB!$C$14:$C$346,C1064)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SUMIFS(RAB!$F$14:$F$346,RAB!$C$14:$C$346,C1065)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SUMIFS(RAB!$F$14:$F$346,RAB!$C$14:$C$346,C1066)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SUMIFS(RAB!$F$14:$F$346,RAB!$C$14:$C$346,C1067)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SUMIFS(RAB!$F$14:$F$346,RAB!$C$14:$C$346,C1068)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SUMIFS(RAB!$F$14:$F$346,RAB!$C$14:$C$346,C1069)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SUMIFS(RAB!$F$14:$F$346,RAB!$C$14:$C$346,C1070)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SUMIFS(RAB!$F$14:$F$346,RAB!$C$14:$C$346,C1071)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SUMIFS(RAB!$F$14:$F$346,RAB!$C$14:$C$346,C1072)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SUMIFS(RAB!$F$14:$F$346,RAB!$C$14:$C$346,C1073)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SUMIFS(RAB!$F$14:$F$346,RAB!$C$14:$C$346,C1074)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SUMIFS(RAB!$F$14:$F$346,RAB!$C$14:$C$346,C1075)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SUMIFS(RAB!$F$14:$F$346,RAB!$C$14:$C$346,C1076)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SUMIFS(RAB!$F$14:$F$346,RAB!$C$14:$C$346,C1077)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SUMIFS(RAB!$F$14:$F$346,RAB!$C$14:$C$346,C1078)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SUMIFS(RAB!$F$14:$F$346,RAB!$C$14:$C$346,C1079)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SUMIFS(RAB!$F$14:$F$346,RAB!$C$14:$C$346,C1080)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SUMIFS(RAB!$F$14:$F$346,RAB!$C$14:$C$346,C1081)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SUMIFS(RAB!$F$14:$F$346,RAB!$C$14:$C$346,C1082)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SUMIFS(RAB!$F$14:$F$346,RAB!$C$14:$C$346,C1083)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SUMIFS(RAB!$F$14:$F$346,RAB!$C$14:$C$346,C1084)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SUMIFS(RAB!$F$14:$F$346,RAB!$C$14:$C$346,C1085)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SUMIFS(RAB!$F$14:$F$346,RAB!$C$14:$C$346,C1086)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SUMIFS(RAB!$F$14:$F$346,RAB!$C$14:$C$346,C1087)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SUMIFS(RAB!$F$14:$F$346,RAB!$C$14:$C$346,C1088)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SUMIFS(RAB!$F$14:$F$346,RAB!$C$14:$C$346,C1089)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SUMIFS(RAB!$F$14:$F$346,RAB!$C$14:$C$346,C1090)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SUMIFS(RAB!$F$14:$F$346,RAB!$C$14:$C$346,C1091)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SUMIFS(RAB!$F$14:$F$346,RAB!$C$14:$C$346,C1092)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SUMIFS(RAB!$F$14:$F$346,RAB!$C$14:$C$346,C1093)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SUMIFS(RAB!$F$14:$F$346,RAB!$C$14:$C$346,C1094)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SUMIFS(RAB!$F$14:$F$346,RAB!$C$14:$C$346,C1095)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SUMIFS(RAB!$F$14:$F$346,RAB!$C$14:$C$346,C1096)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SUMIFS(RAB!$F$14:$F$346,RAB!$C$14:$C$346,C1097)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SUMIFS(RAB!$F$14:$F$346,RAB!$C$14:$C$346,C1098)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SUMIFS(RAB!$F$14:$F$346,RAB!$C$14:$C$346,C1099)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SUMIFS(RAB!$F$14:$F$346,RAB!$C$14:$C$346,C1100)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SUMIFS(RAB!$F$14:$F$346,RAB!$C$14:$C$346,C1101)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SUMIFS(RAB!$F$14:$F$346,RAB!$C$14:$C$346,C1102)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SUMIFS(RAB!$F$14:$F$346,RAB!$C$14:$C$346,C1103)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SUMIFS(RAB!$F$14:$F$346,RAB!$C$14:$C$346,C1104)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SUMIFS(RAB!$F$14:$F$346,RAB!$C$14:$C$346,C1105)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SUMIFS(RAB!$F$14:$F$346,RAB!$C$14:$C$346,C1106)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SUMIFS(RAB!$F$14:$F$346,RAB!$C$14:$C$346,C1107)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SUMIFS(RAB!$F$14:$F$346,RAB!$C$14:$C$346,C1108)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SUMIFS(RAB!$F$14:$F$346,RAB!$C$14:$C$346,C1109)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SUMIFS(RAB!$F$14:$F$346,RAB!$C$14:$C$346,C1110)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SUMIFS(RAB!$F$14:$F$346,RAB!$C$14:$C$346,C1111)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SUMIFS(RAB!$F$14:$F$346,RAB!$C$14:$C$346,C1112)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SUMIFS(RAB!$F$14:$F$346,RAB!$C$14:$C$346,C1113)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SUMIFS(RAB!$F$14:$F$346,RAB!$C$14:$C$346,C1114)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SUMIFS(RAB!$F$14:$F$346,RAB!$C$14:$C$346,C1115)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SUMIFS(RAB!$F$14:$F$346,RAB!$C$14:$C$346,C1116)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SUMIFS(RAB!$F$14:$F$346,RAB!$C$14:$C$346,C1117)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SUMIFS(RAB!$F$14:$F$346,RAB!$C$14:$C$346,C1118)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SUMIFS(RAB!$F$14:$F$346,RAB!$C$14:$C$346,C1119)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SUMIFS(RAB!$F$14:$F$346,RAB!$C$14:$C$346,C1120)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SUMIFS(RAB!$F$14:$F$346,RAB!$C$14:$C$346,C1121)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SUMIFS(RAB!$F$14:$F$346,RAB!$C$14:$C$346,C1122)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SUMIFS(RAB!$F$14:$F$346,RAB!$C$14:$C$346,C1123)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SUMIFS(RAB!$F$14:$F$346,RAB!$C$14:$C$346,C1124)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SUMIFS(RAB!$F$14:$F$346,RAB!$C$14:$C$346,C1125)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SUMIFS(RAB!$F$14:$F$346,RAB!$C$14:$C$346,C1126)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SUMIFS(RAB!$F$14:$F$346,RAB!$C$14:$C$346,C1127)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SUMIFS(RAB!$F$14:$F$346,RAB!$C$14:$C$346,C1128)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SUMIFS(RAB!$F$14:$F$346,RAB!$C$14:$C$346,C1129)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SUMIFS(RAB!$F$14:$F$346,RAB!$C$14:$C$346,C1130)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SUMIFS(RAB!$F$14:$F$346,RAB!$C$14:$C$346,C1131)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SUMIFS(RAB!$F$14:$F$346,RAB!$C$14:$C$346,C1132)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SUMIFS(RAB!$F$14:$F$346,RAB!$C$14:$C$346,C1133)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SUMIFS(RAB!$F$14:$F$346,RAB!$C$14:$C$346,C1134)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SUMIFS(RAB!$F$14:$F$346,RAB!$C$14:$C$346,C1135)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SUMIFS(RAB!$F$14:$F$346,RAB!$C$14:$C$346,C1136)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SUMIFS(RAB!$F$14:$F$346,RAB!$C$14:$C$346,C1137)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SUMIFS(RAB!$F$14:$F$346,RAB!$C$14:$C$346,C1138)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SUMIFS(RAB!$F$14:$F$346,RAB!$C$14:$C$346,C1139)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SUMIFS(RAB!$F$14:$F$346,RAB!$C$14:$C$346,C1140)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SUMIFS(RAB!$F$14:$F$346,RAB!$C$14:$C$346,C1141)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SUMIFS(RAB!$F$14:$F$346,RAB!$C$14:$C$346,C1142)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SUMIFS(RAB!$F$14:$F$346,RAB!$C$14:$C$346,C1143)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SUMIFS(RAB!$F$14:$F$346,RAB!$C$14:$C$346,C1144)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SUMIFS(RAB!$F$14:$F$346,RAB!$C$14:$C$346,C1145)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SUMIFS(RAB!$F$14:$F$346,RAB!$C$14:$C$346,C1146)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SUMIFS(RAB!$F$14:$F$346,RAB!$C$14:$C$346,C1147)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SUMIFS(RAB!$F$14:$F$346,RAB!$C$14:$C$346,C1148)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SUMIFS(RAB!$F$14:$F$346,RAB!$C$14:$C$346,C1149)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SUMIFS(RAB!$F$14:$F$346,RAB!$C$14:$C$346,C1150)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SUMIFS(RAB!$F$14:$F$346,RAB!$C$14:$C$346,C1151)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SUMIFS(RAB!$F$14:$F$346,RAB!$C$14:$C$346,C1152)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SUMIFS(RAB!$F$14:$F$346,RAB!$C$14:$C$346,C1153)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SUMIFS(RAB!$F$14:$F$346,RAB!$C$14:$C$346,C1154)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SUMIFS(RAB!$F$14:$F$346,RAB!$C$14:$C$346,C1155)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SUMIFS(RAB!$F$14:$F$346,RAB!$C$14:$C$346,C1156)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SUMIFS(RAB!$F$14:$F$346,RAB!$C$14:$C$346,C1157)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SUMIFS(RAB!$F$14:$F$346,RAB!$C$14:$C$346,C1158)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SUMIFS(RAB!$F$14:$F$346,RAB!$C$14:$C$346,C1159)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SUMIFS(RAB!$F$14:$F$346,RAB!$C$14:$C$346,C1160)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SUMIFS(RAB!$F$14:$F$346,RAB!$C$14:$C$346,C1161)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SUMIFS(RAB!$F$14:$F$346,RAB!$C$14:$C$346,C1162)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SUMIFS(RAB!$F$14:$F$346,RAB!$C$14:$C$346,C1163)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SUMIFS(RAB!$F$14:$F$346,RAB!$C$14:$C$346,C1164)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SUMIFS(RAB!$F$14:$F$346,RAB!$C$14:$C$346,C1165)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SUMIFS(RAB!$F$14:$F$346,RAB!$C$14:$C$346,C1166)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SUMIFS(RAB!$F$14:$F$346,RAB!$C$14:$C$346,C1167)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SUMIFS(RAB!$F$14:$F$346,RAB!$C$14:$C$346,C1168)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SUMIFS(RAB!$F$14:$F$346,RAB!$C$14:$C$346,C1169)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SUMIFS(RAB!$F$14:$F$346,RAB!$C$14:$C$346,C1170)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SUMIFS(RAB!$F$14:$F$346,RAB!$C$14:$C$346,C1171)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SUMIFS(RAB!$F$14:$F$346,RAB!$C$14:$C$346,C1172)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SUMIFS(RAB!$F$14:$F$346,RAB!$C$14:$C$346,C1173)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SUMIFS(RAB!$F$14:$F$346,RAB!$C$14:$C$346,C1174)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SUMIFS(RAB!$F$14:$F$346,RAB!$C$14:$C$346,C1175)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SUMIFS(RAB!$F$14:$F$346,RAB!$C$14:$C$346,C1176)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SUMIFS(RAB!$F$14:$F$346,RAB!$C$14:$C$346,C1177)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SUMIFS(RAB!$F$14:$F$346,RAB!$C$14:$C$346,C1178)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SUMIFS(RAB!$F$14:$F$346,RAB!$C$14:$C$346,C1179)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SUMIFS(RAB!$F$14:$F$346,RAB!$C$14:$C$346,C1180)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SUMIFS(RAB!$F$14:$F$346,RAB!$C$14:$C$346,C1181)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SUMIFS(RAB!$F$14:$F$346,RAB!$C$14:$C$346,C1182)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SUMIFS(RAB!$F$14:$F$346,RAB!$C$14:$C$346,C1183)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SUMIFS(RAB!$F$14:$F$346,RAB!$C$14:$C$346,C1184)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SUMIFS(RAB!$F$14:$F$346,RAB!$C$14:$C$346,C1185)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SUMIFS(RAB!$F$14:$F$346,RAB!$C$14:$C$346,C1186)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SUMIFS(RAB!$F$14:$F$346,RAB!$C$14:$C$346,C1187)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SUMIFS(RAB!$F$14:$F$346,RAB!$C$14:$C$346,C1188)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SUMIFS(RAB!$F$14:$F$346,RAB!$C$14:$C$346,C1189)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SUMIFS(RAB!$F$14:$F$346,RAB!$C$14:$C$346,C1190)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SUMIFS(RAB!$F$14:$F$346,RAB!$C$14:$C$346,C1191)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SUMIFS(RAB!$F$14:$F$346,RAB!$C$14:$C$346,C1192)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SUMIFS(RAB!$F$14:$F$346,RAB!$C$14:$C$346,C1193)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SUMIFS(RAB!$F$14:$F$346,RAB!$C$14:$C$346,C1194)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SUMIFS(RAB!$F$14:$F$346,RAB!$C$14:$C$346,C1195)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SUMIFS(RAB!$F$14:$F$346,RAB!$C$14:$C$346,C1196)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SUMIFS(RAB!$F$14:$F$346,RAB!$C$14:$C$346,C1197)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SUMIFS(RAB!$F$14:$F$346,RAB!$C$14:$C$346,C1198)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SUMIFS(RAB!$F$14:$F$346,RAB!$C$14:$C$346,C1199)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SUMIFS(RAB!$F$14:$F$346,RAB!$C$14:$C$346,C1200)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SUMIFS(RAB!$F$14:$F$346,RAB!$C$14:$C$346,C1201)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SUMIFS(RAB!$F$14:$F$346,RAB!$C$14:$C$346,C1202)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SUMIFS(RAB!$F$14:$F$346,RAB!$C$14:$C$346,C1203)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SUMIFS(RAB!$F$14:$F$346,RAB!$C$14:$C$346,C1204)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SUMIFS(RAB!$F$14:$F$346,RAB!$C$14:$C$346,C1205)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SUMIFS(RAB!$F$14:$F$346,RAB!$C$14:$C$346,C1206)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SUMIFS(RAB!$F$14:$F$346,RAB!$C$14:$C$346,C1207)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SUMIFS(RAB!$F$14:$F$346,RAB!$C$14:$C$346,C1208)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SUMIFS(RAB!$F$14:$F$346,RAB!$C$14:$C$346,C1209)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SUMIFS(RAB!$F$14:$F$346,RAB!$C$14:$C$346,C1210)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SUMIFS(RAB!$F$14:$F$346,RAB!$C$14:$C$346,C1211)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SUMIFS(RAB!$F$14:$F$346,RAB!$C$14:$C$346,C1212)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SUMIFS(RAB!$F$14:$F$346,RAB!$C$14:$C$346,C1213)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SUMIFS(RAB!$F$14:$F$346,RAB!$C$14:$C$346,C1214)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SUMIFS(RAB!$F$14:$F$346,RAB!$C$14:$C$346,C1215)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SUMIFS(RAB!$F$14:$F$346,RAB!$C$14:$C$346,C1216)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SUMIFS(RAB!$F$14:$F$346,RAB!$C$14:$C$346,C1217)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SUMIFS(RAB!$F$14:$F$346,RAB!$C$14:$C$346,C1218)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SUMIFS(RAB!$F$14:$F$346,RAB!$C$14:$C$346,C1219)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SUMIFS(RAB!$F$14:$F$346,RAB!$C$14:$C$346,C1220)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SUMIFS(RAB!$F$14:$F$346,RAB!$C$14:$C$346,C1221)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SUMIFS(RAB!$F$14:$F$346,RAB!$C$14:$C$346,C1222)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SUMIFS(RAB!$F$14:$F$346,RAB!$C$14:$C$346,C1223)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SUMIFS(RAB!$F$14:$F$346,RAB!$C$14:$C$346,C1224)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SUMIFS(RAB!$F$14:$F$346,RAB!$C$14:$C$346,C1225)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SUMIFS(RAB!$F$14:$F$346,RAB!$C$14:$C$346,C1226)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SUMIFS(RAB!$F$14:$F$346,RAB!$C$14:$C$346,C1227)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SUMIFS(RAB!$F$14:$F$346,RAB!$C$14:$C$346,C1228)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SUMIFS(RAB!$F$14:$F$346,RAB!$C$14:$C$346,C1229)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SUMIFS(RAB!$F$14:$F$346,RAB!$C$14:$C$346,C1230)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SUMIFS(RAB!$F$14:$F$346,RAB!$C$14:$C$346,C1231)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SUMIFS(RAB!$F$14:$F$346,RAB!$C$14:$C$346,C1232)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SUMIFS(RAB!$F$14:$F$346,RAB!$C$14:$C$346,C1233)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SUMIFS(RAB!$F$14:$F$346,RAB!$C$14:$C$346,C1234)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SUMIFS(RAB!$F$14:$F$346,RAB!$C$14:$C$346,C1235)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SUMIFS(RAB!$F$14:$F$346,RAB!$C$14:$C$346,C1236)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SUMIFS(RAB!$F$14:$F$346,RAB!$C$14:$C$346,C1237)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SUMIFS(RAB!$F$14:$F$346,RAB!$C$14:$C$346,C1238)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SUMIFS(RAB!$F$14:$F$346,RAB!$C$14:$C$346,C1239)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SUMIFS(RAB!$F$14:$F$346,RAB!$C$14:$C$346,C1240)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SUMIFS(RAB!$F$14:$F$346,RAB!$C$14:$C$346,C1241)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SUMIFS(RAB!$F$14:$F$346,RAB!$C$14:$C$346,C1242)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SUMIFS(RAB!$F$14:$F$346,RAB!$C$14:$C$346,C1243)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SUMIFS(RAB!$F$14:$F$346,RAB!$C$14:$C$346,C1244)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SUMIFS(RAB!$F$14:$F$346,RAB!$C$14:$C$346,C1245)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SUMIFS(RAB!$F$14:$F$346,RAB!$C$14:$C$346,C1246)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SUMIFS(RAB!$F$14:$F$346,RAB!$C$14:$C$346,C1247)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SUMIFS(RAB!$F$14:$F$346,RAB!$C$14:$C$346,C1248)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SUMIFS(RAB!$F$14:$F$346,RAB!$C$14:$C$346,C1249)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SUMIFS(RAB!$F$14:$F$346,RAB!$C$14:$C$346,C1250)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SUMIFS(RAB!$F$14:$F$346,RAB!$C$14:$C$346,C1251)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SUMIFS(RAB!$F$14:$F$346,RAB!$C$14:$C$346,C1252)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SUMIFS(RAB!$F$14:$F$346,RAB!$C$14:$C$346,C1253)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SUMIFS(RAB!$F$14:$F$346,RAB!$C$14:$C$346,C1254)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SUMIFS(RAB!$F$14:$F$346,RAB!$C$14:$C$346,C1255)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SUMIFS(RAB!$F$14:$F$346,RAB!$C$14:$C$346,C1256)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SUMIFS(RAB!$F$14:$F$346,RAB!$C$14:$C$346,C1257)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SUMIFS(RAB!$F$14:$F$346,RAB!$C$14:$C$346,C1258)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SUMIFS(RAB!$F$14:$F$346,RAB!$C$14:$C$346,C1259)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SUMIFS(RAB!$F$14:$F$346,RAB!$C$14:$C$346,C1260)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SUMIFS(RAB!$F$14:$F$346,RAB!$C$14:$C$346,C1261)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SUMIFS(RAB!$F$14:$F$346,RAB!$C$14:$C$346,C1262)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SUMIFS(RAB!$F$14:$F$346,RAB!$C$14:$C$346,C1263)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SUMIFS(RAB!$F$14:$F$346,RAB!$C$14:$C$346,C1264)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SUMIFS(RAB!$F$14:$F$346,RAB!$C$14:$C$346,C1265)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SUMIFS(RAB!$F$14:$F$346,RAB!$C$14:$C$346,C1266)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SUMIFS(RAB!$F$14:$F$346,RAB!$C$14:$C$346,C1267)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SUMIFS(RAB!$F$14:$F$346,RAB!$C$14:$C$346,C1268)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SUMIFS(RAB!$F$14:$F$346,RAB!$C$14:$C$346,C1269)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SUMIFS(RAB!$F$14:$F$346,RAB!$C$14:$C$346,C1270)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SUMIFS(RAB!$F$14:$F$346,RAB!$C$14:$C$346,C1271)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SUMIFS(RAB!$F$14:$F$346,RAB!$C$14:$C$346,C1272)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SUMIFS(RAB!$F$14:$F$346,RAB!$C$14:$C$346,C1273)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SUMIFS(RAB!$F$14:$F$346,RAB!$C$14:$C$346,C1274)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SUMIFS(RAB!$F$14:$F$346,RAB!$C$14:$C$346,C1275)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SUMIFS(RAB!$F$14:$F$346,RAB!$C$14:$C$346,C1276)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SUMIFS(RAB!$F$14:$F$346,RAB!$C$14:$C$346,C1277)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SUMIFS(RAB!$F$14:$F$346,RAB!$C$14:$C$346,C1278)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SUMIFS(RAB!$F$14:$F$346,RAB!$C$14:$C$346,C1279)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SUMIFS(RAB!$F$14:$F$346,RAB!$C$14:$C$346,C1280)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SUMIFS(RAB!$F$14:$F$346,RAB!$C$14:$C$346,C1281)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SUMIFS(RAB!$F$14:$F$346,RAB!$C$14:$C$346,C1282)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SUMIFS(RAB!$F$14:$F$346,RAB!$C$14:$C$346,C1283)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SUMIFS(RAB!$F$14:$F$346,RAB!$C$14:$C$346,C1284)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SUMIFS(RAB!$F$14:$F$346,RAB!$C$14:$C$346,C1285)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SUMIFS(RAB!$F$14:$F$346,RAB!$C$14:$C$346,C1286)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SUMIFS(RAB!$F$14:$F$346,RAB!$C$14:$C$346,C1287)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SUMIFS(RAB!$F$14:$F$346,RAB!$C$14:$C$346,C1288)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SUMIFS(RAB!$F$14:$F$346,RAB!$C$14:$C$346,C1289)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SUMIFS(RAB!$F$14:$F$346,RAB!$C$14:$C$346,C1290)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SUMIFS(RAB!$F$14:$F$346,RAB!$C$14:$C$346,C1291)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SUMIFS(RAB!$F$14:$F$346,RAB!$C$14:$C$346,C1292)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SUMIFS(RAB!$F$14:$F$346,RAB!$C$14:$C$346,C1293)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SUMIFS(RAB!$F$14:$F$346,RAB!$C$14:$C$346,C1294)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SUMIFS(RAB!$F$14:$F$346,RAB!$C$14:$C$346,C1295)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SUMIFS(RAB!$F$14:$F$346,RAB!$C$14:$C$346,C1296)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SUMIFS(RAB!$F$14:$F$346,RAB!$C$14:$C$346,C1297)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SUMIFS(RAB!$F$14:$F$346,RAB!$C$14:$C$346,C1298)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SUMIFS(RAB!$F$14:$F$346,RAB!$C$14:$C$346,C1299)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SUMIFS(RAB!$F$14:$F$346,RAB!$C$14:$C$346,C1300)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SUMIFS(RAB!$F$14:$F$346,RAB!$C$14:$C$346,C1301)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SUMIFS(RAB!$F$14:$F$346,RAB!$C$14:$C$346,C1302)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SUMIFS(RAB!$F$14:$F$346,RAB!$C$14:$C$346,C1303)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SUMIFS(RAB!$F$14:$F$346,RAB!$C$14:$C$346,C1304)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SUMIFS(RAB!$F$14:$F$346,RAB!$C$14:$C$346,C1305)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SUMIFS(RAB!$F$14:$F$346,RAB!$C$14:$C$346,C1306)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SUMIFS(RAB!$F$14:$F$346,RAB!$C$14:$C$346,C1307)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SUMIFS(RAB!$F$14:$F$346,RAB!$C$14:$C$346,C1308)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SUMIFS(RAB!$F$14:$F$346,RAB!$C$14:$C$346,C1309)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SUMIFS(RAB!$F$14:$F$346,RAB!$C$14:$C$346,C1310)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SUMIFS(RAB!$F$14:$F$346,RAB!$C$14:$C$346,C1311)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SUMIFS(RAB!$F$14:$F$346,RAB!$C$14:$C$346,C1312)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SUMIFS(RAB!$F$14:$F$346,RAB!$C$14:$C$346,C1313)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SUMIFS(RAB!$F$14:$F$346,RAB!$C$14:$C$346,C1314)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SUMIFS(RAB!$F$14:$F$346,RAB!$C$14:$C$346,C1315)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SUMIFS(RAB!$F$14:$F$346,RAB!$C$14:$C$346,C1316)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SUMIFS(RAB!$F$14:$F$346,RAB!$C$14:$C$346,C1317)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SUMIFS(RAB!$F$14:$F$346,RAB!$C$14:$C$346,C1318)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SUMIFS(RAB!$F$14:$F$346,RAB!$C$14:$C$346,C1319)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SUMIFS(RAB!$F$14:$F$346,RAB!$C$14:$C$346,C1320)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89" priority="5" operator="equal">
      <formula>0</formula>
    </cfRule>
  </conditionalFormatting>
  <conditionalFormatting sqref="A10:L65536">
    <cfRule type="cellIs" dxfId="88" priority="1" operator="equal">
      <formula>0</formula>
    </cfRule>
  </conditionalFormatting>
  <conditionalFormatting sqref="C12:C711">
    <cfRule type="cellIs" dxfId="87" priority="66" stopIfTrue="1" operator="equal">
      <formula>0</formula>
    </cfRule>
  </conditionalFormatting>
  <conditionalFormatting sqref="E712:E65536">
    <cfRule type="cellIs" dxfId="86" priority="16" stopIfTrue="1" operator="equal">
      <formula>0</formula>
    </cfRule>
  </conditionalFormatting>
  <conditionalFormatting sqref="G1:G11 E6:E11 E1:E3 H7 H10:H11 F10:F711 G712:G65536">
    <cfRule type="cellIs" dxfId="85" priority="69" stopIfTrue="1" operator="equal">
      <formula>0</formula>
    </cfRule>
  </conditionalFormatting>
  <conditionalFormatting sqref="G12:H711">
    <cfRule type="cellIs" dxfId="84" priority="12" stopIfTrue="1" operator="equal">
      <formula>0</formula>
    </cfRule>
  </conditionalFormatting>
  <conditionalFormatting sqref="I7:K7">
    <cfRule type="cellIs" dxfId="83" priority="4" stopIfTrue="1" operator="equal">
      <formula>0</formula>
    </cfRule>
  </conditionalFormatting>
  <conditionalFormatting sqref="I10:L711">
    <cfRule type="cellIs" dxfId="82" priority="2" stopIfTrue="1" operator="equal">
      <formula>0</formula>
    </cfRule>
  </conditionalFormatting>
  <conditionalFormatting sqref="L1:L6">
    <cfRule type="cellIs" dxfId="81" priority="10" operator="equal">
      <formula>0</formula>
    </cfRule>
  </conditionalFormatting>
  <conditionalFormatting sqref="M1:IV1048576 A8:G9">
    <cfRule type="cellIs" dxfId="8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 xml:space="preserve">AGR ALI KHAMDAN 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BALEROMO 01/02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121800000</v>
      </c>
      <c r="J16" s="42">
        <f t="shared" ca="1" si="3"/>
        <v>0</v>
      </c>
      <c r="K16" s="43">
        <f t="shared" ca="1" si="0"/>
        <v>121800000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3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18223200</v>
      </c>
      <c r="J17" s="42">
        <f t="shared" ca="1" si="3"/>
        <v>0</v>
      </c>
      <c r="K17" s="43">
        <f t="shared" ca="1" si="0"/>
        <v>18223200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140023200</v>
      </c>
      <c r="J38" s="55">
        <f ca="1">SUM(J14:J37)</f>
        <v>0</v>
      </c>
      <c r="K38" s="55">
        <f ca="1">SUM(K14:K37)</f>
        <v>140023200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14002320</v>
      </c>
      <c r="J39" s="60">
        <f ca="1">J38*0.1</f>
        <v>0</v>
      </c>
      <c r="K39" s="60">
        <f ca="1">K38*0.1</f>
        <v>14002320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154025520</v>
      </c>
      <c r="J40" s="61">
        <f ca="1">SUM(J38:J39)</f>
        <v>0</v>
      </c>
      <c r="K40" s="61">
        <f ca="1">SUM(K38:K39)</f>
        <v>154025520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SUMIFS(RAB!$F$14:$F$346,RAB!$C$14:$C$346,'REKAP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SUMIFS(RAB!$F$14:$F$346,RAB!$C$14:$C$346,'REKAP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SUMIFS(RAB!$F$14:$F$346,RAB!$C$14:$C$346,'REKAP TIANG'!C59)</f>
        <v>21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SUMIFS(RAB!$F$14:$F$346,RAB!$C$14:$C$346,'REKAP TIANG'!C60)</f>
        <v>3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SUMIFS(RAB!$F$14:$F$346,RAB!$C$14:$C$346,'REKAP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SUMIFS(RAB!$F$14:$F$346,RAB!$C$14:$C$346,'REKAP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SUMIFS(RAB!$F$14:$F$346,RAB!$C$14:$C$346,'REKAP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SUMIFS(RAB!$F$14:$F$346,RAB!$C$14:$C$346,'REKAP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SUMIFS(RAB!$F$14:$F$346,RAB!$C$14:$C$346,'REKAP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SUMIFS(RAB!$F$14:$F$346,RAB!$C$14:$C$346,'REKAP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SUMIFS(RAB!$F$14:$F$346,RAB!$C$14:$C$346,'REKAP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SUMIFS(RAB!$F$14:$F$346,RAB!$C$14:$C$346,'REKAP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SUMIFS(RAB!$F$14:$F$346,RAB!$C$14:$C$346,'REKAP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SUMIFS(RAB!$F$14:$F$346,RAB!$C$14:$C$346,'REKAP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SUMIFS(RAB!$F$14:$F$346,RAB!$C$14:$C$346,'REKAP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SUMIFS(RAB!$F$14:$F$346,RAB!$C$14:$C$346,'REKAP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SUMIFS(RAB!$F$14:$F$346,RAB!$C$14:$C$346,'REKAP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SUMIFS(RAB!$F$14:$F$346,RAB!$C$14:$C$346,'REKAP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SUMIFS(RAB!$F$14:$F$346,RAB!$C$14:$C$346,'REKAP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SUMIFS(RAB!$F$14:$F$346,RAB!$C$14:$C$346,'REKAP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7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7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 xml:space="preserve">AGR ALI KHAMDAN 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BALEROMO 01/02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7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5937750</v>
      </c>
      <c r="I19" s="42">
        <f t="shared" ca="1" si="2"/>
        <v>0</v>
      </c>
      <c r="J19" s="42">
        <f t="shared" ca="1" si="3"/>
        <v>0</v>
      </c>
      <c r="K19" s="43">
        <f t="shared" ca="1" si="0"/>
        <v>5937750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12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8710800</v>
      </c>
      <c r="I20" s="42">
        <f t="shared" ca="1" si="2"/>
        <v>0</v>
      </c>
      <c r="J20" s="42">
        <f t="shared" ca="1" si="3"/>
        <v>0</v>
      </c>
      <c r="K20" s="43">
        <f t="shared" ca="1" si="0"/>
        <v>8710800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162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38215800</v>
      </c>
      <c r="I21" s="42">
        <f t="shared" ca="1" si="2"/>
        <v>0</v>
      </c>
      <c r="J21" s="42">
        <f t="shared" ca="1" si="3"/>
        <v>0</v>
      </c>
      <c r="K21" s="43">
        <f t="shared" ca="1" si="0"/>
        <v>38215800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69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29670000</v>
      </c>
      <c r="I22" s="42">
        <f t="shared" ca="1" si="2"/>
        <v>0</v>
      </c>
      <c r="J22" s="42">
        <f t="shared" ca="1" si="3"/>
        <v>0</v>
      </c>
      <c r="K22" s="43">
        <f t="shared" ca="1" si="0"/>
        <v>29670000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11889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168823800</v>
      </c>
      <c r="I23" s="42">
        <f t="shared" ca="1" si="2"/>
        <v>0</v>
      </c>
      <c r="J23" s="42">
        <f t="shared" ca="1" si="3"/>
        <v>0</v>
      </c>
      <c r="K23" s="43">
        <f t="shared" ca="1" si="0"/>
        <v>168823800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240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21</v>
      </c>
      <c r="G24" s="41">
        <f ca="1">IF(ISERROR(OFFSET('HARGA SATUAN'!$I$6,MATCH(C24,'HARGA SATUAN'!$C$7:$C$1492,0),0)),"",OFFSET('HARGA SATUAN'!$I$6,MATCH(C24,'HARGA SATUAN'!$C$7:$C$1492,0),0))</f>
        <v>36900</v>
      </c>
      <c r="H24" s="42">
        <f t="shared" ca="1" si="1"/>
        <v>774900</v>
      </c>
      <c r="I24" s="42">
        <f t="shared" ca="1" si="2"/>
        <v>0</v>
      </c>
      <c r="J24" s="42">
        <f t="shared" ca="1" si="3"/>
        <v>0</v>
      </c>
      <c r="K24" s="43">
        <f t="shared" ca="1" si="0"/>
        <v>774900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3</v>
      </c>
      <c r="G25" s="41">
        <f ca="1">IF(ISERROR(OFFSET('HARGA SATUAN'!$I$6,MATCH(C25,'HARGA SATUAN'!$C$7:$C$1492,0),0)),"",OFFSET('HARGA SATUAN'!$I$6,MATCH(C25,'HARGA SATUAN'!$C$7:$C$1492,0),0))</f>
        <v>54500</v>
      </c>
      <c r="H25" s="42">
        <f t="shared" ca="1" si="1"/>
        <v>163500</v>
      </c>
      <c r="I25" s="42">
        <f t="shared" ca="1" si="2"/>
        <v>0</v>
      </c>
      <c r="J25" s="42">
        <f t="shared" ca="1" si="3"/>
        <v>0</v>
      </c>
      <c r="K25" s="43">
        <f t="shared" ca="1" si="0"/>
        <v>163500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Kabel NYY 1 x 70 mm²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44</v>
      </c>
      <c r="G26" s="41">
        <f ca="1">IF(ISERROR(OFFSET('HARGA SATUAN'!$I$6,MATCH(C26,'HARGA SATUAN'!$C$7:$C$1492,0),0)),"",OFFSET('HARGA SATUAN'!$I$6,MATCH(C26,'HARGA SATUAN'!$C$7:$C$1492,0),0))</f>
        <v>94700</v>
      </c>
      <c r="H26" s="42">
        <f t="shared" ca="1" si="1"/>
        <v>4166800</v>
      </c>
      <c r="I26" s="42">
        <f t="shared" ca="1" si="2"/>
        <v>0</v>
      </c>
      <c r="J26" s="42">
        <f t="shared" ca="1" si="3"/>
        <v>0</v>
      </c>
      <c r="K26" s="43">
        <f t="shared" ca="1" si="0"/>
        <v>4166800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329024050</v>
      </c>
      <c r="I168" s="55">
        <f ca="1">SUM(I14:I167)</f>
        <v>0</v>
      </c>
      <c r="J168" s="55">
        <f ca="1">SUM(J14:J167)</f>
        <v>0</v>
      </c>
      <c r="K168" s="55">
        <f ca="1">SUM(K14:K167)</f>
        <v>329024050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32902405</v>
      </c>
      <c r="I169" s="60">
        <f ca="1">I168*0.1</f>
        <v>0</v>
      </c>
      <c r="J169" s="60">
        <f ca="1">J168*0.1</f>
        <v>0</v>
      </c>
      <c r="K169" s="60">
        <f ca="1">K168*0.1</f>
        <v>32902405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361926455</v>
      </c>
      <c r="I170" s="78">
        <f ca="1">SUM(I168:I169)</f>
        <v>0</v>
      </c>
      <c r="J170" s="61">
        <f ca="1">SUM(J168:J169)</f>
        <v>0</v>
      </c>
      <c r="K170" s="61">
        <f ca="1">SUM(K168:K169)</f>
        <v>361926455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SUMIFS(RAB!$F$14:$F$346,RAB!$C$14:$C$346,C224)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SUMIFS(RAB!$F$14:$F$346,RAB!$C$14:$C$346,C225)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SUMIFS(RAB!$F$14:$F$346,RAB!$C$14:$C$346,C226)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SUMIFS(RAB!$F$14:$F$346,RAB!$C$14:$C$346,C227)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SUMIFS(RAB!$F$14:$F$346,RAB!$C$14:$C$346,C228)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SUMIFS(RAB!$F$14:$F$346,RAB!$C$14:$C$346,C229)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SUMIFS(RAB!$F$14:$F$346,RAB!$C$14:$C$346,C230)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SUMIFS(RAB!$F$14:$F$346,RAB!$C$14:$C$346,C231)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SUMIFS(RAB!$F$14:$F$346,RAB!$C$14:$C$346,C232)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SUMIFS(RAB!$F$14:$F$346,RAB!$C$14:$C$346,C233)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SUMIFS(RAB!$F$14:$F$346,RAB!$C$14:$C$346,C234)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SUMIFS(RAB!$F$14:$F$346,RAB!$C$14:$C$346,C235)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SUMIFS(RAB!$F$14:$F$346,RAB!$C$14:$C$346,C236)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SUMIFS(RAB!$F$14:$F$346,RAB!$C$14:$C$346,C237)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SUMIFS(RAB!$F$14:$F$346,RAB!$C$14:$C$346,C238)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SUMIFS(RAB!$F$14:$F$346,RAB!$C$14:$C$346,C239)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SUMIFS(RAB!$F$14:$F$346,RAB!$C$14:$C$346,C240)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SUMIFS(RAB!$F$14:$F$346,RAB!$C$14:$C$346,C241)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SUMIFS(RAB!$F$14:$F$346,RAB!$C$14:$C$346,C242)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SUMIFS(RAB!$F$14:$F$346,RAB!$C$14:$C$346,C243)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SUMIFS(RAB!$F$14:$F$346,RAB!$C$14:$C$346,C244)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SUMIFS(RAB!$F$14:$F$346,RAB!$C$14:$C$346,C245)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SUMIFS(RAB!$F$14:$F$346,RAB!$C$14:$C$346,C246)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SUMIFS(RAB!$F$14:$F$346,RAB!$C$14:$C$346,C247)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SUMIFS(RAB!$F$14:$F$346,RAB!$C$14:$C$346,C248)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SUMIFS(RAB!$F$14:$F$346,RAB!$C$14:$C$346,C249)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SUMIFS(RAB!$F$14:$F$346,RAB!$C$14:$C$346,C250)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SUMIFS(RAB!$F$14:$F$346,RAB!$C$14:$C$346,C251)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SUMIFS(RAB!$F$14:$F$346,RAB!$C$14:$C$346,C252)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SUMIFS(RAB!$F$14:$F$346,RAB!$C$14:$C$346,C253)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SUMIFS(RAB!$F$14:$F$346,RAB!$C$14:$C$346,C254)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SUMIFS(RAB!$F$14:$F$346,RAB!$C$14:$C$346,C255)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SUMIFS(RAB!$F$14:$F$346,RAB!$C$14:$C$346,C256)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SUMIFS(RAB!$F$14:$F$346,RAB!$C$14:$C$346,C257)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SUMIFS(RAB!$F$14:$F$346,RAB!$C$14:$C$346,C258)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SUMIFS(RAB!$F$14:$F$346,RAB!$C$14:$C$346,C259)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SUMIFS(RAB!$F$14:$F$346,RAB!$C$14:$C$346,C260)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SUMIFS(RAB!$F$14:$F$346,RAB!$C$14:$C$346,C261)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SUMIFS(RAB!$F$14:$F$346,RAB!$C$14:$C$346,C262)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SUMIFS(RAB!$F$14:$F$346,RAB!$C$14:$C$346,C263)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SUMIFS(RAB!$F$14:$F$346,RAB!$C$14:$C$346,C264)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SUMIFS(RAB!$F$14:$F$346,RAB!$C$14:$C$346,C265)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SUMIFS(RAB!$F$14:$F$346,RAB!$C$14:$C$346,C266)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SUMIFS(RAB!$F$14:$F$346,RAB!$C$14:$C$346,C267)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SUMIFS(RAB!$F$14:$F$346,RAB!$C$14:$C$346,C268)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SUMIFS(RAB!$F$14:$F$346,RAB!$C$14:$C$346,C269)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SUMIFS(RAB!$F$14:$F$346,RAB!$C$14:$C$346,C270)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SUMIFS(RAB!$F$14:$F$346,RAB!$C$14:$C$346,C271)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SUMIFS(RAB!$F$14:$F$346,RAB!$C$14:$C$346,C272)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SUMIFS(RAB!$F$14:$F$346,RAB!$C$14:$C$346,C273)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SUMIFS(RAB!$F$14:$F$346,RAB!$C$14:$C$346,C274)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SUMIFS(RAB!$F$14:$F$346,RAB!$C$14:$C$346,C275)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SUMIFS(RAB!$F$14:$F$346,RAB!$C$14:$C$346,C276)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SUMIFS(RAB!$F$14:$F$346,RAB!$C$14:$C$346,C277)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SUMIFS(RAB!$F$14:$F$346,RAB!$C$14:$C$346,C278)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SUMIFS(RAB!$F$14:$F$346,RAB!$C$14:$C$346,C279)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SUMIFS(RAB!$F$14:$F$346,RAB!$C$14:$C$346,C280)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SUMIFS(RAB!$F$14:$F$346,RAB!$C$14:$C$346,C281)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SUMIFS(RAB!$F$14:$F$346,RAB!$C$14:$C$346,C282)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SUMIFS(RAB!$F$14:$F$346,RAB!$C$14:$C$346,C283)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SUMIFS(RAB!$F$14:$F$346,RAB!$C$14:$C$346,C284)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SUMIFS(RAB!$F$14:$F$346,RAB!$C$14:$C$346,C285)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SUMIFS(RAB!$F$14:$F$346,RAB!$C$14:$C$346,C286)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SUMIFS(RAB!$F$14:$F$346,RAB!$C$14:$C$346,C287)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SUMIFS(RAB!$F$14:$F$346,RAB!$C$14:$C$346,C288)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SUMIFS(RAB!$F$14:$F$346,RAB!$C$14:$C$346,C289)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SUMIFS(RAB!$F$14:$F$346,RAB!$C$14:$C$346,C290)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SUMIFS(RAB!$F$14:$F$346,RAB!$C$14:$C$346,C291)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SUMIFS(RAB!$F$14:$F$346,RAB!$C$14:$C$346,C292)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SUMIFS(RAB!$F$14:$F$346,RAB!$C$14:$C$346,C293)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SUMIFS(RAB!$F$14:$F$346,RAB!$C$14:$C$346,C294)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SUMIFS(RAB!$F$14:$F$346,RAB!$C$14:$C$346,C295)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SUMIFS(RAB!$F$14:$F$346,RAB!$C$14:$C$346,C296)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SUMIFS(RAB!$F$14:$F$346,RAB!$C$14:$C$346,C297)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SUMIFS(RAB!$F$14:$F$346,RAB!$C$14:$C$346,C298)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SUMIFS(RAB!$F$14:$F$346,RAB!$C$14:$C$346,C299)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SUMIFS(RAB!$F$14:$F$346,RAB!$C$14:$C$346,C300)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SUMIFS(RAB!$F$14:$F$346,RAB!$C$14:$C$346,C301)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SUMIFS(RAB!$F$14:$F$346,RAB!$C$14:$C$346,C302)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SUMIFS(RAB!$F$14:$F$346,RAB!$C$14:$C$346,C303)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SUMIFS(RAB!$F$14:$F$346,RAB!$C$14:$C$346,C304)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SUMIFS(RAB!$F$14:$F$346,RAB!$C$14:$C$346,C305)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SUMIFS(RAB!$F$14:$F$346,RAB!$C$14:$C$346,C306)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SUMIFS(RAB!$F$14:$F$346,RAB!$C$14:$C$346,C307)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SUMIFS(RAB!$F$14:$F$346,RAB!$C$14:$C$346,C308)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SUMIFS(RAB!$F$14:$F$346,RAB!$C$14:$C$346,C309)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SUMIFS(RAB!$F$14:$F$346,RAB!$C$14:$C$346,C310)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SUMIFS(RAB!$F$14:$F$346,RAB!$C$14:$C$346,C311)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SUMIFS(RAB!$F$14:$F$346,RAB!$C$14:$C$346,C312)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SUMIFS(RAB!$F$14:$F$346,RAB!$C$14:$C$346,C313)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SUMIFS(RAB!$F$14:$F$346,RAB!$C$14:$C$346,C314)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SUMIFS(RAB!$F$14:$F$346,RAB!$C$14:$C$346,C315)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SUMIFS(RAB!$F$14:$F$346,RAB!$C$14:$C$346,C316)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SUMIFS(RAB!$F$14:$F$346,RAB!$C$14:$C$346,C317)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SUMIFS(RAB!$F$14:$F$346,RAB!$C$14:$C$346,C318)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SUMIFS(RAB!$F$14:$F$346,RAB!$C$14:$C$346,C319)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SUMIFS(RAB!$F$14:$F$346,RAB!$C$14:$C$346,C320)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SUMIFS(RAB!$F$14:$F$346,RAB!$C$14:$C$346,C321)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SUMIFS(RAB!$F$14:$F$346,RAB!$C$14:$C$346,C322)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SUMIFS(RAB!$F$14:$F$346,RAB!$C$14:$C$346,C323)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SUMIFS(RAB!$F$14:$F$346,RAB!$C$14:$C$346,C324)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SUMIFS(RAB!$F$14:$F$346,RAB!$C$14:$C$346,C325)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SUMIFS(RAB!$F$14:$F$346,RAB!$C$14:$C$346,C326)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SUMIFS(RAB!$F$14:$F$346,RAB!$C$14:$C$346,C327)</f>
        <v>7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SUMIFS(RAB!$F$14:$F$346,RAB!$C$14:$C$346,C328)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SUMIFS(RAB!$F$14:$F$346,RAB!$C$14:$C$346,C329)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SUMIFS(RAB!$F$14:$F$346,RAB!$C$14:$C$346,C330)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SUMIFS(RAB!$F$14:$F$346,RAB!$C$14:$C$346,C331)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SUMIFS(RAB!$F$14:$F$346,RAB!$C$14:$C$346,C332)</f>
        <v>12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SUMIFS(RAB!$F$14:$F$346,RAB!$C$14:$C$346,C333)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SUMIFS(RAB!$F$14:$F$346,RAB!$C$14:$C$346,C334)</f>
        <v>162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SUMIFS(RAB!$F$14:$F$346,RAB!$C$14:$C$346,C335)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SUMIFS(RAB!$F$14:$F$346,RAB!$C$14:$C$346,C336)</f>
        <v>69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SUMIFS(RAB!$F$14:$F$346,RAB!$C$14:$C$346,C337)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SUMIFS(RAB!$F$14:$F$346,RAB!$C$14:$C$346,C338)</f>
        <v>11889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SUMIFS(RAB!$F$14:$F$346,RAB!$C$14:$C$346,C339)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SUMIFS(RAB!$F$14:$F$346,RAB!$C$14:$C$346,C340)</f>
        <v>21</v>
      </c>
      <c r="E340" s="24">
        <f t="shared" ca="1" si="22"/>
        <v>1</v>
      </c>
      <c r="F340" s="24">
        <f ca="1">IF(D340=0,0,SUM($E$223:E340))</f>
        <v>9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SUMIFS(RAB!$F$14:$F$346,RAB!$C$14:$C$346,C341)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SUMIFS(RAB!$F$14:$F$346,RAB!$C$14:$C$346,C342)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SUMIFS(RAB!$F$14:$F$346,RAB!$C$14:$C$346,C343)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SUMIFS(RAB!$F$14:$F$346,RAB!$C$14:$C$346,C344)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SUMIFS(RAB!$F$14:$F$346,RAB!$C$14:$C$346,C345)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SUMIFS(RAB!$F$14:$F$346,RAB!$C$14:$C$346,C346)</f>
        <v>3</v>
      </c>
      <c r="E346" s="24">
        <f t="shared" ca="1" si="22"/>
        <v>1</v>
      </c>
      <c r="F346" s="24">
        <f ca="1">IF(D346=0,0,SUM($E$223:E346))</f>
        <v>10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SUMIFS(RAB!$F$14:$F$346,RAB!$C$14:$C$346,C347)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SUMIFS(RAB!$F$14:$F$346,RAB!$C$14:$C$346,C348)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SUMIFS(RAB!$F$14:$F$346,RAB!$C$14:$C$346,C349)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SUMIFS(RAB!$F$14:$F$346,RAB!$C$14:$C$346,C350)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SUMIFS(RAB!$F$14:$F$346,RAB!$C$14:$C$346,C351)</f>
        <v>44</v>
      </c>
      <c r="E351" s="24">
        <f t="shared" ca="1" si="22"/>
        <v>1</v>
      </c>
      <c r="F351" s="24">
        <f ca="1">IF(D351=0,0,SUM($E$223:E351))</f>
        <v>11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SUMIFS(RAB!$F$14:$F$346,RAB!$C$14:$C$346,C352)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SUMIFS(RAB!$F$14:$F$346,RAB!$C$14:$C$346,C353)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SUMIFS(RAB!$F$14:$F$346,RAB!$C$14:$C$346,C354)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SUMIFS(RAB!$F$14:$F$346,RAB!$C$14:$C$346,C355)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SUMIFS(RAB!$F$14:$F$346,RAB!$C$14:$C$346,C356)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SUMIFS(RAB!$F$14:$F$346,RAB!$C$14:$C$346,C357)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SUMIFS(RAB!$F$14:$F$346,RAB!$C$14:$C$346,C358)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SUMIFS(RAB!$F$14:$F$346,RAB!$C$14:$C$346,C359)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SUMIFS(RAB!$F$14:$F$346,RAB!$C$14:$C$346,C360)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SUMIFS(RAB!$F$14:$F$346,RAB!$C$14:$C$346,C361)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SUMIFS(RAB!$F$14:$F$346,RAB!$C$14:$C$346,C362)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SUMIFS(RAB!$F$14:$F$346,RAB!$C$14:$C$346,C363)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SUMIFS(RAB!$F$14:$F$346,RAB!$C$14:$C$346,C364)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SUMIFS(RAB!$F$14:$F$346,RAB!$C$14:$C$346,C365)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SUMIFS(RAB!$F$14:$F$346,RAB!$C$14:$C$346,C366)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SUMIFS(RAB!$F$14:$F$346,RAB!$C$14:$C$346,C367)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SUMIFS(RAB!$F$14:$F$346,RAB!$C$14:$C$346,C368)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SUMIFS(RAB!$F$14:$F$346,RAB!$C$14:$C$346,C369)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SUMIFS(RAB!$F$14:$F$346,RAB!$C$14:$C$346,C370)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SUMIFS(RAB!$F$14:$F$346,RAB!$C$14:$C$346,C371)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SUMIFS(RAB!$F$14:$F$346,RAB!$C$14:$C$346,C372)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SUMIFS(RAB!$F$14:$F$346,RAB!$C$14:$C$346,C373)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77" priority="5" operator="equal">
      <formula>0</formula>
    </cfRule>
  </conditionalFormatting>
  <conditionalFormatting sqref="C16:C165">
    <cfRule type="cellIs" dxfId="76" priority="4" stopIfTrue="1" operator="equal">
      <formula>0</formula>
    </cfRule>
  </conditionalFormatting>
  <conditionalFormatting sqref="C16:E165">
    <cfRule type="cellIs" dxfId="75" priority="1" operator="equal">
      <formula>0</formula>
    </cfRule>
  </conditionalFormatting>
  <conditionalFormatting sqref="D224:F373">
    <cfRule type="cellIs" dxfId="74" priority="8" operator="equal">
      <formula>0</formula>
    </cfRule>
  </conditionalFormatting>
  <conditionalFormatting sqref="E1:E3 G1:G115 E6:E15 H12:I12 N13 F14:F15 H14:K115 E166:K166 G166:G223 E167:F167 H167:K167">
    <cfRule type="cellIs" dxfId="73" priority="43" stopIfTrue="1" operator="equal">
      <formula>0</formula>
    </cfRule>
  </conditionalFormatting>
  <conditionalFormatting sqref="E171:E65536">
    <cfRule type="cellIs" dxfId="72" priority="9" stopIfTrue="1" operator="equal">
      <formula>0</formula>
    </cfRule>
  </conditionalFormatting>
  <conditionalFormatting sqref="G224">
    <cfRule type="cellIs" dxfId="71" priority="10" operator="equal">
      <formula>0</formula>
    </cfRule>
  </conditionalFormatting>
  <conditionalFormatting sqref="G225:G65536">
    <cfRule type="cellIs" dxfId="70" priority="14" stopIfTrue="1" operator="equal">
      <formula>0</formula>
    </cfRule>
  </conditionalFormatting>
  <conditionalFormatting sqref="R14:T166 G116:K165">
    <cfRule type="cellIs" dxfId="6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185" activePane="bottomRight" state="frozen"/>
      <selection activeCell="D209" sqref="D209"/>
      <selection pane="topRight" activeCell="D209" sqref="D209"/>
      <selection pane="bottomLeft" activeCell="D209" sqref="D209"/>
      <selection pane="bottomRight" activeCell="H849" sqref="H84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1609</v>
      </c>
      <c r="G4" s="108" t="s">
        <v>1608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68" priority="138" operator="equal">
      <formula>0</formula>
    </cfRule>
  </conditionalFormatting>
  <conditionalFormatting sqref="B8:C135">
    <cfRule type="cellIs" dxfId="67" priority="51" operator="equal">
      <formula>0</formula>
    </cfRule>
  </conditionalFormatting>
  <conditionalFormatting sqref="B150:G1493">
    <cfRule type="cellIs" dxfId="66" priority="1" operator="equal">
      <formula>0</formula>
    </cfRule>
  </conditionalFormatting>
  <conditionalFormatting sqref="C143:G149">
    <cfRule type="cellIs" dxfId="65" priority="5" operator="equal">
      <formula>0</formula>
    </cfRule>
  </conditionalFormatting>
  <conditionalFormatting sqref="D9:G142">
    <cfRule type="cellIs" dxfId="64" priority="11" operator="equal">
      <formula>0</formula>
    </cfRule>
  </conditionalFormatting>
  <conditionalFormatting sqref="D1:IV5 A1:C7 D6:K6 H1455:IV1457 H1458:XFD1485 H1486:H1493 I1486:XFD1494 A1494:H1494 A1495:XFD65536">
    <cfRule type="cellIs" dxfId="63" priority="163" operator="equal">
      <formula>0</formula>
    </cfRule>
  </conditionalFormatting>
  <conditionalFormatting sqref="D7:IV8 C136:C142 B136:B149">
    <cfRule type="cellIs" dxfId="62" priority="62" operator="equal">
      <formula>0</formula>
    </cfRule>
  </conditionalFormatting>
  <conditionalFormatting sqref="H9:H1418">
    <cfRule type="cellIs" dxfId="61" priority="129" operator="equal">
      <formula>0</formula>
    </cfRule>
  </conditionalFormatting>
  <conditionalFormatting sqref="H1419:I1454">
    <cfRule type="cellIs" dxfId="60" priority="128" operator="equal">
      <formula>0</formula>
    </cfRule>
  </conditionalFormatting>
  <conditionalFormatting sqref="I108:I1418">
    <cfRule type="cellIs" dxfId="59" priority="125" operator="equal">
      <formula>0</formula>
    </cfRule>
  </conditionalFormatting>
  <conditionalFormatting sqref="J108:IV1454">
    <cfRule type="cellIs" dxfId="58" priority="139" operator="equal">
      <formula>0</formula>
    </cfRule>
  </conditionalFormatting>
  <conditionalFormatting sqref="M6:IV6">
    <cfRule type="cellIs" dxfId="5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K14" sqref="K14:L1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68" t="s">
        <v>1532</v>
      </c>
      <c r="C4" s="569"/>
      <c r="D4" s="569"/>
      <c r="E4" s="570"/>
      <c r="F4" s="431"/>
      <c r="G4" s="431"/>
      <c r="H4" s="432"/>
      <c r="I4" s="595" t="s">
        <v>1533</v>
      </c>
      <c r="J4" s="596"/>
      <c r="K4" s="596"/>
      <c r="L4" s="597"/>
    </row>
    <row r="5" spans="1:12" ht="34.5" customHeight="1">
      <c r="A5" s="204"/>
      <c r="B5" s="434" t="s">
        <v>1379</v>
      </c>
      <c r="C5" s="274" t="s">
        <v>9</v>
      </c>
      <c r="D5" s="564" t="str">
        <f>DATA!D14</f>
        <v xml:space="preserve">AGR ALI KHAMDAN </v>
      </c>
      <c r="E5" s="565"/>
      <c r="F5" s="208"/>
      <c r="G5" s="208"/>
      <c r="I5" s="435" t="s">
        <v>1379</v>
      </c>
      <c r="J5" s="274" t="s">
        <v>9</v>
      </c>
      <c r="K5" s="598" t="str">
        <f>D5</f>
        <v xml:space="preserve">AGR ALI KHAMDAN </v>
      </c>
      <c r="L5" s="599"/>
    </row>
    <row r="6" spans="1:12" ht="31.5" customHeight="1">
      <c r="A6" s="204"/>
      <c r="B6" s="434" t="s">
        <v>1529</v>
      </c>
      <c r="C6" s="274" t="s">
        <v>9</v>
      </c>
      <c r="D6" s="573">
        <f>DATA!D17*1000</f>
        <v>0</v>
      </c>
      <c r="E6" s="574"/>
      <c r="F6" s="208"/>
      <c r="G6" s="208"/>
      <c r="I6" s="435" t="s">
        <v>1530</v>
      </c>
      <c r="J6" s="274" t="s">
        <v>9</v>
      </c>
      <c r="K6" s="600">
        <f>DATA!D20*1000</f>
        <v>105000</v>
      </c>
      <c r="L6" s="601"/>
    </row>
    <row r="7" spans="1:12" ht="30.75" customHeight="1">
      <c r="A7" s="204"/>
      <c r="B7" s="434" t="s">
        <v>1441</v>
      </c>
      <c r="C7" s="274" t="s">
        <v>9</v>
      </c>
      <c r="D7" s="571">
        <f>DATA!D18</f>
        <v>1</v>
      </c>
      <c r="E7" s="572"/>
      <c r="F7" s="433" t="s">
        <v>1453</v>
      </c>
      <c r="I7" s="435" t="s">
        <v>1441</v>
      </c>
      <c r="J7" s="274" t="s">
        <v>9</v>
      </c>
      <c r="K7" s="602">
        <f>DATA!D21</f>
        <v>3</v>
      </c>
      <c r="L7" s="603"/>
    </row>
    <row r="8" spans="1:12" ht="51" customHeight="1">
      <c r="A8" s="204"/>
      <c r="B8" s="434" t="s">
        <v>1442</v>
      </c>
      <c r="C8" s="274" t="s">
        <v>9</v>
      </c>
      <c r="D8" s="571">
        <f>DATA!D19</f>
        <v>220</v>
      </c>
      <c r="E8" s="572"/>
      <c r="F8" s="433" t="s">
        <v>1453</v>
      </c>
      <c r="G8" s="428">
        <v>220</v>
      </c>
      <c r="I8" s="435" t="s">
        <v>1442</v>
      </c>
      <c r="J8" s="274" t="s">
        <v>9</v>
      </c>
      <c r="K8" s="602">
        <f>DATA!D22</f>
        <v>380</v>
      </c>
      <c r="L8" s="603"/>
    </row>
    <row r="9" spans="1:12" ht="30" customHeight="1" thickBot="1">
      <c r="A9" s="204"/>
      <c r="B9" s="440" t="s">
        <v>1541</v>
      </c>
      <c r="C9" s="430" t="s">
        <v>9</v>
      </c>
      <c r="D9" s="566">
        <f>IF(D7=1,D6/(380/3^0.5),(D6/(380*3^0.5)))</f>
        <v>0</v>
      </c>
      <c r="E9" s="567"/>
      <c r="F9" s="207"/>
      <c r="G9" s="429">
        <v>380</v>
      </c>
      <c r="I9" s="441" t="s">
        <v>1541</v>
      </c>
      <c r="J9" s="430" t="s">
        <v>9</v>
      </c>
      <c r="K9" s="604">
        <f>IF(K7=1,K6/(380/3^0.5),(K6/(380*3^0.5)))</f>
        <v>159.53099543397556</v>
      </c>
      <c r="L9" s="605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75" t="s">
        <v>1620</v>
      </c>
      <c r="E12" s="576"/>
      <c r="F12" s="208"/>
      <c r="G12" s="208"/>
      <c r="I12" s="457" t="s">
        <v>1534</v>
      </c>
      <c r="J12" s="458" t="s">
        <v>9</v>
      </c>
      <c r="K12" s="575" t="s">
        <v>1620</v>
      </c>
      <c r="L12" s="576"/>
    </row>
    <row r="13" spans="1:12" ht="31.5" customHeight="1">
      <c r="A13" s="204"/>
      <c r="B13" s="465" t="s">
        <v>1380</v>
      </c>
      <c r="C13" s="445" t="s">
        <v>9</v>
      </c>
      <c r="D13" s="579" t="s">
        <v>1621</v>
      </c>
      <c r="E13" s="580"/>
      <c r="F13" s="208"/>
      <c r="G13" s="208"/>
      <c r="I13" s="459" t="s">
        <v>1380</v>
      </c>
      <c r="J13" s="445" t="s">
        <v>9</v>
      </c>
      <c r="K13" s="579" t="s">
        <v>1621</v>
      </c>
      <c r="L13" s="580"/>
    </row>
    <row r="14" spans="1:12" ht="30.75" customHeight="1">
      <c r="A14" s="204"/>
      <c r="B14" s="465" t="s">
        <v>1535</v>
      </c>
      <c r="C14" s="445" t="s">
        <v>9</v>
      </c>
      <c r="D14" s="587"/>
      <c r="E14" s="588"/>
      <c r="F14" s="433" t="s">
        <v>1453</v>
      </c>
      <c r="G14" s="437">
        <v>50</v>
      </c>
      <c r="I14" s="459" t="s">
        <v>1535</v>
      </c>
      <c r="J14" s="445" t="s">
        <v>9</v>
      </c>
      <c r="K14" s="589">
        <v>100</v>
      </c>
      <c r="L14" s="590"/>
    </row>
    <row r="15" spans="1:12" ht="57" customHeight="1">
      <c r="A15" s="204"/>
      <c r="B15" s="465" t="s">
        <v>1441</v>
      </c>
      <c r="C15" s="445" t="s">
        <v>9</v>
      </c>
      <c r="D15" s="451"/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91">
        <v>35</v>
      </c>
      <c r="E16" s="592"/>
      <c r="F16" s="433"/>
      <c r="G16" s="437">
        <v>160</v>
      </c>
      <c r="I16" s="459" t="s">
        <v>1537</v>
      </c>
      <c r="J16" s="445" t="s">
        <v>9</v>
      </c>
      <c r="K16" s="593">
        <f>K9</f>
        <v>159.53099543397556</v>
      </c>
      <c r="L16" s="594"/>
    </row>
    <row r="17" spans="1:12" ht="34.5" customHeight="1">
      <c r="A17" s="204"/>
      <c r="B17" s="465" t="s">
        <v>1538</v>
      </c>
      <c r="C17" s="445" t="s">
        <v>9</v>
      </c>
      <c r="D17" s="581">
        <f>IF(D15=1,D14/(20/3^0.5),(D14/(20*3^0.5)))</f>
        <v>0</v>
      </c>
      <c r="E17" s="582"/>
      <c r="F17" s="433" t="s">
        <v>1453</v>
      </c>
      <c r="G17" s="438">
        <v>200</v>
      </c>
      <c r="I17" s="459" t="s">
        <v>1538</v>
      </c>
      <c r="J17" s="445" t="s">
        <v>9</v>
      </c>
      <c r="K17" s="585">
        <f>IF(K15=1,K14/(20/3^0.5),(K14/(20*3^0.5)))</f>
        <v>2.8867513459481291</v>
      </c>
      <c r="L17" s="586"/>
    </row>
    <row r="18" spans="1:12" ht="34.5" customHeight="1">
      <c r="A18" s="204"/>
      <c r="B18" s="465" t="s">
        <v>1539</v>
      </c>
      <c r="C18" s="445" t="s">
        <v>9</v>
      </c>
      <c r="D18" s="581">
        <f>IF(D15=1,D14/(380/3^0.5),(D14/(380*3^0.5)))*1000</f>
        <v>0</v>
      </c>
      <c r="E18" s="582"/>
      <c r="F18" s="433" t="s">
        <v>1453</v>
      </c>
      <c r="G18" s="438">
        <v>250</v>
      </c>
      <c r="I18" s="459" t="s">
        <v>1539</v>
      </c>
      <c r="J18" s="445" t="s">
        <v>9</v>
      </c>
      <c r="K18" s="585">
        <f>IF(K15=1,K14/(380/3^0.5),(K14/(380*3^0.5)))*1000</f>
        <v>151.93428136569102</v>
      </c>
      <c r="L18" s="586"/>
    </row>
    <row r="19" spans="1:12" ht="30" customHeight="1">
      <c r="A19" s="204"/>
      <c r="B19" s="466" t="s">
        <v>1531</v>
      </c>
      <c r="C19" s="444" t="s">
        <v>9</v>
      </c>
      <c r="D19" s="581">
        <f>IF(D15=1,D14/(380/3^0.5),(D14/(380*3^0.5)))</f>
        <v>0</v>
      </c>
      <c r="E19" s="582"/>
      <c r="F19" s="207"/>
      <c r="G19" s="429"/>
      <c r="I19" s="461" t="s">
        <v>1531</v>
      </c>
      <c r="J19" s="444" t="s">
        <v>9</v>
      </c>
      <c r="K19" s="585">
        <f>IF(K15=1,K14/(380/3^0.5),(K14/(380*3^0.5)))</f>
        <v>0.15193428136569101</v>
      </c>
      <c r="L19" s="586"/>
    </row>
    <row r="20" spans="1:12" ht="30" customHeight="1" thickBot="1">
      <c r="A20" s="204"/>
      <c r="B20" s="467" t="s">
        <v>1540</v>
      </c>
      <c r="C20" s="463" t="s">
        <v>9</v>
      </c>
      <c r="D20" s="577" t="e">
        <f>D16/D18</f>
        <v>#DIV/0!</v>
      </c>
      <c r="E20" s="578"/>
      <c r="F20" s="207"/>
      <c r="G20" s="429"/>
      <c r="I20" s="462" t="s">
        <v>1531</v>
      </c>
      <c r="J20" s="463" t="s">
        <v>9</v>
      </c>
      <c r="K20" s="583">
        <f>K16/K18</f>
        <v>1.05</v>
      </c>
      <c r="L20" s="584"/>
    </row>
    <row r="21" spans="1:12" ht="9.75" customHeight="1">
      <c r="A21" s="204"/>
      <c r="B21" s="452" t="s">
        <v>1540</v>
      </c>
      <c r="C21" s="453" t="s">
        <v>9</v>
      </c>
      <c r="D21" s="562">
        <v>1</v>
      </c>
      <c r="E21" s="562"/>
      <c r="F21" s="454"/>
      <c r="G21" s="455"/>
      <c r="H21" s="456"/>
      <c r="I21" s="452" t="s">
        <v>1531</v>
      </c>
      <c r="J21" s="453" t="s">
        <v>9</v>
      </c>
      <c r="K21" s="562">
        <v>1</v>
      </c>
      <c r="L21" s="562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47"/>
    </row>
    <row r="27" spans="1:12">
      <c r="D27" s="44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56" priority="5" stopIfTrue="1" operator="greaterThan">
      <formula>0.89</formula>
    </cfRule>
    <cfRule type="cellIs" dxfId="5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20" sqref="D20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606"/>
      <c r="C1" s="606"/>
      <c r="D1" s="606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1611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105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101745000</v>
      </c>
    </row>
    <row r="10" spans="2:11" ht="20.100000000000001" customHeight="1">
      <c r="B10" s="288" t="s">
        <v>1446</v>
      </c>
      <c r="C10" s="289" t="s">
        <v>9</v>
      </c>
      <c r="D10" s="295">
        <f ca="1">RAB!K352</f>
        <v>706799927.02493501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14135998.5404987</v>
      </c>
    </row>
    <row r="12" spans="2:11" ht="9" customHeight="1">
      <c r="B12" s="607"/>
      <c r="C12" s="607"/>
      <c r="D12" s="607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1618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1619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0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1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220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105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3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380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1458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972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22" activePane="bottomLeft" state="frozen"/>
      <selection activeCell="H1093" sqref="H1093"/>
      <selection pane="bottomLeft" activeCell="K8" sqref="K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08" t="s">
        <v>1357</v>
      </c>
      <c r="C3" s="608"/>
      <c r="D3" s="608"/>
      <c r="E3" s="608"/>
      <c r="F3" s="302" t="str">
        <f>DATA!D14</f>
        <v xml:space="preserve">AGR ALI KHAMDAN 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609" t="s">
        <v>1349</v>
      </c>
      <c r="C5" s="609" t="s">
        <v>1358</v>
      </c>
      <c r="D5" s="610" t="s">
        <v>1359</v>
      </c>
      <c r="E5" s="610" t="s">
        <v>1360</v>
      </c>
      <c r="F5" s="609" t="s">
        <v>1361</v>
      </c>
      <c r="G5" s="609"/>
      <c r="H5" s="609"/>
      <c r="I5" s="609"/>
      <c r="J5" s="609"/>
      <c r="K5" s="609" t="s">
        <v>1362</v>
      </c>
      <c r="L5" s="609"/>
      <c r="M5" s="304"/>
      <c r="N5" s="613" t="s">
        <v>1363</v>
      </c>
      <c r="O5" s="610" t="s">
        <v>1364</v>
      </c>
      <c r="P5" s="610" t="s">
        <v>1365</v>
      </c>
      <c r="Q5" s="610" t="s">
        <v>1366</v>
      </c>
      <c r="R5" s="305"/>
      <c r="S5" s="306"/>
      <c r="T5" s="611" t="s">
        <v>1367</v>
      </c>
      <c r="U5" s="307"/>
    </row>
    <row r="6" spans="1:21" ht="20.100000000000001" customHeight="1">
      <c r="B6" s="609"/>
      <c r="C6" s="609"/>
      <c r="D6" s="609"/>
      <c r="E6" s="609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14"/>
      <c r="O6" s="609"/>
      <c r="P6" s="609"/>
      <c r="Q6" s="609"/>
      <c r="R6" s="305"/>
      <c r="S6" s="306"/>
      <c r="T6" s="609"/>
      <c r="U6" s="309"/>
    </row>
    <row r="7" spans="1:21" ht="20.100000000000001" customHeight="1">
      <c r="A7" s="310">
        <v>0</v>
      </c>
      <c r="B7" s="311">
        <v>2023</v>
      </c>
      <c r="C7" s="468">
        <f>DATA!D8*DATA!D26*3</f>
        <v>12600</v>
      </c>
      <c r="D7" s="313">
        <f>C7*4/24</f>
        <v>2100</v>
      </c>
      <c r="E7" s="313">
        <f>C7-D7</f>
        <v>10500</v>
      </c>
      <c r="F7" s="314">
        <f ca="1">DATA!D10/1000000</f>
        <v>706.79992702493496</v>
      </c>
      <c r="G7" s="315">
        <f ca="1">DATA!$D$11/1000000</f>
        <v>14.135998540498701</v>
      </c>
      <c r="H7" s="315">
        <f>C7*DATA!$D$5/1000000</f>
        <v>13.659975578170959</v>
      </c>
      <c r="I7" s="315">
        <f>(C7*DATA!$D$5*DATA!$D$7)/1000000</f>
        <v>0.30734945050884654</v>
      </c>
      <c r="J7" s="313">
        <f ca="1">SUM(F7:I7)</f>
        <v>734.90325059411339</v>
      </c>
      <c r="K7" s="316">
        <f>DATA!D9/1000000</f>
        <v>101.745</v>
      </c>
      <c r="L7" s="313">
        <f>((D7*DATA!$D$23)/1000000)+((E7*DATA!$D$24)/1000000)</f>
        <v>13.267799999999999</v>
      </c>
      <c r="M7" s="313">
        <f>K7+L7</f>
        <v>115.0128</v>
      </c>
      <c r="N7" s="313">
        <f ca="1">M7-J7</f>
        <v>-619.89045059411342</v>
      </c>
      <c r="O7" s="311">
        <v>1</v>
      </c>
      <c r="P7" s="313">
        <f ca="1">O7*N7</f>
        <v>-619.89045059411342</v>
      </c>
      <c r="Q7" s="313">
        <f ca="1">P7</f>
        <v>-619.89045059411342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50400</v>
      </c>
      <c r="D8" s="313">
        <f>C8*4/24</f>
        <v>8400</v>
      </c>
      <c r="E8" s="313">
        <f t="shared" ref="E8:E32" si="0">C8-D8</f>
        <v>42000</v>
      </c>
      <c r="F8" s="311"/>
      <c r="G8" s="315">
        <f ca="1">DATA!$D$11/1000000</f>
        <v>14.135998540498701</v>
      </c>
      <c r="H8" s="315">
        <f>C8*DATA!$D$5/1000000</f>
        <v>54.639902312683837</v>
      </c>
      <c r="I8" s="315">
        <f>(C8*DATA!$D$5*DATA!$D$7)/1000000</f>
        <v>1.2293978020353862</v>
      </c>
      <c r="J8" s="313">
        <f t="shared" ref="J8:J32" ca="1" si="1">SUM(F8:I8)</f>
        <v>70.005298655217928</v>
      </c>
      <c r="K8" s="318"/>
      <c r="L8" s="313">
        <f>((D8*DATA!$D$23)/1000000)+((E8*DATA!$D$24)/1000000)</f>
        <v>53.071199999999997</v>
      </c>
      <c r="M8" s="313">
        <f t="shared" ref="M8:M32" si="2">K8+L8</f>
        <v>53.071199999999997</v>
      </c>
      <c r="N8" s="313">
        <f ca="1">M8-J8</f>
        <v>-16.93409865521793</v>
      </c>
      <c r="O8" s="312">
        <f>1/(1+'[93]Asumsi I'!$C$3)^(KKF!A8)</f>
        <v>0.89285714285714279</v>
      </c>
      <c r="P8" s="313">
        <f ca="1">O8*N8</f>
        <v>-15.119730942158865</v>
      </c>
      <c r="Q8" s="313">
        <f ca="1">Q7+P8</f>
        <v>-635.01018153627228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50400</v>
      </c>
      <c r="D9" s="313">
        <f t="shared" ref="D9:D32" si="5">C9*4/24</f>
        <v>8400</v>
      </c>
      <c r="E9" s="313">
        <f t="shared" si="0"/>
        <v>42000</v>
      </c>
      <c r="F9" s="311"/>
      <c r="G9" s="315">
        <f ca="1">DATA!$D$11/1000000</f>
        <v>14.135998540498701</v>
      </c>
      <c r="H9" s="315">
        <f>C9*DATA!$D$5/1000000</f>
        <v>54.639902312683837</v>
      </c>
      <c r="I9" s="315">
        <f>(C9*DATA!$D$5*DATA!$D$7)/1000000</f>
        <v>1.2293978020353862</v>
      </c>
      <c r="J9" s="313">
        <f t="shared" ca="1" si="1"/>
        <v>70.005298655217928</v>
      </c>
      <c r="K9" s="313"/>
      <c r="L9" s="313">
        <f>((D9*DATA!$D$23)/1000000)+((E9*DATA!$D$24)/1000000)</f>
        <v>53.071199999999997</v>
      </c>
      <c r="M9" s="313">
        <f t="shared" si="2"/>
        <v>53.071199999999997</v>
      </c>
      <c r="N9" s="313">
        <f t="shared" ref="N9:N32" ca="1" si="6">M9-J9</f>
        <v>-16.93409865521793</v>
      </c>
      <c r="O9" s="319">
        <f>1/(1+'[93]Asumsi I'!$C$3)^(KKF!A9)</f>
        <v>0.79719387755102034</v>
      </c>
      <c r="P9" s="313">
        <f t="shared" ref="P9:P32" ca="1" si="7">O9*N9</f>
        <v>-13.499759769784701</v>
      </c>
      <c r="Q9" s="313">
        <f ca="1">Q8+P9</f>
        <v>-648.50994130605693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50400</v>
      </c>
      <c r="D10" s="313">
        <f t="shared" si="5"/>
        <v>8400</v>
      </c>
      <c r="E10" s="313">
        <f t="shared" si="0"/>
        <v>42000</v>
      </c>
      <c r="F10" s="311"/>
      <c r="G10" s="315">
        <f ca="1">DATA!$D$11/1000000</f>
        <v>14.135998540498701</v>
      </c>
      <c r="H10" s="315">
        <f>C10*DATA!$D$5/1000000</f>
        <v>54.639902312683837</v>
      </c>
      <c r="I10" s="315">
        <f>(C10*DATA!$D$5*DATA!$D$7)/1000000</f>
        <v>1.2293978020353862</v>
      </c>
      <c r="J10" s="313">
        <f t="shared" ca="1" si="1"/>
        <v>70.005298655217928</v>
      </c>
      <c r="K10" s="311"/>
      <c r="L10" s="313">
        <f>((D10*DATA!$D$23)/1000000)+((E10*DATA!$D$24)/1000000)</f>
        <v>53.071199999999997</v>
      </c>
      <c r="M10" s="313">
        <f t="shared" si="2"/>
        <v>53.071199999999997</v>
      </c>
      <c r="N10" s="313">
        <f t="shared" ca="1" si="6"/>
        <v>-16.93409865521793</v>
      </c>
      <c r="O10" s="312">
        <f>1/(1+'[93]Asumsi I'!$C$3)^(KKF!A10)</f>
        <v>0.71178024781341087</v>
      </c>
      <c r="P10" s="313">
        <f t="shared" ca="1" si="7"/>
        <v>-12.053356937307766</v>
      </c>
      <c r="Q10" s="313">
        <f t="shared" ref="Q10:Q30" ca="1" si="9">Q9+P10</f>
        <v>-660.56329824336467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50400</v>
      </c>
      <c r="D11" s="313">
        <f t="shared" si="5"/>
        <v>8400</v>
      </c>
      <c r="E11" s="313">
        <f t="shared" si="0"/>
        <v>42000</v>
      </c>
      <c r="F11" s="311"/>
      <c r="G11" s="315">
        <f ca="1">DATA!$D$11/1000000</f>
        <v>14.135998540498701</v>
      </c>
      <c r="H11" s="315">
        <f>C11*DATA!$D$5/1000000</f>
        <v>54.639902312683837</v>
      </c>
      <c r="I11" s="315">
        <f>(C11*DATA!$D$5*DATA!$D$7)/1000000</f>
        <v>1.2293978020353862</v>
      </c>
      <c r="J11" s="313">
        <f t="shared" ca="1" si="1"/>
        <v>70.005298655217928</v>
      </c>
      <c r="K11" s="311"/>
      <c r="L11" s="313">
        <f>((D11*DATA!$D$23)/1000000)+((E11*DATA!$D$24)/1000000)</f>
        <v>53.071199999999997</v>
      </c>
      <c r="M11" s="313">
        <f t="shared" si="2"/>
        <v>53.071199999999997</v>
      </c>
      <c r="N11" s="313">
        <f t="shared" ca="1" si="6"/>
        <v>-16.93409865521793</v>
      </c>
      <c r="O11" s="312">
        <f>1/(1+'[93]Asumsi I'!$C$3)^(KKF!A11)</f>
        <v>0.63551807840483121</v>
      </c>
      <c r="P11" s="313">
        <f t="shared" ca="1" si="7"/>
        <v>-10.761925836881936</v>
      </c>
      <c r="Q11" s="313">
        <f t="shared" ca="1" si="9"/>
        <v>-671.32522408024658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50400</v>
      </c>
      <c r="D12" s="313">
        <f t="shared" si="5"/>
        <v>8400</v>
      </c>
      <c r="E12" s="313">
        <f t="shared" si="0"/>
        <v>42000</v>
      </c>
      <c r="F12" s="311"/>
      <c r="G12" s="315">
        <f ca="1">DATA!$D$11/1000000</f>
        <v>14.135998540498701</v>
      </c>
      <c r="H12" s="315">
        <f>C12*DATA!$D$5/1000000</f>
        <v>54.639902312683837</v>
      </c>
      <c r="I12" s="315">
        <f>(C12*DATA!$D$5*DATA!$D$7)/1000000</f>
        <v>1.2293978020353862</v>
      </c>
      <c r="J12" s="313">
        <f t="shared" ca="1" si="1"/>
        <v>70.005298655217928</v>
      </c>
      <c r="K12" s="311"/>
      <c r="L12" s="313">
        <f>((D12*DATA!$D$23)/1000000)+((E12*DATA!$D$24)/1000000)</f>
        <v>53.071199999999997</v>
      </c>
      <c r="M12" s="313">
        <f t="shared" si="2"/>
        <v>53.071199999999997</v>
      </c>
      <c r="N12" s="313">
        <f t="shared" ca="1" si="6"/>
        <v>-16.93409865521793</v>
      </c>
      <c r="O12" s="312">
        <f>1/(1+'[93]Asumsi I'!$C$3)^(KKF!A12)</f>
        <v>0.56742685571859919</v>
      </c>
      <c r="P12" s="313">
        <f t="shared" ca="1" si="7"/>
        <v>-9.6088623543588696</v>
      </c>
      <c r="Q12" s="313">
        <f t="shared" ca="1" si="9"/>
        <v>-680.93408643460543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50400</v>
      </c>
      <c r="D13" s="313">
        <f t="shared" si="5"/>
        <v>8400</v>
      </c>
      <c r="E13" s="313">
        <f t="shared" si="0"/>
        <v>42000</v>
      </c>
      <c r="F13" s="311"/>
      <c r="G13" s="315">
        <f ca="1">DATA!$D$11/1000000</f>
        <v>14.135998540498701</v>
      </c>
      <c r="H13" s="315">
        <f>C13*DATA!$D$5/1000000</f>
        <v>54.639902312683837</v>
      </c>
      <c r="I13" s="315">
        <f>(C13*DATA!$D$5*DATA!$D$7)/1000000</f>
        <v>1.2293978020353862</v>
      </c>
      <c r="J13" s="313">
        <f t="shared" ca="1" si="1"/>
        <v>70.005298655217928</v>
      </c>
      <c r="K13" s="311"/>
      <c r="L13" s="313">
        <f>((D13*DATA!$D$23)/1000000)+((E13*DATA!$D$24)/1000000)</f>
        <v>53.071199999999997</v>
      </c>
      <c r="M13" s="313">
        <f t="shared" si="2"/>
        <v>53.071199999999997</v>
      </c>
      <c r="N13" s="313">
        <f t="shared" ca="1" si="6"/>
        <v>-16.93409865521793</v>
      </c>
      <c r="O13" s="312">
        <f>1/(1+'[93]Asumsi I'!$C$3)^(KKF!A13)</f>
        <v>0.50663112117732068</v>
      </c>
      <c r="P13" s="313">
        <f t="shared" ca="1" si="7"/>
        <v>-8.5793413878204188</v>
      </c>
      <c r="Q13" s="313">
        <f t="shared" ca="1" si="9"/>
        <v>-689.5134278224258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50400</v>
      </c>
      <c r="D14" s="313">
        <f t="shared" si="5"/>
        <v>8400</v>
      </c>
      <c r="E14" s="313">
        <f t="shared" si="0"/>
        <v>42000</v>
      </c>
      <c r="F14" s="311"/>
      <c r="G14" s="315">
        <f ca="1">DATA!$D$11/1000000</f>
        <v>14.135998540498701</v>
      </c>
      <c r="H14" s="315">
        <f>C14*DATA!$D$5/1000000</f>
        <v>54.639902312683837</v>
      </c>
      <c r="I14" s="315">
        <f>(C14*DATA!$D$5*DATA!$D$7)/1000000</f>
        <v>1.2293978020353862</v>
      </c>
      <c r="J14" s="313">
        <f t="shared" ca="1" si="1"/>
        <v>70.005298655217928</v>
      </c>
      <c r="K14" s="311"/>
      <c r="L14" s="313">
        <f>((D14*DATA!$D$23)/1000000)+((E14*DATA!$D$24)/1000000)</f>
        <v>53.071199999999997</v>
      </c>
      <c r="M14" s="313">
        <f t="shared" si="2"/>
        <v>53.071199999999997</v>
      </c>
      <c r="N14" s="313">
        <f t="shared" ca="1" si="6"/>
        <v>-16.93409865521793</v>
      </c>
      <c r="O14" s="312">
        <f>1/(1+'[93]Asumsi I'!$C$3)^(KKF!A14)</f>
        <v>0.45234921533689343</v>
      </c>
      <c r="P14" s="313">
        <f t="shared" ca="1" si="7"/>
        <v>-7.6601262391253728</v>
      </c>
      <c r="Q14" s="313">
        <f t="shared" ca="1" si="9"/>
        <v>-697.17355406155116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50400</v>
      </c>
      <c r="D15" s="313">
        <f t="shared" si="5"/>
        <v>8400</v>
      </c>
      <c r="E15" s="313">
        <f t="shared" si="0"/>
        <v>42000</v>
      </c>
      <c r="F15" s="311"/>
      <c r="G15" s="315">
        <f ca="1">DATA!$D$11/1000000</f>
        <v>14.135998540498701</v>
      </c>
      <c r="H15" s="315">
        <f>C15*DATA!$D$5/1000000</f>
        <v>54.639902312683837</v>
      </c>
      <c r="I15" s="315">
        <f>(C15*DATA!$D$5*DATA!$D$7)/1000000</f>
        <v>1.2293978020353862</v>
      </c>
      <c r="J15" s="313">
        <f t="shared" ca="1" si="1"/>
        <v>70.005298655217928</v>
      </c>
      <c r="K15" s="311"/>
      <c r="L15" s="313">
        <f>((D15*DATA!$D$23)/1000000)+((E15*DATA!$D$24)/1000000)</f>
        <v>53.071199999999997</v>
      </c>
      <c r="M15" s="313">
        <f t="shared" si="2"/>
        <v>53.071199999999997</v>
      </c>
      <c r="N15" s="313">
        <f t="shared" ca="1" si="6"/>
        <v>-16.93409865521793</v>
      </c>
      <c r="O15" s="312">
        <f>1/(1+'[93]Asumsi I'!$C$3)^(KKF!A15)</f>
        <v>0.4038832279793691</v>
      </c>
      <c r="P15" s="313">
        <f t="shared" ca="1" si="7"/>
        <v>-6.8393984277905107</v>
      </c>
      <c r="Q15" s="313">
        <f t="shared" ca="1" si="9"/>
        <v>-704.01295248934161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50400</v>
      </c>
      <c r="D16" s="313">
        <f t="shared" si="5"/>
        <v>8400</v>
      </c>
      <c r="E16" s="313">
        <f t="shared" si="0"/>
        <v>42000</v>
      </c>
      <c r="F16" s="311"/>
      <c r="G16" s="315">
        <f ca="1">DATA!$D$11/1000000</f>
        <v>14.135998540498701</v>
      </c>
      <c r="H16" s="315">
        <f>C16*DATA!$D$5/1000000</f>
        <v>54.639902312683837</v>
      </c>
      <c r="I16" s="315">
        <f>(C16*DATA!$D$5*DATA!$D$7)/1000000</f>
        <v>1.2293978020353862</v>
      </c>
      <c r="J16" s="313">
        <f t="shared" ca="1" si="1"/>
        <v>70.005298655217928</v>
      </c>
      <c r="K16" s="311"/>
      <c r="L16" s="313">
        <f>((D16*DATA!$D$23)/1000000)+((E16*DATA!$D$24)/1000000)</f>
        <v>53.071199999999997</v>
      </c>
      <c r="M16" s="313">
        <f t="shared" si="2"/>
        <v>53.071199999999997</v>
      </c>
      <c r="N16" s="313">
        <f t="shared" ca="1" si="6"/>
        <v>-16.93409865521793</v>
      </c>
      <c r="O16" s="312">
        <f>1/(1+'[93]Asumsi I'!$C$3)^(KKF!A16)</f>
        <v>0.36061002498157957</v>
      </c>
      <c r="P16" s="313">
        <f t="shared" ca="1" si="7"/>
        <v>-6.1066057390986712</v>
      </c>
      <c r="Q16" s="313">
        <f t="shared" ca="1" si="9"/>
        <v>-710.11955822844027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50400</v>
      </c>
      <c r="D17" s="313">
        <f t="shared" si="5"/>
        <v>8400</v>
      </c>
      <c r="E17" s="313">
        <f t="shared" si="0"/>
        <v>42000</v>
      </c>
      <c r="F17" s="311"/>
      <c r="G17" s="315">
        <f ca="1">DATA!$D$11/1000000</f>
        <v>14.135998540498701</v>
      </c>
      <c r="H17" s="315">
        <f>C17*DATA!$D$5/1000000</f>
        <v>54.639902312683837</v>
      </c>
      <c r="I17" s="315">
        <f>(C17*DATA!$D$5*DATA!$D$7)/1000000</f>
        <v>1.2293978020353862</v>
      </c>
      <c r="J17" s="313">
        <f t="shared" ca="1" si="1"/>
        <v>70.005298655217928</v>
      </c>
      <c r="K17" s="311"/>
      <c r="L17" s="313">
        <f>((D17*DATA!$D$23)/1000000)+((E17*DATA!$D$24)/1000000)</f>
        <v>53.071199999999997</v>
      </c>
      <c r="M17" s="313">
        <f t="shared" si="2"/>
        <v>53.071199999999997</v>
      </c>
      <c r="N17" s="313">
        <f t="shared" ca="1" si="6"/>
        <v>-16.93409865521793</v>
      </c>
      <c r="O17" s="312">
        <f>1/(1+'[93]Asumsi I'!$C$3)^(KKF!A17)</f>
        <v>0.32197323659069599</v>
      </c>
      <c r="P17" s="313">
        <f t="shared" ca="1" si="7"/>
        <v>-5.4523265527666691</v>
      </c>
      <c r="Q17" s="313">
        <f t="shared" ca="1" si="9"/>
        <v>-715.5718847812069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50400</v>
      </c>
      <c r="D18" s="313">
        <f t="shared" si="5"/>
        <v>8400</v>
      </c>
      <c r="E18" s="313">
        <f t="shared" si="0"/>
        <v>42000</v>
      </c>
      <c r="F18" s="311"/>
      <c r="G18" s="315">
        <f ca="1">DATA!$D$11/1000000</f>
        <v>14.135998540498701</v>
      </c>
      <c r="H18" s="315">
        <f>C18*DATA!$D$5/1000000</f>
        <v>54.639902312683837</v>
      </c>
      <c r="I18" s="315">
        <f>(C18*DATA!$D$5*DATA!$D$7)/1000000</f>
        <v>1.2293978020353862</v>
      </c>
      <c r="J18" s="313">
        <f t="shared" ca="1" si="1"/>
        <v>70.005298655217928</v>
      </c>
      <c r="K18" s="311"/>
      <c r="L18" s="313">
        <f>((D18*DATA!$D$23)/1000000)+((E18*DATA!$D$24)/1000000)</f>
        <v>53.071199999999997</v>
      </c>
      <c r="M18" s="313">
        <f t="shared" si="2"/>
        <v>53.071199999999997</v>
      </c>
      <c r="N18" s="313">
        <f t="shared" ca="1" si="6"/>
        <v>-16.93409865521793</v>
      </c>
      <c r="O18" s="312">
        <f>1/(1+'[93]Asumsi I'!$C$3)^(KKF!A18)</f>
        <v>0.28747610409883567</v>
      </c>
      <c r="P18" s="313">
        <f t="shared" ca="1" si="7"/>
        <v>-4.8681487078273831</v>
      </c>
      <c r="Q18" s="313">
        <f t="shared" ca="1" si="9"/>
        <v>-720.44003348903425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50400</v>
      </c>
      <c r="D19" s="313">
        <f t="shared" si="5"/>
        <v>8400</v>
      </c>
      <c r="E19" s="313">
        <f t="shared" si="0"/>
        <v>42000</v>
      </c>
      <c r="F19" s="311"/>
      <c r="G19" s="315">
        <f ca="1">DATA!$D$11/1000000</f>
        <v>14.135998540498701</v>
      </c>
      <c r="H19" s="315">
        <f>C19*DATA!$D$5/1000000</f>
        <v>54.639902312683837</v>
      </c>
      <c r="I19" s="315">
        <f>(C19*DATA!$D$5*DATA!$D$7)/1000000</f>
        <v>1.2293978020353862</v>
      </c>
      <c r="J19" s="313">
        <f t="shared" ca="1" si="1"/>
        <v>70.005298655217928</v>
      </c>
      <c r="K19" s="311"/>
      <c r="L19" s="313">
        <f>((D19*DATA!$D$23)/1000000)+((E19*DATA!$D$24)/1000000)</f>
        <v>53.071199999999997</v>
      </c>
      <c r="M19" s="313">
        <f t="shared" si="2"/>
        <v>53.071199999999997</v>
      </c>
      <c r="N19" s="313">
        <f t="shared" ca="1" si="6"/>
        <v>-16.93409865521793</v>
      </c>
      <c r="O19" s="312">
        <f>1/(1+'[93]Asumsi I'!$C$3)^(KKF!A19)</f>
        <v>0.25667509294538904</v>
      </c>
      <c r="P19" s="313">
        <f t="shared" ca="1" si="7"/>
        <v>-4.3465613462744495</v>
      </c>
      <c r="Q19" s="313">
        <f t="shared" ca="1" si="9"/>
        <v>-724.78659483530873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50400</v>
      </c>
      <c r="D20" s="313">
        <f t="shared" si="5"/>
        <v>8400</v>
      </c>
      <c r="E20" s="313">
        <f t="shared" si="0"/>
        <v>42000</v>
      </c>
      <c r="F20" s="311"/>
      <c r="G20" s="315">
        <f ca="1">DATA!$D$11/1000000</f>
        <v>14.135998540498701</v>
      </c>
      <c r="H20" s="315">
        <f>C20*DATA!$D$5/1000000</f>
        <v>54.639902312683837</v>
      </c>
      <c r="I20" s="315">
        <f>(C20*DATA!$D$5*DATA!$D$7)/1000000</f>
        <v>1.2293978020353862</v>
      </c>
      <c r="J20" s="313">
        <f t="shared" ca="1" si="1"/>
        <v>70.005298655217928</v>
      </c>
      <c r="K20" s="311"/>
      <c r="L20" s="313">
        <f>((D20*DATA!$D$23)/1000000)+((E20*DATA!$D$24)/1000000)</f>
        <v>53.071199999999997</v>
      </c>
      <c r="M20" s="313">
        <f t="shared" si="2"/>
        <v>53.071199999999997</v>
      </c>
      <c r="N20" s="313">
        <f t="shared" ca="1" si="6"/>
        <v>-16.93409865521793</v>
      </c>
      <c r="O20" s="312">
        <f>1/(1+'[93]Asumsi I'!$C$3)^(KKF!A20)</f>
        <v>0.22917419012981158</v>
      </c>
      <c r="P20" s="313">
        <f t="shared" ca="1" si="7"/>
        <v>-3.8808583448879004</v>
      </c>
      <c r="Q20" s="313">
        <f t="shared" ca="1" si="9"/>
        <v>-728.66745318019662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50400</v>
      </c>
      <c r="D21" s="313">
        <f t="shared" si="5"/>
        <v>8400</v>
      </c>
      <c r="E21" s="313">
        <f t="shared" si="0"/>
        <v>42000</v>
      </c>
      <c r="F21" s="311"/>
      <c r="G21" s="315">
        <f ca="1">DATA!$D$11/1000000</f>
        <v>14.135998540498701</v>
      </c>
      <c r="H21" s="315">
        <f>C21*DATA!$D$5/1000000</f>
        <v>54.639902312683837</v>
      </c>
      <c r="I21" s="315">
        <f>(C21*DATA!$D$5*DATA!$D$7)/1000000</f>
        <v>1.2293978020353862</v>
      </c>
      <c r="J21" s="313">
        <f t="shared" ca="1" si="1"/>
        <v>70.005298655217928</v>
      </c>
      <c r="K21" s="311"/>
      <c r="L21" s="313">
        <f>((D21*DATA!$D$23)/1000000)+((E21*DATA!$D$24)/1000000)</f>
        <v>53.071199999999997</v>
      </c>
      <c r="M21" s="313">
        <f t="shared" si="2"/>
        <v>53.071199999999997</v>
      </c>
      <c r="N21" s="313">
        <f t="shared" ca="1" si="6"/>
        <v>-16.93409865521793</v>
      </c>
      <c r="O21" s="312">
        <f>1/(1+'[93]Asumsi I'!$C$3)^(KKF!A21)</f>
        <v>0.20461981261590317</v>
      </c>
      <c r="P21" s="313">
        <f t="shared" ca="1" si="7"/>
        <v>-3.465052093649911</v>
      </c>
      <c r="Q21" s="313">
        <f t="shared" ca="1" si="9"/>
        <v>-732.1325052738465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50400</v>
      </c>
      <c r="D22" s="313">
        <f t="shared" si="5"/>
        <v>8400</v>
      </c>
      <c r="E22" s="313">
        <f t="shared" si="0"/>
        <v>42000</v>
      </c>
      <c r="F22" s="311"/>
      <c r="G22" s="315">
        <f ca="1">DATA!$D$11/1000000</f>
        <v>14.135998540498701</v>
      </c>
      <c r="H22" s="315">
        <f>C22*DATA!$D$5/1000000</f>
        <v>54.639902312683837</v>
      </c>
      <c r="I22" s="315">
        <f>(C22*DATA!$D$5*DATA!$D$7)/1000000</f>
        <v>1.2293978020353862</v>
      </c>
      <c r="J22" s="313">
        <f t="shared" ca="1" si="1"/>
        <v>70.005298655217928</v>
      </c>
      <c r="K22" s="311"/>
      <c r="L22" s="313">
        <f>((D22*DATA!$D$23)/1000000)+((E22*DATA!$D$24)/1000000)</f>
        <v>53.071199999999997</v>
      </c>
      <c r="M22" s="313">
        <f t="shared" si="2"/>
        <v>53.071199999999997</v>
      </c>
      <c r="N22" s="313">
        <f t="shared" ca="1" si="6"/>
        <v>-16.93409865521793</v>
      </c>
      <c r="O22" s="312">
        <f>1/(1+'[93]Asumsi I'!$C$3)^(KKF!A22)</f>
        <v>0.18269626126419927</v>
      </c>
      <c r="P22" s="313">
        <f t="shared" ca="1" si="7"/>
        <v>-3.0937965121874207</v>
      </c>
      <c r="Q22" s="313">
        <f t="shared" ca="1" si="9"/>
        <v>-735.2263017860339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50400</v>
      </c>
      <c r="D23" s="313">
        <f t="shared" si="5"/>
        <v>8400</v>
      </c>
      <c r="E23" s="313">
        <f t="shared" si="0"/>
        <v>42000</v>
      </c>
      <c r="F23" s="311"/>
      <c r="G23" s="315">
        <f ca="1">DATA!$D$11/1000000</f>
        <v>14.135998540498701</v>
      </c>
      <c r="H23" s="315">
        <f>C23*DATA!$D$5/1000000</f>
        <v>54.639902312683837</v>
      </c>
      <c r="I23" s="315">
        <f>(C23*DATA!$D$5*DATA!$D$7)/1000000</f>
        <v>1.2293978020353862</v>
      </c>
      <c r="J23" s="313">
        <f t="shared" ca="1" si="1"/>
        <v>70.005298655217928</v>
      </c>
      <c r="K23" s="311"/>
      <c r="L23" s="313">
        <f>((D23*DATA!$D$23)/1000000)+((E23*DATA!$D$24)/1000000)</f>
        <v>53.071199999999997</v>
      </c>
      <c r="M23" s="313">
        <f t="shared" si="2"/>
        <v>53.071199999999997</v>
      </c>
      <c r="N23" s="313">
        <f t="shared" ca="1" si="6"/>
        <v>-16.93409865521793</v>
      </c>
      <c r="O23" s="312">
        <f>1/(1+'[93]Asumsi I'!$C$3)^(KKF!A23)</f>
        <v>0.16312166184303503</v>
      </c>
      <c r="P23" s="313">
        <f t="shared" ca="1" si="7"/>
        <v>-2.7623183144530534</v>
      </c>
      <c r="Q23" s="313">
        <f t="shared" ca="1" si="9"/>
        <v>-737.98862010048697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50400</v>
      </c>
      <c r="D24" s="313">
        <f t="shared" si="5"/>
        <v>8400</v>
      </c>
      <c r="E24" s="313">
        <f t="shared" si="0"/>
        <v>42000</v>
      </c>
      <c r="F24" s="311"/>
      <c r="G24" s="315">
        <f ca="1">DATA!$D$11/1000000</f>
        <v>14.135998540498701</v>
      </c>
      <c r="H24" s="315">
        <f>C24*DATA!$D$5/1000000</f>
        <v>54.639902312683837</v>
      </c>
      <c r="I24" s="315">
        <f>(C24*DATA!$D$5*DATA!$D$7)/1000000</f>
        <v>1.2293978020353862</v>
      </c>
      <c r="J24" s="313">
        <f t="shared" ca="1" si="1"/>
        <v>70.005298655217928</v>
      </c>
      <c r="K24" s="311"/>
      <c r="L24" s="313">
        <f>((D24*DATA!$D$23)/1000000)+((E24*DATA!$D$24)/1000000)</f>
        <v>53.071199999999997</v>
      </c>
      <c r="M24" s="313">
        <f t="shared" si="2"/>
        <v>53.071199999999997</v>
      </c>
      <c r="N24" s="313">
        <f t="shared" ca="1" si="6"/>
        <v>-16.93409865521793</v>
      </c>
      <c r="O24" s="312">
        <f>1/(1+'[93]Asumsi I'!$C$3)^(KKF!A24)</f>
        <v>0.14564434093128129</v>
      </c>
      <c r="P24" s="313">
        <f t="shared" ca="1" si="7"/>
        <v>-2.466355637904512</v>
      </c>
      <c r="Q24" s="313">
        <f t="shared" ca="1" si="9"/>
        <v>-740.45497573839145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50400</v>
      </c>
      <c r="D25" s="313">
        <f t="shared" si="5"/>
        <v>8400</v>
      </c>
      <c r="E25" s="313">
        <f t="shared" si="0"/>
        <v>42000</v>
      </c>
      <c r="F25" s="311"/>
      <c r="G25" s="315">
        <f ca="1">DATA!$D$11/1000000</f>
        <v>14.135998540498701</v>
      </c>
      <c r="H25" s="315">
        <f>C25*DATA!$D$5/1000000</f>
        <v>54.639902312683837</v>
      </c>
      <c r="I25" s="315">
        <f>(C25*DATA!$D$5*DATA!$D$7)/1000000</f>
        <v>1.2293978020353862</v>
      </c>
      <c r="J25" s="313">
        <f t="shared" ca="1" si="1"/>
        <v>70.005298655217928</v>
      </c>
      <c r="K25" s="311"/>
      <c r="L25" s="313">
        <f>((D25*DATA!$D$23)/1000000)+((E25*DATA!$D$24)/1000000)</f>
        <v>53.071199999999997</v>
      </c>
      <c r="M25" s="313">
        <f t="shared" si="2"/>
        <v>53.071199999999997</v>
      </c>
      <c r="N25" s="313">
        <f t="shared" ca="1" si="6"/>
        <v>-16.93409865521793</v>
      </c>
      <c r="O25" s="312">
        <f>1/(1+'[93]Asumsi I'!$C$3)^(KKF!A25)</f>
        <v>0.13003959011721541</v>
      </c>
      <c r="P25" s="313">
        <f t="shared" ca="1" si="7"/>
        <v>-2.2021032481290286</v>
      </c>
      <c r="Q25" s="313">
        <f t="shared" ca="1" si="9"/>
        <v>-742.65707898652045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50400</v>
      </c>
      <c r="D26" s="313">
        <f t="shared" si="5"/>
        <v>8400</v>
      </c>
      <c r="E26" s="313">
        <f t="shared" si="0"/>
        <v>42000</v>
      </c>
      <c r="F26" s="311"/>
      <c r="G26" s="315">
        <f ca="1">DATA!$D$11/1000000</f>
        <v>14.135998540498701</v>
      </c>
      <c r="H26" s="315">
        <f>C26*DATA!$D$5/1000000</f>
        <v>54.639902312683837</v>
      </c>
      <c r="I26" s="315">
        <f>(C26*DATA!$D$5*DATA!$D$7)/1000000</f>
        <v>1.2293978020353862</v>
      </c>
      <c r="J26" s="313">
        <f t="shared" ca="1" si="1"/>
        <v>70.005298655217928</v>
      </c>
      <c r="K26" s="311"/>
      <c r="L26" s="313">
        <f>((D26*DATA!$D$23)/1000000)+((E26*DATA!$D$24)/1000000)</f>
        <v>53.071199999999997</v>
      </c>
      <c r="M26" s="313">
        <f t="shared" si="2"/>
        <v>53.071199999999997</v>
      </c>
      <c r="N26" s="313">
        <f t="shared" ca="1" si="6"/>
        <v>-16.93409865521793</v>
      </c>
      <c r="O26" s="312">
        <f>1/(1+'[93]Asumsi I'!$C$3)^(KKF!A26)</f>
        <v>0.1161067768903709</v>
      </c>
      <c r="P26" s="313">
        <f t="shared" ca="1" si="7"/>
        <v>-1.966163614400918</v>
      </c>
      <c r="Q26" s="313">
        <f t="shared" ca="1" si="9"/>
        <v>-744.62324260092134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50400</v>
      </c>
      <c r="D27" s="313">
        <f t="shared" si="5"/>
        <v>8400</v>
      </c>
      <c r="E27" s="313">
        <f t="shared" si="0"/>
        <v>42000</v>
      </c>
      <c r="F27" s="311"/>
      <c r="G27" s="315">
        <f ca="1">DATA!$D$11/1000000</f>
        <v>14.135998540498701</v>
      </c>
      <c r="H27" s="315">
        <f>C27*DATA!$D$5/1000000</f>
        <v>54.639902312683837</v>
      </c>
      <c r="I27" s="315">
        <f>(C27*DATA!$D$5*DATA!$D$7)/1000000</f>
        <v>1.2293978020353862</v>
      </c>
      <c r="J27" s="313">
        <f t="shared" ca="1" si="1"/>
        <v>70.005298655217928</v>
      </c>
      <c r="K27" s="311"/>
      <c r="L27" s="313">
        <f>((D27*DATA!$D$23)/1000000)+((E27*DATA!$D$24)/1000000)</f>
        <v>53.071199999999997</v>
      </c>
      <c r="M27" s="313">
        <f t="shared" si="2"/>
        <v>53.071199999999997</v>
      </c>
      <c r="N27" s="313">
        <f t="shared" ca="1" si="6"/>
        <v>-16.93409865521793</v>
      </c>
      <c r="O27" s="312">
        <f>1/(1+'[93]Asumsi I'!$C$3)^(KKF!A27)</f>
        <v>0.1036667650806883</v>
      </c>
      <c r="P27" s="313">
        <f t="shared" ca="1" si="7"/>
        <v>-1.7555032271436768</v>
      </c>
      <c r="Q27" s="313">
        <f t="shared" ca="1" si="9"/>
        <v>-746.37874582806501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50400</v>
      </c>
      <c r="D28" s="313">
        <f t="shared" si="5"/>
        <v>8400</v>
      </c>
      <c r="E28" s="313">
        <f t="shared" si="0"/>
        <v>42000</v>
      </c>
      <c r="F28" s="311"/>
      <c r="G28" s="315">
        <f ca="1">DATA!$D$11/1000000</f>
        <v>14.135998540498701</v>
      </c>
      <c r="H28" s="315">
        <f>C28*DATA!$D$5/1000000</f>
        <v>54.639902312683837</v>
      </c>
      <c r="I28" s="315">
        <f>(C28*DATA!$D$5*DATA!$D$7)/1000000</f>
        <v>1.2293978020353862</v>
      </c>
      <c r="J28" s="313">
        <f t="shared" ca="1" si="1"/>
        <v>70.005298655217928</v>
      </c>
      <c r="K28" s="311"/>
      <c r="L28" s="313">
        <f>((D28*DATA!$D$23)/1000000)+((E28*DATA!$D$24)/1000000)</f>
        <v>53.071199999999997</v>
      </c>
      <c r="M28" s="313">
        <f t="shared" si="2"/>
        <v>53.071199999999997</v>
      </c>
      <c r="N28" s="313">
        <f t="shared" ca="1" si="6"/>
        <v>-16.93409865521793</v>
      </c>
      <c r="O28" s="312">
        <f>1/(1+'[93]Asumsi I'!$C$3)^(KKF!A28)</f>
        <v>9.2559611679185971E-2</v>
      </c>
      <c r="P28" s="313">
        <f t="shared" ca="1" si="7"/>
        <v>-1.567413595663997</v>
      </c>
      <c r="Q28" s="313">
        <f t="shared" ca="1" si="9"/>
        <v>-747.946159423729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50400</v>
      </c>
      <c r="D29" s="313">
        <f t="shared" si="5"/>
        <v>8400</v>
      </c>
      <c r="E29" s="313">
        <f t="shared" si="0"/>
        <v>42000</v>
      </c>
      <c r="F29" s="311"/>
      <c r="G29" s="315">
        <f ca="1">DATA!$D$11/1000000</f>
        <v>14.135998540498701</v>
      </c>
      <c r="H29" s="315">
        <f>C29*DATA!$D$5/1000000</f>
        <v>54.639902312683837</v>
      </c>
      <c r="I29" s="315">
        <f>(C29*DATA!$D$5*DATA!$D$7)/1000000</f>
        <v>1.2293978020353862</v>
      </c>
      <c r="J29" s="313">
        <f t="shared" ca="1" si="1"/>
        <v>70.005298655217928</v>
      </c>
      <c r="K29" s="311"/>
      <c r="L29" s="313">
        <f>((D29*DATA!$D$23)/1000000)+((E29*DATA!$D$24)/1000000)</f>
        <v>53.071199999999997</v>
      </c>
      <c r="M29" s="313">
        <f t="shared" si="2"/>
        <v>53.071199999999997</v>
      </c>
      <c r="N29" s="313">
        <f t="shared" ca="1" si="6"/>
        <v>-16.93409865521793</v>
      </c>
      <c r="O29" s="312">
        <f>1/(1+'[93]Asumsi I'!$C$3)^(KKF!A29)</f>
        <v>8.2642510427844609E-2</v>
      </c>
      <c r="P29" s="313">
        <f t="shared" ca="1" si="7"/>
        <v>-1.3994764246999971</v>
      </c>
      <c r="Q29" s="313">
        <f t="shared" ca="1" si="9"/>
        <v>-749.34563584842897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50400</v>
      </c>
      <c r="D30" s="313">
        <f t="shared" si="5"/>
        <v>8400</v>
      </c>
      <c r="E30" s="313">
        <f t="shared" si="0"/>
        <v>42000</v>
      </c>
      <c r="F30" s="311"/>
      <c r="G30" s="315">
        <f ca="1">DATA!$D$11/1000000</f>
        <v>14.135998540498701</v>
      </c>
      <c r="H30" s="315">
        <f>C30*DATA!$D$5/1000000</f>
        <v>54.639902312683837</v>
      </c>
      <c r="I30" s="315">
        <f>(C30*DATA!$D$5*DATA!$D$7)/1000000</f>
        <v>1.2293978020353862</v>
      </c>
      <c r="J30" s="313">
        <f t="shared" ca="1" si="1"/>
        <v>70.005298655217928</v>
      </c>
      <c r="K30" s="311"/>
      <c r="L30" s="313">
        <f>((D30*DATA!$D$23)/1000000)+((E30*DATA!$D$24)/1000000)</f>
        <v>53.071199999999997</v>
      </c>
      <c r="M30" s="313">
        <f t="shared" si="2"/>
        <v>53.071199999999997</v>
      </c>
      <c r="N30" s="313">
        <f t="shared" ca="1" si="6"/>
        <v>-16.93409865521793</v>
      </c>
      <c r="O30" s="312">
        <f>1/(1+'[93]Asumsi I'!$C$3)^(KKF!A30)</f>
        <v>7.3787955739146982E-2</v>
      </c>
      <c r="P30" s="313">
        <f t="shared" ca="1" si="7"/>
        <v>-1.2495325220535691</v>
      </c>
      <c r="Q30" s="313">
        <f t="shared" ca="1" si="9"/>
        <v>-750.5951683704825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50400</v>
      </c>
      <c r="D31" s="313">
        <f t="shared" si="5"/>
        <v>8400</v>
      </c>
      <c r="E31" s="313">
        <f t="shared" si="0"/>
        <v>42000</v>
      </c>
      <c r="F31" s="311"/>
      <c r="G31" s="315">
        <f ca="1">DATA!$D$11/1000000</f>
        <v>14.135998540498701</v>
      </c>
      <c r="H31" s="315">
        <f>C31*DATA!$D$5/1000000</f>
        <v>54.639902312683837</v>
      </c>
      <c r="I31" s="315">
        <f>(C31*DATA!$D$5*DATA!$D$7)/1000000</f>
        <v>1.2293978020353862</v>
      </c>
      <c r="J31" s="313">
        <f t="shared" ca="1" si="1"/>
        <v>70.005298655217928</v>
      </c>
      <c r="K31" s="311"/>
      <c r="L31" s="313">
        <f>((D31*DATA!$D$23)/1000000)+((E31*DATA!$D$24)/1000000)</f>
        <v>53.071199999999997</v>
      </c>
      <c r="M31" s="313">
        <f t="shared" si="2"/>
        <v>53.071199999999997</v>
      </c>
      <c r="N31" s="313">
        <f t="shared" ca="1" si="6"/>
        <v>-16.93409865521793</v>
      </c>
      <c r="O31" s="312">
        <f>1/(1+'[93]Asumsi I'!$C$3)^(KKF!A31)</f>
        <v>6.5882103338524081E-2</v>
      </c>
      <c r="P31" s="313">
        <f t="shared" ca="1" si="7"/>
        <v>-1.1156540375478294</v>
      </c>
      <c r="Q31" s="313">
        <f ca="1">Q30+P31</f>
        <v>-751.71082240803037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50400</v>
      </c>
      <c r="D32" s="313">
        <f t="shared" si="5"/>
        <v>8400</v>
      </c>
      <c r="E32" s="313">
        <f t="shared" si="0"/>
        <v>42000</v>
      </c>
      <c r="F32" s="311"/>
      <c r="G32" s="315">
        <f ca="1">DATA!$D$11/1000000</f>
        <v>14.135998540498701</v>
      </c>
      <c r="H32" s="315">
        <f>C32*DATA!$D$5/1000000</f>
        <v>54.639902312683837</v>
      </c>
      <c r="I32" s="315">
        <f>(C32*DATA!$D$5*DATA!$D$7)/1000000</f>
        <v>1.2293978020353862</v>
      </c>
      <c r="J32" s="313">
        <f t="shared" ca="1" si="1"/>
        <v>70.005298655217928</v>
      </c>
      <c r="K32" s="311"/>
      <c r="L32" s="313">
        <f>((D32*DATA!$D$23)/1000000)+((E32*DATA!$D$24)/1000000)</f>
        <v>53.071199999999997</v>
      </c>
      <c r="M32" s="313">
        <f t="shared" si="2"/>
        <v>53.071199999999997</v>
      </c>
      <c r="N32" s="313">
        <f t="shared" ca="1" si="6"/>
        <v>-16.93409865521793</v>
      </c>
      <c r="O32" s="312">
        <f>1/(1+'[93]Asumsi I'!$C$3)^(KKF!A32)</f>
        <v>5.8823306552253637E-2</v>
      </c>
      <c r="P32" s="313">
        <f t="shared" ca="1" si="7"/>
        <v>-0.99611967638199039</v>
      </c>
      <c r="Q32" s="313">
        <f ca="1">Q31+P32</f>
        <v>-752.70694208441239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612" t="s">
        <v>1374</v>
      </c>
      <c r="G33" s="612"/>
      <c r="H33" s="612"/>
      <c r="I33" s="321"/>
      <c r="J33" s="322">
        <f ca="1">SUM(J7:J32)</f>
        <v>2485.0357169745616</v>
      </c>
      <c r="K33" s="612" t="s">
        <v>1375</v>
      </c>
      <c r="L33" s="612"/>
      <c r="M33" s="322">
        <f>SUM(M7:M32)</f>
        <v>1441.7928000000004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-43.397836847234061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0.58018997077246415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-672.05976971822531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54" priority="1" stopIfTrue="1" operator="greaterThanOrEqual">
      <formula>$F$7</formula>
    </cfRule>
    <cfRule type="cellIs" dxfId="53" priority="2" stopIfTrue="1" operator="lessThan">
      <formula>$F$7</formula>
    </cfRule>
  </conditionalFormatting>
  <conditionalFormatting sqref="Q7:Q32">
    <cfRule type="cellIs" dxfId="52" priority="3" operator="lessThan">
      <formula>0</formula>
    </cfRule>
    <cfRule type="cellIs" dxfId="51" priority="4" operator="lessThan">
      <formula>0</formula>
    </cfRule>
    <cfRule type="cellIs" dxfId="50" priority="5" operator="lessThan">
      <formula>-6395.81</formula>
    </cfRule>
    <cfRule type="cellIs" dxfId="4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367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C317" sqref="C317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15" t="s">
        <v>1036</v>
      </c>
      <c r="P3" s="615"/>
      <c r="Q3" s="343"/>
      <c r="T3" s="341"/>
      <c r="U3" s="342" t="s">
        <v>1041</v>
      </c>
      <c r="V3" s="341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32" t="str">
        <f>DATA!D14</f>
        <v xml:space="preserve">AGR ALI KHAMDAN </v>
      </c>
      <c r="H6" s="632"/>
      <c r="I6" s="632"/>
      <c r="J6" s="632"/>
      <c r="K6" s="632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1675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1548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2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3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3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1612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92" ca="1" si="4">IF(OR(D15="MDU",D15="MDU-KD"),(IF($O$3="RAB NON MDU","PLN KD",G15*F15)),0)</f>
        <v>0</v>
      </c>
      <c r="I15" s="356">
        <f t="shared" ref="I15:I92" ca="1" si="5">IF(D15="HDW",G15*F15,0)</f>
        <v>0</v>
      </c>
      <c r="J15" s="356">
        <f t="shared" ref="J15:J92" ca="1" si="6">IF(D15="JASA",G15*F15,0)</f>
        <v>0</v>
      </c>
      <c r="K15" s="357">
        <f t="shared" ref="K15:K92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/>
      <c r="B16" s="483">
        <v>1</v>
      </c>
      <c r="C16" s="109" t="s">
        <v>103</v>
      </c>
      <c r="D16" s="353" t="str">
        <f ca="1">IF(ISERROR(OFFSET('HARGA SATUAN'!$D$6,MATCH(RAB!C16,'HARGA SATUAN'!$C$7:$C$1492,0),0)),"",OFFSET('HARGA SATUAN'!$D$6,MATCH(RAB!C16,'HARGA SATUAN'!$C$7:$C$1492,0),0))</f>
        <v>HDW</v>
      </c>
      <c r="E16" s="354" t="str">
        <f ca="1">IF(B16="+","Unit",IF(ISERROR(OFFSET('HARGA SATUAN'!$E$6,MATCH(RAB!C16,'HARGA SATUAN'!$C$7:$C$1492,0),0)),"",OFFSET('HARGA SATUAN'!$E$6,MATCH(RAB!C16,'HARGA SATUAN'!$C$7:$C$1492,0),0)))</f>
        <v>Btg</v>
      </c>
      <c r="F16" s="361">
        <v>21</v>
      </c>
      <c r="G16" s="355">
        <f ca="1">IF(ISERROR(OFFSET('HARGA SATUAN'!$I$6,MATCH(RAB!C16,'HARGA SATUAN'!$C$7:$C$1492,0),0)),0,OFFSET('HARGA SATUAN'!$I$6,MATCH(RAB!C16,'HARGA SATUAN'!$C$7:$C$1492,0),0))</f>
        <v>5800000</v>
      </c>
      <c r="H16" s="356">
        <f t="shared" ca="1" si="4"/>
        <v>0</v>
      </c>
      <c r="I16" s="356">
        <f t="shared" ca="1" si="5"/>
        <v>121800000</v>
      </c>
      <c r="J16" s="356">
        <f t="shared" ca="1" si="6"/>
        <v>0</v>
      </c>
      <c r="K16" s="357">
        <f t="shared" ca="1" si="7"/>
        <v>121800000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3">
        <v>2</v>
      </c>
      <c r="C17" s="109" t="s">
        <v>104</v>
      </c>
      <c r="D17" s="353" t="str">
        <f ca="1">IF(ISERROR(OFFSET('HARGA SATUAN'!$D$6,MATCH(RAB!C17,'HARGA SATUAN'!$C$7:$C$1492,0),0)),"",OFFSET('HARGA SATUAN'!$D$6,MATCH(RAB!C17,'HARGA SATUAN'!$C$7:$C$1492,0),0))</f>
        <v>HDW</v>
      </c>
      <c r="E17" s="354" t="str">
        <f ca="1">IF(B17="+","Unit",IF(ISERROR(OFFSET('HARGA SATUAN'!$E$6,MATCH(RAB!C17,'HARGA SATUAN'!$C$7:$C$1492,0),0)),"",OFFSET('HARGA SATUAN'!$E$6,MATCH(RAB!C17,'HARGA SATUAN'!$C$7:$C$1492,0),0)))</f>
        <v>Btg</v>
      </c>
      <c r="F17" s="361">
        <v>3</v>
      </c>
      <c r="G17" s="355">
        <f ca="1">IF(ISERROR(OFFSET('HARGA SATUAN'!$I$6,MATCH(RAB!C17,'HARGA SATUAN'!$C$7:$C$1492,0),0)),0,OFFSET('HARGA SATUAN'!$I$6,MATCH(RAB!C17,'HARGA SATUAN'!$C$7:$C$1492,0),0))</f>
        <v>6074400</v>
      </c>
      <c r="H17" s="356">
        <f t="shared" ca="1" si="4"/>
        <v>0</v>
      </c>
      <c r="I17" s="356">
        <f t="shared" ca="1" si="5"/>
        <v>18223200</v>
      </c>
      <c r="J17" s="356">
        <f t="shared" ca="1" si="6"/>
        <v>0</v>
      </c>
      <c r="K17" s="357">
        <f t="shared" ca="1" si="7"/>
        <v>18223200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3">
        <v>3</v>
      </c>
      <c r="C18" s="109" t="s">
        <v>6</v>
      </c>
      <c r="D18" s="353" t="str">
        <f ca="1">IF(ISERROR(OFFSET('HARGA SATUAN'!$D$6,MATCH(RAB!C18,'HARGA SATUAN'!$C$7:$C$1492,0),0)),"",OFFSET('HARGA SATUAN'!$D$6,MATCH(RAB!C18,'HARGA SATUAN'!$C$7:$C$1492,0),0))</f>
        <v>JASA</v>
      </c>
      <c r="E18" s="354" t="str">
        <f ca="1">IF(B18="+","Unit",IF(ISERROR(OFFSET('HARGA SATUAN'!$E$6,MATCH(RAB!C18,'HARGA SATUAN'!$C$7:$C$1492,0),0)),"",OFFSET('HARGA SATUAN'!$E$6,MATCH(RAB!C18,'HARGA SATUAN'!$C$7:$C$1492,0),0)))</f>
        <v>Btg</v>
      </c>
      <c r="F18" s="361">
        <f>F16+F17</f>
        <v>24</v>
      </c>
      <c r="G18" s="355">
        <f ca="1">IF(ISERROR(OFFSET('HARGA SATUAN'!$I$6,MATCH(RAB!C18,'HARGA SATUAN'!$C$7:$C$1492,0),0)),0,OFFSET('HARGA SATUAN'!$I$6,MATCH(RAB!C18,'HARGA SATUAN'!$C$7:$C$1492,0),0))</f>
        <v>10066.666666666668</v>
      </c>
      <c r="H18" s="356">
        <f t="shared" ca="1" si="4"/>
        <v>0</v>
      </c>
      <c r="I18" s="356">
        <f t="shared" ca="1" si="5"/>
        <v>0</v>
      </c>
      <c r="J18" s="356">
        <f t="shared" ca="1" si="6"/>
        <v>241600.00000000003</v>
      </c>
      <c r="K18" s="357">
        <f t="shared" ca="1" si="7"/>
        <v>241600.00000000003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3">
        <v>4</v>
      </c>
      <c r="C19" s="109" t="s">
        <v>461</v>
      </c>
      <c r="D19" s="353" t="str">
        <f ca="1">IF(ISERROR(OFFSET('HARGA SATUAN'!$D$6,MATCH(RAB!C19,'HARGA SATUAN'!$C$7:$C$1492,0),0)),"",OFFSET('HARGA SATUAN'!$D$6,MATCH(RAB!C19,'HARGA SATUAN'!$C$7:$C$1492,0),0))</f>
        <v>HDW</v>
      </c>
      <c r="E19" s="354" t="str">
        <f ca="1">IF(B19="+","Unit",IF(ISERROR(OFFSET('HARGA SATUAN'!$E$6,MATCH(RAB!C19,'HARGA SATUAN'!$C$7:$C$1492,0),0)),"",OFFSET('HARGA SATUAN'!$E$6,MATCH(RAB!C19,'HARGA SATUAN'!$C$7:$C$1492,0),0)))</f>
        <v>Set</v>
      </c>
      <c r="F19" s="361">
        <v>2</v>
      </c>
      <c r="G19" s="355">
        <f ca="1">IF(ISERROR(OFFSET('HARGA SATUAN'!$I$6,MATCH(RAB!C19,'HARGA SATUAN'!$C$7:$C$1492,0),0)),0,OFFSET('HARGA SATUAN'!$I$6,MATCH(RAB!C19,'HARGA SATUAN'!$C$7:$C$1492,0),0))</f>
        <v>200000</v>
      </c>
      <c r="H19" s="356">
        <f t="shared" ca="1" si="4"/>
        <v>0</v>
      </c>
      <c r="I19" s="356">
        <f t="shared" ca="1" si="5"/>
        <v>400000</v>
      </c>
      <c r="J19" s="356">
        <f t="shared" ca="1" si="6"/>
        <v>0</v>
      </c>
      <c r="K19" s="357">
        <f t="shared" ca="1" si="7"/>
        <v>400000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83"/>
      <c r="C20" s="109"/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4"/>
        <v>0</v>
      </c>
      <c r="I20" s="356">
        <f t="shared" ca="1" si="5"/>
        <v>0</v>
      </c>
      <c r="J20" s="356">
        <f t="shared" ca="1" si="6"/>
        <v>0</v>
      </c>
      <c r="K20" s="357">
        <f t="shared" ca="1" si="7"/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81" t="s">
        <v>480</v>
      </c>
      <c r="C21" s="482" t="s">
        <v>1654</v>
      </c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361"/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ca="1" si="4"/>
        <v>0</v>
      </c>
      <c r="I21" s="356">
        <f t="shared" ca="1" si="5"/>
        <v>0</v>
      </c>
      <c r="J21" s="356">
        <f t="shared" ca="1" si="6"/>
        <v>0</v>
      </c>
      <c r="K21" s="357">
        <f t="shared" ca="1" si="7"/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83"/>
      <c r="C22" s="109"/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/>
      </c>
      <c r="F22" s="361"/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ca="1" si="4"/>
        <v>0</v>
      </c>
      <c r="I22" s="356">
        <f t="shared" ca="1" si="5"/>
        <v>0</v>
      </c>
      <c r="J22" s="356">
        <f t="shared" ca="1" si="6"/>
        <v>0</v>
      </c>
      <c r="K22" s="357">
        <f t="shared" ca="1" si="7"/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96" t="s">
        <v>1035</v>
      </c>
      <c r="C23" s="497" t="s">
        <v>1624</v>
      </c>
      <c r="D23" s="353" t="str">
        <f ca="1">IF(ISERROR(OFFSET('HARGA SATUAN'!$D$6,MATCH(RAB!C23,'HARGA SATUAN'!$C$7:$C$1492,0),0)),"",OFFSET('HARGA SATUAN'!$D$6,MATCH(RAB!C23,'HARGA SATUAN'!$C$7:$C$1492,0),0))</f>
        <v/>
      </c>
      <c r="E23" s="354" t="str">
        <f ca="1">IF(B23="+","Unit",IF(ISERROR(OFFSET('HARGA SATUAN'!$E$6,MATCH(RAB!C23,'HARGA SATUAN'!$C$7:$C$1492,0),0)),"",OFFSET('HARGA SATUAN'!$E$6,MATCH(RAB!C23,'HARGA SATUAN'!$C$7:$C$1492,0),0)))</f>
        <v>Unit</v>
      </c>
      <c r="F23" s="489">
        <v>32</v>
      </c>
      <c r="G23" s="355">
        <f ca="1">IF(ISERROR(OFFSET('HARGA SATUAN'!$I$6,MATCH(RAB!C23,'HARGA SATUAN'!$C$7:$C$1492,0),0)),0,OFFSET('HARGA SATUAN'!$I$6,MATCH(RAB!C23,'HARGA SATUAN'!$C$7:$C$1492,0),0))</f>
        <v>0</v>
      </c>
      <c r="H23" s="356">
        <f t="shared" ca="1" si="4"/>
        <v>0</v>
      </c>
      <c r="I23" s="356">
        <f t="shared" ca="1" si="5"/>
        <v>0</v>
      </c>
      <c r="J23" s="356">
        <f t="shared" ca="1" si="6"/>
        <v>0</v>
      </c>
      <c r="K23" s="357">
        <f t="shared" ca="1" si="7"/>
        <v>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6">
        <v>1</v>
      </c>
      <c r="C24" s="109" t="s">
        <v>1564</v>
      </c>
      <c r="D24" s="353" t="str">
        <f ca="1">IF(ISERROR(OFFSET('HARGA SATUAN'!$D$6,MATCH(RAB!C24,'HARGA SATUAN'!$C$7:$C$1492,0),0)),"",OFFSET('HARGA SATUAN'!$D$6,MATCH(RAB!C24,'HARGA SATUAN'!$C$7:$C$1492,0),0))</f>
        <v>MDU-KD</v>
      </c>
      <c r="E24" s="354" t="str">
        <f ca="1">IF(B24="+","Unit",IF(ISERROR(OFFSET('HARGA SATUAN'!$E$6,MATCH(RAB!C24,'HARGA SATUAN'!$C$7:$C$1492,0),0)),"",OFFSET('HARGA SATUAN'!$E$6,MATCH(RAB!C24,'HARGA SATUAN'!$C$7:$C$1492,0),0)))</f>
        <v>Bh</v>
      </c>
      <c r="F24" s="489">
        <f>F23*1</f>
        <v>32</v>
      </c>
      <c r="G24" s="355">
        <f ca="1">IF(ISERROR(OFFSET('HARGA SATUAN'!$I$6,MATCH(RAB!C24,'HARGA SATUAN'!$C$7:$C$1492,0),0)),0,OFFSET('HARGA SATUAN'!$I$6,MATCH(RAB!C24,'HARGA SATUAN'!$C$7:$C$1492,0),0))</f>
        <v>235900</v>
      </c>
      <c r="H24" s="356">
        <f t="shared" ca="1" si="4"/>
        <v>7548800</v>
      </c>
      <c r="I24" s="356">
        <f t="shared" ca="1" si="5"/>
        <v>0</v>
      </c>
      <c r="J24" s="356">
        <f t="shared" ca="1" si="6"/>
        <v>0</v>
      </c>
      <c r="K24" s="357">
        <f t="shared" ca="1" si="7"/>
        <v>7548800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6">
        <v>2</v>
      </c>
      <c r="C25" s="109" t="s">
        <v>1564</v>
      </c>
      <c r="D25" s="353" t="str">
        <f ca="1">IF(ISERROR(OFFSET('HARGA SATUAN'!$D$6,MATCH(RAB!C25,'HARGA SATUAN'!$C$7:$C$1492,0),0)),"",OFFSET('HARGA SATUAN'!$D$6,MATCH(RAB!C25,'HARGA SATUAN'!$C$7:$C$1492,0),0))</f>
        <v>MDU-KD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89">
        <f>F23*2</f>
        <v>64</v>
      </c>
      <c r="G25" s="355">
        <f ca="1">IF(ISERROR(OFFSET('HARGA SATUAN'!$I$6,MATCH(RAB!C25,'HARGA SATUAN'!$C$7:$C$1492,0),0)),0,OFFSET('HARGA SATUAN'!$I$6,MATCH(RAB!C25,'HARGA SATUAN'!$C$7:$C$1492,0),0))</f>
        <v>235900</v>
      </c>
      <c r="H25" s="356">
        <f t="shared" ca="1" si="4"/>
        <v>15097600</v>
      </c>
      <c r="I25" s="356">
        <f t="shared" ca="1" si="5"/>
        <v>0</v>
      </c>
      <c r="J25" s="356">
        <f t="shared" ca="1" si="6"/>
        <v>0</v>
      </c>
      <c r="K25" s="357">
        <f t="shared" ca="1" si="7"/>
        <v>15097600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6">
        <v>3</v>
      </c>
      <c r="C26" s="497" t="s">
        <v>28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89">
        <f>F23*3</f>
        <v>96</v>
      </c>
      <c r="G26" s="355">
        <f ca="1">IF(ISERROR(OFFSET('HARGA SATUAN'!$I$6,MATCH(RAB!C26,'HARGA SATUAN'!$C$7:$C$1492,0),0)),0,OFFSET('HARGA SATUAN'!$I$6,MATCH(RAB!C26,'HARGA SATUAN'!$C$7:$C$1492,0),0))</f>
        <v>26500</v>
      </c>
      <c r="H26" s="356">
        <f t="shared" ca="1" si="4"/>
        <v>0</v>
      </c>
      <c r="I26" s="356">
        <f t="shared" ca="1" si="5"/>
        <v>2544000</v>
      </c>
      <c r="J26" s="356">
        <f t="shared" ca="1" si="6"/>
        <v>0</v>
      </c>
      <c r="K26" s="357">
        <f t="shared" ca="1" si="7"/>
        <v>2544000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6">
        <v>4</v>
      </c>
      <c r="C27" s="497" t="s">
        <v>163</v>
      </c>
      <c r="D27" s="353" t="str">
        <f ca="1">IF(ISERROR(OFFSET('HARGA SATUAN'!$D$6,MATCH(RAB!C27,'HARGA SATUAN'!$C$7:$C$1492,0),0)),"",OFFSET('HARGA SATUAN'!$D$6,MATCH(RAB!C27,'HARGA SATUAN'!$C$7:$C$1492,0),0))</f>
        <v>HDW</v>
      </c>
      <c r="E27" s="354" t="str">
        <f ca="1">IF(B27="+","Unit",IF(ISERROR(OFFSET('HARGA SATUAN'!$E$6,MATCH(RAB!C27,'HARGA SATUAN'!$C$7:$C$1492,0),0)),"",OFFSET('HARGA SATUAN'!$E$6,MATCH(RAB!C27,'HARGA SATUAN'!$C$7:$C$1492,0),0)))</f>
        <v>Bh</v>
      </c>
      <c r="F27" s="489">
        <f>F23*2</f>
        <v>64</v>
      </c>
      <c r="G27" s="355">
        <f ca="1">IF(ISERROR(OFFSET('HARGA SATUAN'!$I$6,MATCH(RAB!C27,'HARGA SATUAN'!$C$7:$C$1492,0),0)),0,OFFSET('HARGA SATUAN'!$I$6,MATCH(RAB!C27,'HARGA SATUAN'!$C$7:$C$1492,0),0))</f>
        <v>7938</v>
      </c>
      <c r="H27" s="356">
        <f t="shared" ca="1" si="4"/>
        <v>0</v>
      </c>
      <c r="I27" s="356">
        <f t="shared" ca="1" si="5"/>
        <v>508032</v>
      </c>
      <c r="J27" s="356">
        <f t="shared" ca="1" si="6"/>
        <v>0</v>
      </c>
      <c r="K27" s="357">
        <f t="shared" ca="1" si="7"/>
        <v>508032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96">
        <v>5</v>
      </c>
      <c r="C28" s="497" t="s">
        <v>168</v>
      </c>
      <c r="D28" s="353" t="str">
        <f ca="1">IF(ISERROR(OFFSET('HARGA SATUAN'!$D$6,MATCH(RAB!C28,'HARGA SATUAN'!$C$7:$C$1492,0),0)),"",OFFSET('HARGA SATUAN'!$D$6,MATCH(RAB!C28,'HARGA SATUAN'!$C$7:$C$1492,0),0))</f>
        <v>HDW</v>
      </c>
      <c r="E28" s="354" t="str">
        <f ca="1">IF(B28="+","Unit",IF(ISERROR(OFFSET('HARGA SATUAN'!$E$6,MATCH(RAB!C28,'HARGA SATUAN'!$C$7:$C$1492,0),0)),"",OFFSET('HARGA SATUAN'!$E$6,MATCH(RAB!C28,'HARGA SATUAN'!$C$7:$C$1492,0),0)))</f>
        <v>Bh</v>
      </c>
      <c r="F28" s="489">
        <f>F23*1</f>
        <v>32</v>
      </c>
      <c r="G28" s="355">
        <f ca="1">IF(ISERROR(OFFSET('HARGA SATUAN'!$I$6,MATCH(RAB!C28,'HARGA SATUAN'!$C$7:$C$1492,0),0)),0,OFFSET('HARGA SATUAN'!$I$6,MATCH(RAB!C28,'HARGA SATUAN'!$C$7:$C$1492,0),0))</f>
        <v>33600</v>
      </c>
      <c r="H28" s="356">
        <f t="shared" ca="1" si="4"/>
        <v>0</v>
      </c>
      <c r="I28" s="356">
        <f t="shared" ca="1" si="5"/>
        <v>1075200</v>
      </c>
      <c r="J28" s="356">
        <f t="shared" ca="1" si="6"/>
        <v>0</v>
      </c>
      <c r="K28" s="357">
        <f t="shared" ca="1" si="7"/>
        <v>1075200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6">
        <v>6</v>
      </c>
      <c r="C29" s="497" t="s">
        <v>173</v>
      </c>
      <c r="D29" s="353" t="str">
        <f ca="1">IF(ISERROR(OFFSET('HARGA SATUAN'!$D$6,MATCH(RAB!C29,'HARGA SATUAN'!$C$7:$C$1492,0),0)),"",OFFSET('HARGA SATUAN'!$D$6,MATCH(RAB!C29,'HARGA SATUAN'!$C$7:$C$1492,0),0))</f>
        <v>HDW</v>
      </c>
      <c r="E29" s="354" t="str">
        <f ca="1">IF(B29="+","Unit",IF(ISERROR(OFFSET('HARGA SATUAN'!$E$6,MATCH(RAB!C29,'HARGA SATUAN'!$C$7:$C$1492,0),0)),"",OFFSET('HARGA SATUAN'!$E$6,MATCH(RAB!C29,'HARGA SATUAN'!$C$7:$C$1492,0),0)))</f>
        <v>Bh</v>
      </c>
      <c r="F29" s="489">
        <f>F23*2</f>
        <v>64</v>
      </c>
      <c r="G29" s="355">
        <f ca="1">IF(ISERROR(OFFSET('HARGA SATUAN'!$I$6,MATCH(RAB!C29,'HARGA SATUAN'!$C$7:$C$1492,0),0)),0,OFFSET('HARGA SATUAN'!$I$6,MATCH(RAB!C29,'HARGA SATUAN'!$C$7:$C$1492,0),0))</f>
        <v>45000</v>
      </c>
      <c r="H29" s="356">
        <f t="shared" ca="1" si="4"/>
        <v>0</v>
      </c>
      <c r="I29" s="356">
        <f t="shared" ca="1" si="5"/>
        <v>2880000</v>
      </c>
      <c r="J29" s="356">
        <f t="shared" ca="1" si="6"/>
        <v>0</v>
      </c>
      <c r="K29" s="357">
        <f t="shared" ca="1" si="7"/>
        <v>2880000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6">
        <v>7</v>
      </c>
      <c r="C30" s="497" t="s">
        <v>178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89">
        <f>F23*1</f>
        <v>32</v>
      </c>
      <c r="G30" s="355">
        <f ca="1">IF(ISERROR(OFFSET('HARGA SATUAN'!$I$6,MATCH(RAB!C30,'HARGA SATUAN'!$C$7:$C$1492,0),0)),0,OFFSET('HARGA SATUAN'!$I$6,MATCH(RAB!C30,'HARGA SATUAN'!$C$7:$C$1492,0),0))</f>
        <v>95000</v>
      </c>
      <c r="H30" s="356">
        <f t="shared" ca="1" si="4"/>
        <v>0</v>
      </c>
      <c r="I30" s="356">
        <f t="shared" ca="1" si="5"/>
        <v>3040000</v>
      </c>
      <c r="J30" s="356">
        <f t="shared" ca="1" si="6"/>
        <v>0</v>
      </c>
      <c r="K30" s="357">
        <f t="shared" ca="1" si="7"/>
        <v>3040000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6">
        <v>8</v>
      </c>
      <c r="C31" s="497" t="s">
        <v>593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89">
        <f>F23*1</f>
        <v>32</v>
      </c>
      <c r="G31" s="355">
        <f ca="1">IF(ISERROR(OFFSET('HARGA SATUAN'!$I$6,MATCH(RAB!C31,'HARGA SATUAN'!$C$7:$C$1492,0),0)),0,OFFSET('HARGA SATUAN'!$I$6,MATCH(RAB!C31,'HARGA SATUAN'!$C$7:$C$1492,0),0))</f>
        <v>380500</v>
      </c>
      <c r="H31" s="356">
        <f t="shared" ca="1" si="4"/>
        <v>0</v>
      </c>
      <c r="I31" s="356">
        <f t="shared" ca="1" si="5"/>
        <v>12176000</v>
      </c>
      <c r="J31" s="356">
        <f t="shared" ca="1" si="6"/>
        <v>0</v>
      </c>
      <c r="K31" s="357">
        <f t="shared" ca="1" si="7"/>
        <v>12176000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6">
        <v>9</v>
      </c>
      <c r="C32" s="497" t="s">
        <v>217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489">
        <f>F23*4</f>
        <v>128</v>
      </c>
      <c r="G32" s="355">
        <f ca="1">IF(ISERROR(OFFSET('HARGA SATUAN'!$I$6,MATCH(RAB!C32,'HARGA SATUAN'!$C$7:$C$1492,0),0)),0,OFFSET('HARGA SATUAN'!$I$6,MATCH(RAB!C32,'HARGA SATUAN'!$C$7:$C$1492,0),0))</f>
        <v>11400</v>
      </c>
      <c r="H32" s="356">
        <f t="shared" ca="1" si="4"/>
        <v>0</v>
      </c>
      <c r="I32" s="356">
        <f t="shared" ca="1" si="5"/>
        <v>1459200</v>
      </c>
      <c r="J32" s="356">
        <f t="shared" ca="1" si="6"/>
        <v>0</v>
      </c>
      <c r="K32" s="357">
        <f t="shared" ca="1" si="7"/>
        <v>1459200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6">
        <v>10</v>
      </c>
      <c r="C33" s="497" t="s">
        <v>247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89">
        <f>F23*1</f>
        <v>32</v>
      </c>
      <c r="G33" s="355">
        <f ca="1">IF(ISERROR(OFFSET('HARGA SATUAN'!$I$6,MATCH(RAB!C33,'HARGA SATUAN'!$C$7:$C$1492,0),0)),0,OFFSET('HARGA SATUAN'!$I$6,MATCH(RAB!C33,'HARGA SATUAN'!$C$7:$C$1492,0),0))</f>
        <v>57690</v>
      </c>
      <c r="H33" s="356">
        <f t="shared" ca="1" si="4"/>
        <v>0</v>
      </c>
      <c r="I33" s="356">
        <f t="shared" ca="1" si="5"/>
        <v>1846080</v>
      </c>
      <c r="J33" s="356">
        <f t="shared" ca="1" si="6"/>
        <v>0</v>
      </c>
      <c r="K33" s="357">
        <f t="shared" ca="1" si="7"/>
        <v>1846080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6">
        <v>11</v>
      </c>
      <c r="C34" s="497" t="s">
        <v>264</v>
      </c>
      <c r="D34" s="353" t="str">
        <f ca="1">IF(ISERROR(OFFSET('HARGA SATUAN'!$D$6,MATCH(RAB!C34,'HARGA SATUAN'!$C$7:$C$1492,0),0)),"",OFFSET('HARGA SATUAN'!$D$6,MATCH(RAB!C34,'HARGA SATUAN'!$C$7:$C$1492,0),0))</f>
        <v>HDW</v>
      </c>
      <c r="E34" s="354" t="str">
        <f ca="1">IF(B34="+","Unit",IF(ISERROR(OFFSET('HARGA SATUAN'!$E$6,MATCH(RAB!C34,'HARGA SATUAN'!$C$7:$C$1492,0),0)),"",OFFSET('HARGA SATUAN'!$E$6,MATCH(RAB!C34,'HARGA SATUAN'!$C$7:$C$1492,0),0)))</f>
        <v>Bh</v>
      </c>
      <c r="F34" s="489">
        <f>F23*1</f>
        <v>32</v>
      </c>
      <c r="G34" s="355">
        <f ca="1">IF(ISERROR(OFFSET('HARGA SATUAN'!$I$6,MATCH(RAB!C34,'HARGA SATUAN'!$C$7:$C$1492,0),0)),0,OFFSET('HARGA SATUAN'!$I$6,MATCH(RAB!C34,'HARGA SATUAN'!$C$7:$C$1492,0),0))</f>
        <v>28000</v>
      </c>
      <c r="H34" s="356">
        <f t="shared" ca="1" si="4"/>
        <v>0</v>
      </c>
      <c r="I34" s="356">
        <f t="shared" ca="1" si="5"/>
        <v>896000</v>
      </c>
      <c r="J34" s="356">
        <f t="shared" ca="1" si="6"/>
        <v>0</v>
      </c>
      <c r="K34" s="357">
        <f t="shared" ca="1" si="7"/>
        <v>896000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96">
        <v>12</v>
      </c>
      <c r="C35" s="497" t="s">
        <v>38</v>
      </c>
      <c r="D35" s="353" t="str">
        <f ca="1">IF(ISERROR(OFFSET('HARGA SATUAN'!$D$6,MATCH(RAB!C35,'HARGA SATUAN'!$C$7:$C$1492,0),0)),"",OFFSET('HARGA SATUAN'!$D$6,MATCH(RAB!C35,'HARGA SATUAN'!$C$7:$C$1492,0),0))</f>
        <v>HDW</v>
      </c>
      <c r="E35" s="354" t="str">
        <f ca="1">IF(B35="+","Unit",IF(ISERROR(OFFSET('HARGA SATUAN'!$E$6,MATCH(RAB!C35,'HARGA SATUAN'!$C$7:$C$1492,0),0)),"",OFFSET('HARGA SATUAN'!$E$6,MATCH(RAB!C35,'HARGA SATUAN'!$C$7:$C$1492,0),0)))</f>
        <v>Mtr</v>
      </c>
      <c r="F35" s="489">
        <f>6.2*F23</f>
        <v>198.4</v>
      </c>
      <c r="G35" s="355">
        <f ca="1">IF(ISERROR(OFFSET('HARGA SATUAN'!$I$6,MATCH(RAB!C35,'HARGA SATUAN'!$C$7:$C$1492,0),0)),0,OFFSET('HARGA SATUAN'!$I$6,MATCH(RAB!C35,'HARGA SATUAN'!$C$7:$C$1492,0),0))</f>
        <v>8550</v>
      </c>
      <c r="H35" s="356">
        <f t="shared" ca="1" si="4"/>
        <v>0</v>
      </c>
      <c r="I35" s="356">
        <f t="shared" ca="1" si="5"/>
        <v>1696320</v>
      </c>
      <c r="J35" s="356">
        <f t="shared" ca="1" si="6"/>
        <v>0</v>
      </c>
      <c r="K35" s="357">
        <f t="shared" ca="1" si="7"/>
        <v>1696320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96">
        <v>13</v>
      </c>
      <c r="C36" s="497" t="s">
        <v>26</v>
      </c>
      <c r="D36" s="353" t="str">
        <f ca="1">IF(ISERROR(OFFSET('HARGA SATUAN'!$D$6,MATCH(RAB!C36,'HARGA SATUAN'!$C$7:$C$1492,0),0)),"",OFFSET('HARGA SATUAN'!$D$6,MATCH(RAB!C36,'HARGA SATUAN'!$C$7:$C$1492,0),0))</f>
        <v>HDW</v>
      </c>
      <c r="E36" s="354" t="str">
        <f ca="1">IF(B36="+","Unit",IF(ISERROR(OFFSET('HARGA SATUAN'!$E$6,MATCH(RAB!C36,'HARGA SATUAN'!$C$7:$C$1492,0),0)),"",OFFSET('HARGA SATUAN'!$E$6,MATCH(RAB!C36,'HARGA SATUAN'!$C$7:$C$1492,0),0)))</f>
        <v>Bh</v>
      </c>
      <c r="F36" s="489">
        <f>F23*5</f>
        <v>160</v>
      </c>
      <c r="G36" s="355">
        <f ca="1">IF(ISERROR(OFFSET('HARGA SATUAN'!$I$6,MATCH(RAB!C36,'HARGA SATUAN'!$C$7:$C$1492,0),0)),0,OFFSET('HARGA SATUAN'!$I$6,MATCH(RAB!C36,'HARGA SATUAN'!$C$7:$C$1492,0),0))</f>
        <v>2500</v>
      </c>
      <c r="H36" s="356">
        <f t="shared" ca="1" si="4"/>
        <v>0</v>
      </c>
      <c r="I36" s="356">
        <f t="shared" ca="1" si="5"/>
        <v>400000</v>
      </c>
      <c r="J36" s="356">
        <f t="shared" ca="1" si="6"/>
        <v>0</v>
      </c>
      <c r="K36" s="357">
        <f t="shared" ca="1" si="7"/>
        <v>400000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96">
        <v>14</v>
      </c>
      <c r="C37" s="497" t="s">
        <v>687</v>
      </c>
      <c r="D37" s="353" t="str">
        <f ca="1">IF(ISERROR(OFFSET('HARGA SATUAN'!$D$6,MATCH(RAB!C37,'HARGA SATUAN'!$C$7:$C$1492,0),0)),"",OFFSET('HARGA SATUAN'!$D$6,MATCH(RAB!C37,'HARGA SATUAN'!$C$7:$C$1492,0),0))</f>
        <v>JASA</v>
      </c>
      <c r="E37" s="354" t="str">
        <f ca="1">IF(B37="+","Unit",IF(ISERROR(OFFSET('HARGA SATUAN'!$E$6,MATCH(RAB!C37,'HARGA SATUAN'!$C$7:$C$1492,0),0)),"",OFFSET('HARGA SATUAN'!$E$6,MATCH(RAB!C37,'HARGA SATUAN'!$C$7:$C$1492,0),0)))</f>
        <v>Unit</v>
      </c>
      <c r="F37" s="489">
        <f>F23*1</f>
        <v>32</v>
      </c>
      <c r="G37" s="355">
        <f ca="1">IF(ISERROR(OFFSET('HARGA SATUAN'!$I$6,MATCH(RAB!C37,'HARGA SATUAN'!$C$7:$C$1492,0),0)),0,OFFSET('HARGA SATUAN'!$I$6,MATCH(RAB!C37,'HARGA SATUAN'!$C$7:$C$1492,0),0))</f>
        <v>111000</v>
      </c>
      <c r="H37" s="356">
        <f t="shared" ca="1" si="4"/>
        <v>0</v>
      </c>
      <c r="I37" s="356">
        <f t="shared" ca="1" si="5"/>
        <v>0</v>
      </c>
      <c r="J37" s="356">
        <f t="shared" ca="1" si="6"/>
        <v>3552000</v>
      </c>
      <c r="K37" s="357">
        <f t="shared" ca="1" si="7"/>
        <v>3552000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83"/>
      <c r="C38" s="109"/>
      <c r="D38" s="353" t="str">
        <f ca="1">IF(ISERROR(OFFSET('HARGA SATUAN'!$D$6,MATCH(RAB!C38,'HARGA SATUAN'!$C$7:$C$1492,0),0)),"",OFFSET('HARGA SATUAN'!$D$6,MATCH(RAB!C38,'HARGA SATUAN'!$C$7:$C$1492,0),0))</f>
        <v/>
      </c>
      <c r="E38" s="354" t="str">
        <f ca="1">IF(B38="+","Unit",IF(ISERROR(OFFSET('HARGA SATUAN'!$E$6,MATCH(RAB!C38,'HARGA SATUAN'!$C$7:$C$1492,0),0)),"",OFFSET('HARGA SATUAN'!$E$6,MATCH(RAB!C38,'HARGA SATUAN'!$C$7:$C$1492,0),0)))</f>
        <v/>
      </c>
      <c r="F38" s="361"/>
      <c r="G38" s="355">
        <f ca="1">IF(ISERROR(OFFSET('HARGA SATUAN'!$I$6,MATCH(RAB!C38,'HARGA SATUAN'!$C$7:$C$1492,0),0)),0,OFFSET('HARGA SATUAN'!$I$6,MATCH(RAB!C38,'HARGA SATUAN'!$C$7:$C$1492,0),0))</f>
        <v>0</v>
      </c>
      <c r="H38" s="356">
        <f t="shared" ca="1" si="4"/>
        <v>0</v>
      </c>
      <c r="I38" s="356">
        <f t="shared" ca="1" si="5"/>
        <v>0</v>
      </c>
      <c r="J38" s="356">
        <f t="shared" ca="1" si="6"/>
        <v>0</v>
      </c>
      <c r="K38" s="357">
        <f t="shared" ca="1" si="7"/>
        <v>0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6" t="s">
        <v>1035</v>
      </c>
      <c r="C39" s="498" t="s">
        <v>1655</v>
      </c>
      <c r="D39" s="353" t="str">
        <f ca="1">IF(ISERROR(OFFSET('HARGA SATUAN'!$D$6,MATCH(RAB!C39,'HARGA SATUAN'!$C$7:$C$1492,0),0)),"",OFFSET('HARGA SATUAN'!$D$6,MATCH(RAB!C39,'HARGA SATUAN'!$C$7:$C$1492,0),0))</f>
        <v/>
      </c>
      <c r="E39" s="354" t="str">
        <f ca="1">IF(B39="+","Unit",IF(ISERROR(OFFSET('HARGA SATUAN'!$E$6,MATCH(RAB!C39,'HARGA SATUAN'!$C$7:$C$1492,0),0)),"",OFFSET('HARGA SATUAN'!$E$6,MATCH(RAB!C39,'HARGA SATUAN'!$C$7:$C$1492,0),0)))</f>
        <v>Unit</v>
      </c>
      <c r="F39" s="500">
        <v>1</v>
      </c>
      <c r="G39" s="355">
        <f ca="1">IF(ISERROR(OFFSET('HARGA SATUAN'!$I$6,MATCH(RAB!C39,'HARGA SATUAN'!$C$7:$C$1492,0),0)),0,OFFSET('HARGA SATUAN'!$I$6,MATCH(RAB!C39,'HARGA SATUAN'!$C$7:$C$1492,0),0))</f>
        <v>0</v>
      </c>
      <c r="H39" s="356">
        <f t="shared" ca="1" si="4"/>
        <v>0</v>
      </c>
      <c r="I39" s="356">
        <f t="shared" ca="1" si="5"/>
        <v>0</v>
      </c>
      <c r="J39" s="356">
        <f t="shared" ca="1" si="6"/>
        <v>0</v>
      </c>
      <c r="K39" s="357">
        <f t="shared" ca="1" si="7"/>
        <v>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96">
        <v>1</v>
      </c>
      <c r="C40" s="109" t="s">
        <v>1564</v>
      </c>
      <c r="D40" s="353" t="str">
        <f ca="1">IF(ISERROR(OFFSET('HARGA SATUAN'!$D$6,MATCH(RAB!C40,'HARGA SATUAN'!$C$7:$C$1492,0),0)),"",OFFSET('HARGA SATUAN'!$D$6,MATCH(RAB!C40,'HARGA SATUAN'!$C$7:$C$1492,0),0))</f>
        <v>MDU-KD</v>
      </c>
      <c r="E40" s="354" t="str">
        <f ca="1">IF(B40="+","Unit",IF(ISERROR(OFFSET('HARGA SATUAN'!$E$6,MATCH(RAB!C40,'HARGA SATUAN'!$C$7:$C$1492,0),0)),"",OFFSET('HARGA SATUAN'!$E$6,MATCH(RAB!C40,'HARGA SATUAN'!$C$7:$C$1492,0),0)))</f>
        <v>Bh</v>
      </c>
      <c r="F40" s="500">
        <f>F39*2</f>
        <v>2</v>
      </c>
      <c r="G40" s="355">
        <f ca="1">IF(ISERROR(OFFSET('HARGA SATUAN'!$I$6,MATCH(RAB!C40,'HARGA SATUAN'!$C$7:$C$1492,0),0)),0,OFFSET('HARGA SATUAN'!$I$6,MATCH(RAB!C40,'HARGA SATUAN'!$C$7:$C$1492,0),0))</f>
        <v>235900</v>
      </c>
      <c r="H40" s="356">
        <f t="shared" ca="1" si="4"/>
        <v>471800</v>
      </c>
      <c r="I40" s="356">
        <f t="shared" ca="1" si="5"/>
        <v>0</v>
      </c>
      <c r="J40" s="356">
        <f t="shared" ca="1" si="6"/>
        <v>0</v>
      </c>
      <c r="K40" s="357">
        <f t="shared" ca="1" si="7"/>
        <v>471800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96">
        <v>2</v>
      </c>
      <c r="C41" s="109" t="s">
        <v>1564</v>
      </c>
      <c r="D41" s="353" t="str">
        <f ca="1">IF(ISERROR(OFFSET('HARGA SATUAN'!$D$6,MATCH(RAB!C41,'HARGA SATUAN'!$C$7:$C$1492,0),0)),"",OFFSET('HARGA SATUAN'!$D$6,MATCH(RAB!C41,'HARGA SATUAN'!$C$7:$C$1492,0),0))</f>
        <v>MDU-KD</v>
      </c>
      <c r="E41" s="354" t="str">
        <f ca="1">IF(B41="+","Unit",IF(ISERROR(OFFSET('HARGA SATUAN'!$E$6,MATCH(RAB!C41,'HARGA SATUAN'!$C$7:$C$1492,0),0)),"",OFFSET('HARGA SATUAN'!$E$6,MATCH(RAB!C41,'HARGA SATUAN'!$C$7:$C$1492,0),0)))</f>
        <v>Bh</v>
      </c>
      <c r="F41" s="500">
        <f>F39*4</f>
        <v>4</v>
      </c>
      <c r="G41" s="355">
        <f ca="1">IF(ISERROR(OFFSET('HARGA SATUAN'!$I$6,MATCH(RAB!C41,'HARGA SATUAN'!$C$7:$C$1492,0),0)),0,OFFSET('HARGA SATUAN'!$I$6,MATCH(RAB!C41,'HARGA SATUAN'!$C$7:$C$1492,0),0))</f>
        <v>235900</v>
      </c>
      <c r="H41" s="356">
        <f t="shared" ca="1" si="4"/>
        <v>943600</v>
      </c>
      <c r="I41" s="356">
        <f t="shared" ca="1" si="5"/>
        <v>0</v>
      </c>
      <c r="J41" s="356">
        <f t="shared" ca="1" si="6"/>
        <v>0</v>
      </c>
      <c r="K41" s="357">
        <f t="shared" ca="1" si="7"/>
        <v>943600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96">
        <v>3</v>
      </c>
      <c r="C42" s="498" t="s">
        <v>157</v>
      </c>
      <c r="D42" s="353" t="str">
        <f ca="1">IF(ISERROR(OFFSET('HARGA SATUAN'!$D$6,MATCH(RAB!C42,'HARGA SATUAN'!$C$7:$C$1492,0),0)),"",OFFSET('HARGA SATUAN'!$D$6,MATCH(RAB!C42,'HARGA SATUAN'!$C$7:$C$1492,0),0))</f>
        <v>HDW</v>
      </c>
      <c r="E42" s="354" t="str">
        <f ca="1">IF(B42="+","Unit",IF(ISERROR(OFFSET('HARGA SATUAN'!$E$6,MATCH(RAB!C42,'HARGA SATUAN'!$C$7:$C$1492,0),0)),"",OFFSET('HARGA SATUAN'!$E$6,MATCH(RAB!C42,'HARGA SATUAN'!$C$7:$C$1492,0),0)))</f>
        <v>Bh</v>
      </c>
      <c r="F42" s="500">
        <f>F39*2</f>
        <v>2</v>
      </c>
      <c r="G42" s="355">
        <f ca="1">IF(ISERROR(OFFSET('HARGA SATUAN'!$I$6,MATCH(RAB!C42,'HARGA SATUAN'!$C$7:$C$1492,0),0)),0,OFFSET('HARGA SATUAN'!$I$6,MATCH(RAB!C42,'HARGA SATUAN'!$C$7:$C$1492,0),0))</f>
        <v>40000</v>
      </c>
      <c r="H42" s="356">
        <f t="shared" ca="1" si="4"/>
        <v>0</v>
      </c>
      <c r="I42" s="356">
        <f t="shared" ca="1" si="5"/>
        <v>80000</v>
      </c>
      <c r="J42" s="356">
        <f t="shared" ca="1" si="6"/>
        <v>0</v>
      </c>
      <c r="K42" s="357">
        <f t="shared" ca="1" si="7"/>
        <v>80000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96">
        <v>4</v>
      </c>
      <c r="C43" s="498" t="s">
        <v>28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Bh</v>
      </c>
      <c r="F43" s="500">
        <f>F39*4</f>
        <v>4</v>
      </c>
      <c r="G43" s="355">
        <f ca="1">IF(ISERROR(OFFSET('HARGA SATUAN'!$I$6,MATCH(RAB!C43,'HARGA SATUAN'!$C$7:$C$1492,0),0)),0,OFFSET('HARGA SATUAN'!$I$6,MATCH(RAB!C43,'HARGA SATUAN'!$C$7:$C$1492,0),0))</f>
        <v>26500</v>
      </c>
      <c r="H43" s="356">
        <f t="shared" ca="1" si="4"/>
        <v>0</v>
      </c>
      <c r="I43" s="356">
        <f t="shared" ca="1" si="5"/>
        <v>106000</v>
      </c>
      <c r="J43" s="356">
        <f t="shared" ca="1" si="6"/>
        <v>0</v>
      </c>
      <c r="K43" s="357">
        <f t="shared" ca="1" si="7"/>
        <v>106000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96">
        <v>5</v>
      </c>
      <c r="C44" s="498" t="s">
        <v>163</v>
      </c>
      <c r="D44" s="353" t="str">
        <f ca="1">IF(ISERROR(OFFSET('HARGA SATUAN'!$D$6,MATCH(RAB!C44,'HARGA SATUAN'!$C$7:$C$1492,0),0)),"",OFFSET('HARGA SATUAN'!$D$6,MATCH(RAB!C44,'HARGA SATUAN'!$C$7:$C$1492,0),0))</f>
        <v>HDW</v>
      </c>
      <c r="E44" s="354" t="str">
        <f ca="1">IF(B44="+","Unit",IF(ISERROR(OFFSET('HARGA SATUAN'!$E$6,MATCH(RAB!C44,'HARGA SATUAN'!$C$7:$C$1492,0),0)),"",OFFSET('HARGA SATUAN'!$E$6,MATCH(RAB!C44,'HARGA SATUAN'!$C$7:$C$1492,0),0)))</f>
        <v>Bh</v>
      </c>
      <c r="F44" s="500">
        <f>F39*4</f>
        <v>4</v>
      </c>
      <c r="G44" s="355">
        <f ca="1">IF(ISERROR(OFFSET('HARGA SATUAN'!$I$6,MATCH(RAB!C44,'HARGA SATUAN'!$C$7:$C$1492,0),0)),0,OFFSET('HARGA SATUAN'!$I$6,MATCH(RAB!C44,'HARGA SATUAN'!$C$7:$C$1492,0),0))</f>
        <v>7938</v>
      </c>
      <c r="H44" s="356">
        <f t="shared" ca="1" si="4"/>
        <v>0</v>
      </c>
      <c r="I44" s="356">
        <f t="shared" ca="1" si="5"/>
        <v>31752</v>
      </c>
      <c r="J44" s="356">
        <f t="shared" ca="1" si="6"/>
        <v>0</v>
      </c>
      <c r="K44" s="357">
        <f t="shared" ca="1" si="7"/>
        <v>31752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96">
        <v>6</v>
      </c>
      <c r="C45" s="498" t="s">
        <v>173</v>
      </c>
      <c r="D45" s="353" t="str">
        <f ca="1">IF(ISERROR(OFFSET('HARGA SATUAN'!$D$6,MATCH(RAB!C45,'HARGA SATUAN'!$C$7:$C$1492,0),0)),"",OFFSET('HARGA SATUAN'!$D$6,MATCH(RAB!C45,'HARGA SATUAN'!$C$7:$C$1492,0),0))</f>
        <v>HDW</v>
      </c>
      <c r="E45" s="354" t="str">
        <f ca="1">IF(B45="+","Unit",IF(ISERROR(OFFSET('HARGA SATUAN'!$E$6,MATCH(RAB!C45,'HARGA SATUAN'!$C$7:$C$1492,0),0)),"",OFFSET('HARGA SATUAN'!$E$6,MATCH(RAB!C45,'HARGA SATUAN'!$C$7:$C$1492,0),0)))</f>
        <v>Bh</v>
      </c>
      <c r="F45" s="500">
        <f>F39*4</f>
        <v>4</v>
      </c>
      <c r="G45" s="355">
        <f ca="1">IF(ISERROR(OFFSET('HARGA SATUAN'!$I$6,MATCH(RAB!C45,'HARGA SATUAN'!$C$7:$C$1492,0),0)),0,OFFSET('HARGA SATUAN'!$I$6,MATCH(RAB!C45,'HARGA SATUAN'!$C$7:$C$1492,0),0))</f>
        <v>45000</v>
      </c>
      <c r="H45" s="356">
        <f t="shared" ca="1" si="4"/>
        <v>0</v>
      </c>
      <c r="I45" s="356">
        <f t="shared" ca="1" si="5"/>
        <v>180000</v>
      </c>
      <c r="J45" s="356">
        <f t="shared" ca="1" si="6"/>
        <v>0</v>
      </c>
      <c r="K45" s="357">
        <f t="shared" ca="1" si="7"/>
        <v>180000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96">
        <v>7</v>
      </c>
      <c r="C46" s="498" t="s">
        <v>175</v>
      </c>
      <c r="D46" s="353" t="str">
        <f ca="1">IF(ISERROR(OFFSET('HARGA SATUAN'!$D$6,MATCH(RAB!C46,'HARGA SATUAN'!$C$7:$C$1492,0),0)),"",OFFSET('HARGA SATUAN'!$D$6,MATCH(RAB!C46,'HARGA SATUAN'!$C$7:$C$1492,0),0))</f>
        <v>HDW</v>
      </c>
      <c r="E46" s="354" t="str">
        <f ca="1">IF(B46="+","Unit",IF(ISERROR(OFFSET('HARGA SATUAN'!$E$6,MATCH(RAB!C46,'HARGA SATUAN'!$C$7:$C$1492,0),0)),"",OFFSET('HARGA SATUAN'!$E$6,MATCH(RAB!C46,'HARGA SATUAN'!$C$7:$C$1492,0),0)))</f>
        <v>Bh</v>
      </c>
      <c r="F46" s="500">
        <f>F39*1</f>
        <v>1</v>
      </c>
      <c r="G46" s="355">
        <f ca="1">IF(ISERROR(OFFSET('HARGA SATUAN'!$I$6,MATCH(RAB!C46,'HARGA SATUAN'!$C$7:$C$1492,0),0)),0,OFFSET('HARGA SATUAN'!$I$6,MATCH(RAB!C46,'HARGA SATUAN'!$C$7:$C$1492,0),0))</f>
        <v>13100</v>
      </c>
      <c r="H46" s="356">
        <f t="shared" ca="1" si="4"/>
        <v>0</v>
      </c>
      <c r="I46" s="356">
        <f t="shared" ca="1" si="5"/>
        <v>13100</v>
      </c>
      <c r="J46" s="356">
        <f t="shared" ca="1" si="6"/>
        <v>0</v>
      </c>
      <c r="K46" s="357">
        <f t="shared" ca="1" si="7"/>
        <v>13100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96">
        <v>8</v>
      </c>
      <c r="C47" s="498" t="s">
        <v>178</v>
      </c>
      <c r="D47" s="353" t="str">
        <f ca="1">IF(ISERROR(OFFSET('HARGA SATUAN'!$D$6,MATCH(RAB!C47,'HARGA SATUAN'!$C$7:$C$1492,0),0)),"",OFFSET('HARGA SATUAN'!$D$6,MATCH(RAB!C47,'HARGA SATUAN'!$C$7:$C$1492,0),0))</f>
        <v>HDW</v>
      </c>
      <c r="E47" s="354" t="str">
        <f ca="1">IF(B47="+","Unit",IF(ISERROR(OFFSET('HARGA SATUAN'!$E$6,MATCH(RAB!C47,'HARGA SATUAN'!$C$7:$C$1492,0),0)),"",OFFSET('HARGA SATUAN'!$E$6,MATCH(RAB!C47,'HARGA SATUAN'!$C$7:$C$1492,0),0)))</f>
        <v>Bh</v>
      </c>
      <c r="F47" s="500">
        <f>F39*2</f>
        <v>2</v>
      </c>
      <c r="G47" s="355">
        <f ca="1">IF(ISERROR(OFFSET('HARGA SATUAN'!$I$6,MATCH(RAB!C47,'HARGA SATUAN'!$C$7:$C$1492,0),0)),0,OFFSET('HARGA SATUAN'!$I$6,MATCH(RAB!C47,'HARGA SATUAN'!$C$7:$C$1492,0),0))</f>
        <v>95000</v>
      </c>
      <c r="H47" s="356">
        <f t="shared" ca="1" si="4"/>
        <v>0</v>
      </c>
      <c r="I47" s="356">
        <f t="shared" ca="1" si="5"/>
        <v>190000</v>
      </c>
      <c r="J47" s="356">
        <f t="shared" ca="1" si="6"/>
        <v>0</v>
      </c>
      <c r="K47" s="357">
        <f t="shared" ca="1" si="7"/>
        <v>190000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96">
        <v>9</v>
      </c>
      <c r="C48" s="498" t="s">
        <v>593</v>
      </c>
      <c r="D48" s="353" t="str">
        <f ca="1">IF(ISERROR(OFFSET('HARGA SATUAN'!$D$6,MATCH(RAB!C48,'HARGA SATUAN'!$C$7:$C$1492,0),0)),"",OFFSET('HARGA SATUAN'!$D$6,MATCH(RAB!C48,'HARGA SATUAN'!$C$7:$C$1492,0),0))</f>
        <v>HDW</v>
      </c>
      <c r="E48" s="354" t="str">
        <f ca="1">IF(B48="+","Unit",IF(ISERROR(OFFSET('HARGA SATUAN'!$E$6,MATCH(RAB!C48,'HARGA SATUAN'!$C$7:$C$1492,0),0)),"",OFFSET('HARGA SATUAN'!$E$6,MATCH(RAB!C48,'HARGA SATUAN'!$C$7:$C$1492,0),0)))</f>
        <v>Bh</v>
      </c>
      <c r="F48" s="500">
        <f>F39*2</f>
        <v>2</v>
      </c>
      <c r="G48" s="355">
        <f ca="1">IF(ISERROR(OFFSET('HARGA SATUAN'!$I$6,MATCH(RAB!C48,'HARGA SATUAN'!$C$7:$C$1492,0),0)),0,OFFSET('HARGA SATUAN'!$I$6,MATCH(RAB!C48,'HARGA SATUAN'!$C$7:$C$1492,0),0))</f>
        <v>380500</v>
      </c>
      <c r="H48" s="356">
        <f t="shared" ca="1" si="4"/>
        <v>0</v>
      </c>
      <c r="I48" s="356">
        <f t="shared" ca="1" si="5"/>
        <v>761000</v>
      </c>
      <c r="J48" s="356">
        <f t="shared" ca="1" si="6"/>
        <v>0</v>
      </c>
      <c r="K48" s="357">
        <f t="shared" ca="1" si="7"/>
        <v>761000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96">
        <v>10</v>
      </c>
      <c r="C49" s="498" t="s">
        <v>217</v>
      </c>
      <c r="D49" s="353" t="str">
        <f ca="1">IF(ISERROR(OFFSET('HARGA SATUAN'!$D$6,MATCH(RAB!C49,'HARGA SATUAN'!$C$7:$C$1492,0),0)),"",OFFSET('HARGA SATUAN'!$D$6,MATCH(RAB!C49,'HARGA SATUAN'!$C$7:$C$1492,0),0))</f>
        <v>HDW</v>
      </c>
      <c r="E49" s="354" t="str">
        <f ca="1">IF(B49="+","Unit",IF(ISERROR(OFFSET('HARGA SATUAN'!$E$6,MATCH(RAB!C49,'HARGA SATUAN'!$C$7:$C$1492,0),0)),"",OFFSET('HARGA SATUAN'!$E$6,MATCH(RAB!C49,'HARGA SATUAN'!$C$7:$C$1492,0),0)))</f>
        <v>Bh</v>
      </c>
      <c r="F49" s="500">
        <f>F39*8</f>
        <v>8</v>
      </c>
      <c r="G49" s="355">
        <f ca="1">IF(ISERROR(OFFSET('HARGA SATUAN'!$I$6,MATCH(RAB!C49,'HARGA SATUAN'!$C$7:$C$1492,0),0)),0,OFFSET('HARGA SATUAN'!$I$6,MATCH(RAB!C49,'HARGA SATUAN'!$C$7:$C$1492,0),0))</f>
        <v>11400</v>
      </c>
      <c r="H49" s="356">
        <f t="shared" ca="1" si="4"/>
        <v>0</v>
      </c>
      <c r="I49" s="356">
        <f t="shared" ca="1" si="5"/>
        <v>91200</v>
      </c>
      <c r="J49" s="356">
        <f t="shared" ca="1" si="6"/>
        <v>0</v>
      </c>
      <c r="K49" s="357">
        <f t="shared" ca="1" si="7"/>
        <v>91200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496">
        <v>11</v>
      </c>
      <c r="C50" s="499" t="s">
        <v>37</v>
      </c>
      <c r="D50" s="353" t="str">
        <f ca="1">IF(ISERROR(OFFSET('HARGA SATUAN'!$D$6,MATCH(RAB!C50,'HARGA SATUAN'!$C$7:$C$1492,0),0)),"",OFFSET('HARGA SATUAN'!$D$6,MATCH(RAB!C50,'HARGA SATUAN'!$C$7:$C$1492,0),0))</f>
        <v>HDW</v>
      </c>
      <c r="E50" s="354" t="str">
        <f ca="1">IF(B50="+","Unit",IF(ISERROR(OFFSET('HARGA SATUAN'!$E$6,MATCH(RAB!C50,'HARGA SATUAN'!$C$7:$C$1492,0),0)),"",OFFSET('HARGA SATUAN'!$E$6,MATCH(RAB!C50,'HARGA SATUAN'!$C$7:$C$1492,0),0)))</f>
        <v>Bh</v>
      </c>
      <c r="F50" s="500">
        <f>F39*1</f>
        <v>1</v>
      </c>
      <c r="G50" s="355">
        <f ca="1">IF(ISERROR(OFFSET('HARGA SATUAN'!$I$6,MATCH(RAB!C50,'HARGA SATUAN'!$C$7:$C$1492,0),0)),0,OFFSET('HARGA SATUAN'!$I$6,MATCH(RAB!C50,'HARGA SATUAN'!$C$7:$C$1492,0),0))</f>
        <v>63500</v>
      </c>
      <c r="H50" s="356">
        <f t="shared" ca="1" si="4"/>
        <v>0</v>
      </c>
      <c r="I50" s="356">
        <f t="shared" ca="1" si="5"/>
        <v>63500</v>
      </c>
      <c r="J50" s="356">
        <f t="shared" ca="1" si="6"/>
        <v>0</v>
      </c>
      <c r="K50" s="357">
        <f t="shared" ca="1" si="7"/>
        <v>63500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>
      <c r="A51" s="333"/>
      <c r="B51" s="496">
        <v>12</v>
      </c>
      <c r="C51" s="498" t="s">
        <v>264</v>
      </c>
      <c r="D51" s="353" t="str">
        <f ca="1">IF(ISERROR(OFFSET('HARGA SATUAN'!$D$6,MATCH(RAB!C51,'HARGA SATUAN'!$C$7:$C$1492,0),0)),"",OFFSET('HARGA SATUAN'!$D$6,MATCH(RAB!C51,'HARGA SATUAN'!$C$7:$C$1492,0),0))</f>
        <v>HDW</v>
      </c>
      <c r="E51" s="354" t="str">
        <f ca="1">IF(B51="+","Unit",IF(ISERROR(OFFSET('HARGA SATUAN'!$E$6,MATCH(RAB!C51,'HARGA SATUAN'!$C$7:$C$1492,0),0)),"",OFFSET('HARGA SATUAN'!$E$6,MATCH(RAB!C51,'HARGA SATUAN'!$C$7:$C$1492,0),0)))</f>
        <v>Bh</v>
      </c>
      <c r="F51" s="500">
        <f>F39*1</f>
        <v>1</v>
      </c>
      <c r="G51" s="355">
        <f ca="1">IF(ISERROR(OFFSET('HARGA SATUAN'!$I$6,MATCH(RAB!C51,'HARGA SATUAN'!$C$7:$C$1492,0),0)),0,OFFSET('HARGA SATUAN'!$I$6,MATCH(RAB!C51,'HARGA SATUAN'!$C$7:$C$1492,0),0))</f>
        <v>28000</v>
      </c>
      <c r="H51" s="356">
        <f t="shared" ca="1" si="4"/>
        <v>0</v>
      </c>
      <c r="I51" s="356">
        <f t="shared" ca="1" si="5"/>
        <v>28000</v>
      </c>
      <c r="J51" s="356">
        <f t="shared" ca="1" si="6"/>
        <v>0</v>
      </c>
      <c r="K51" s="357">
        <f t="shared" ca="1" si="7"/>
        <v>28000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>
      <c r="A52" s="333"/>
      <c r="B52" s="496">
        <v>13</v>
      </c>
      <c r="C52" s="498" t="s">
        <v>38</v>
      </c>
      <c r="D52" s="353" t="str">
        <f ca="1">IF(ISERROR(OFFSET('HARGA SATUAN'!$D$6,MATCH(RAB!C52,'HARGA SATUAN'!$C$7:$C$1492,0),0)),"",OFFSET('HARGA SATUAN'!$D$6,MATCH(RAB!C52,'HARGA SATUAN'!$C$7:$C$1492,0),0))</f>
        <v>HDW</v>
      </c>
      <c r="E52" s="354" t="str">
        <f ca="1">IF(B52="+","Unit",IF(ISERROR(OFFSET('HARGA SATUAN'!$E$6,MATCH(RAB!C52,'HARGA SATUAN'!$C$7:$C$1492,0),0)),"",OFFSET('HARGA SATUAN'!$E$6,MATCH(RAB!C52,'HARGA SATUAN'!$C$7:$C$1492,0),0)))</f>
        <v>Mtr</v>
      </c>
      <c r="F52" s="500">
        <f>11.6*F39</f>
        <v>11.6</v>
      </c>
      <c r="G52" s="355">
        <f ca="1">IF(ISERROR(OFFSET('HARGA SATUAN'!$I$6,MATCH(RAB!C52,'HARGA SATUAN'!$C$7:$C$1492,0),0)),0,OFFSET('HARGA SATUAN'!$I$6,MATCH(RAB!C52,'HARGA SATUAN'!$C$7:$C$1492,0),0))</f>
        <v>8550</v>
      </c>
      <c r="H52" s="356">
        <f t="shared" ca="1" si="4"/>
        <v>0</v>
      </c>
      <c r="I52" s="356">
        <f t="shared" ca="1" si="5"/>
        <v>99180</v>
      </c>
      <c r="J52" s="356">
        <f t="shared" ca="1" si="6"/>
        <v>0</v>
      </c>
      <c r="K52" s="357">
        <f t="shared" ca="1" si="7"/>
        <v>99180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96">
        <v>14</v>
      </c>
      <c r="C53" s="498" t="s">
        <v>26</v>
      </c>
      <c r="D53" s="353" t="str">
        <f ca="1">IF(ISERROR(OFFSET('HARGA SATUAN'!$D$6,MATCH(RAB!C53,'HARGA SATUAN'!$C$7:$C$1492,0),0)),"",OFFSET('HARGA SATUAN'!$D$6,MATCH(RAB!C53,'HARGA SATUAN'!$C$7:$C$1492,0),0))</f>
        <v>HDW</v>
      </c>
      <c r="E53" s="354" t="str">
        <f ca="1">IF(B53="+","Unit",IF(ISERROR(OFFSET('HARGA SATUAN'!$E$6,MATCH(RAB!C53,'HARGA SATUAN'!$C$7:$C$1492,0),0)),"",OFFSET('HARGA SATUAN'!$E$6,MATCH(RAB!C53,'HARGA SATUAN'!$C$7:$C$1492,0),0)))</f>
        <v>Bh</v>
      </c>
      <c r="F53" s="500">
        <f>F39*13</f>
        <v>13</v>
      </c>
      <c r="G53" s="355">
        <f ca="1">IF(ISERROR(OFFSET('HARGA SATUAN'!$I$6,MATCH(RAB!C53,'HARGA SATUAN'!$C$7:$C$1492,0),0)),0,OFFSET('HARGA SATUAN'!$I$6,MATCH(RAB!C53,'HARGA SATUAN'!$C$7:$C$1492,0),0))</f>
        <v>2500</v>
      </c>
      <c r="H53" s="356">
        <f t="shared" ca="1" si="4"/>
        <v>0</v>
      </c>
      <c r="I53" s="356">
        <f t="shared" ca="1" si="5"/>
        <v>32500</v>
      </c>
      <c r="J53" s="356">
        <f t="shared" ca="1" si="6"/>
        <v>0</v>
      </c>
      <c r="K53" s="357">
        <f t="shared" ca="1" si="7"/>
        <v>32500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3" customFormat="1">
      <c r="A54" s="333"/>
      <c r="B54" s="496">
        <v>15</v>
      </c>
      <c r="C54" s="497" t="s">
        <v>693</v>
      </c>
      <c r="D54" s="353" t="str">
        <f ca="1">IF(ISERROR(OFFSET('HARGA SATUAN'!$D$6,MATCH(RAB!C54,'HARGA SATUAN'!$C$7:$C$1492,0),0)),"",OFFSET('HARGA SATUAN'!$D$6,MATCH(RAB!C54,'HARGA SATUAN'!$C$7:$C$1492,0),0))</f>
        <v>JASA</v>
      </c>
      <c r="E54" s="354" t="str">
        <f ca="1">IF(B54="+","Unit",IF(ISERROR(OFFSET('HARGA SATUAN'!$E$6,MATCH(RAB!C54,'HARGA SATUAN'!$C$7:$C$1492,0),0)),"",OFFSET('HARGA SATUAN'!$E$6,MATCH(RAB!C54,'HARGA SATUAN'!$C$7:$C$1492,0),0)))</f>
        <v>Unit</v>
      </c>
      <c r="F54" s="500">
        <f>F39*1</f>
        <v>1</v>
      </c>
      <c r="G54" s="355">
        <f ca="1">IF(ISERROR(OFFSET('HARGA SATUAN'!$I$6,MATCH(RAB!C54,'HARGA SATUAN'!$C$7:$C$1492,0),0)),0,OFFSET('HARGA SATUAN'!$I$6,MATCH(RAB!C54,'HARGA SATUAN'!$C$7:$C$1492,0),0))</f>
        <v>132200</v>
      </c>
      <c r="H54" s="356">
        <f t="shared" ca="1" si="4"/>
        <v>0</v>
      </c>
      <c r="I54" s="356">
        <f t="shared" ca="1" si="5"/>
        <v>0</v>
      </c>
      <c r="J54" s="356">
        <f t="shared" ca="1" si="6"/>
        <v>132200</v>
      </c>
      <c r="K54" s="357">
        <f t="shared" ca="1" si="7"/>
        <v>132200</v>
      </c>
      <c r="L54" s="362"/>
      <c r="M54" s="362"/>
      <c r="N54" s="362"/>
      <c r="O54" s="358"/>
      <c r="P54" s="358"/>
      <c r="Q54" s="341"/>
      <c r="R54" s="333"/>
      <c r="S54" s="359"/>
      <c r="T54" s="338"/>
      <c r="U54" s="338"/>
      <c r="V54" s="338"/>
    </row>
    <row r="55" spans="1:22" s="363" customFormat="1">
      <c r="A55" s="333"/>
      <c r="B55" s="483"/>
      <c r="C55" s="109"/>
      <c r="D55" s="353" t="str">
        <f ca="1">IF(ISERROR(OFFSET('HARGA SATUAN'!$D$6,MATCH(RAB!C55,'HARGA SATUAN'!$C$7:$C$1492,0),0)),"",OFFSET('HARGA SATUAN'!$D$6,MATCH(RAB!C55,'HARGA SATUAN'!$C$7:$C$1492,0),0))</f>
        <v/>
      </c>
      <c r="E55" s="354" t="str">
        <f ca="1">IF(B55="+","Unit",IF(ISERROR(OFFSET('HARGA SATUAN'!$E$6,MATCH(RAB!C55,'HARGA SATUAN'!$C$7:$C$1492,0),0)),"",OFFSET('HARGA SATUAN'!$E$6,MATCH(RAB!C55,'HARGA SATUAN'!$C$7:$C$1492,0),0)))</f>
        <v/>
      </c>
      <c r="F55" s="361"/>
      <c r="G55" s="355">
        <f ca="1">IF(ISERROR(OFFSET('HARGA SATUAN'!$I$6,MATCH(RAB!C55,'HARGA SATUAN'!$C$7:$C$1492,0),0)),0,OFFSET('HARGA SATUAN'!$I$6,MATCH(RAB!C55,'HARGA SATUAN'!$C$7:$C$1492,0),0))</f>
        <v>0</v>
      </c>
      <c r="H55" s="356">
        <f t="shared" ca="1" si="4"/>
        <v>0</v>
      </c>
      <c r="I55" s="356">
        <f t="shared" ca="1" si="5"/>
        <v>0</v>
      </c>
      <c r="J55" s="356">
        <f t="shared" ca="1" si="6"/>
        <v>0</v>
      </c>
      <c r="K55" s="357">
        <f t="shared" ca="1" si="7"/>
        <v>0</v>
      </c>
      <c r="L55" s="362"/>
      <c r="M55" s="362"/>
      <c r="N55" s="362"/>
      <c r="O55" s="358"/>
      <c r="P55" s="358"/>
      <c r="Q55" s="341"/>
      <c r="R55" s="333"/>
      <c r="S55" s="359"/>
      <c r="T55" s="338"/>
      <c r="U55" s="338"/>
      <c r="V55" s="338"/>
    </row>
    <row r="56" spans="1:22" s="363" customFormat="1">
      <c r="A56" s="333"/>
      <c r="B56" s="496" t="s">
        <v>1035</v>
      </c>
      <c r="C56" s="497" t="s">
        <v>1651</v>
      </c>
      <c r="D56" s="353" t="str">
        <f ca="1">IF(ISERROR(OFFSET('HARGA SATUAN'!$D$6,MATCH(RAB!C56,'HARGA SATUAN'!$C$7:$C$1492,0),0)),"",OFFSET('HARGA SATUAN'!$D$6,MATCH(RAB!C56,'HARGA SATUAN'!$C$7:$C$1492,0),0))</f>
        <v/>
      </c>
      <c r="E56" s="354" t="str">
        <f ca="1">IF(B56="+","Unit",IF(ISERROR(OFFSET('HARGA SATUAN'!$E$6,MATCH(RAB!C56,'HARGA SATUAN'!$C$7:$C$1492,0),0)),"",OFFSET('HARGA SATUAN'!$E$6,MATCH(RAB!C56,'HARGA SATUAN'!$C$7:$C$1492,0),0)))</f>
        <v>Unit</v>
      </c>
      <c r="F56" s="500">
        <v>1</v>
      </c>
      <c r="G56" s="355">
        <f ca="1">IF(ISERROR(OFFSET('HARGA SATUAN'!$I$6,MATCH(RAB!C56,'HARGA SATUAN'!$C$7:$C$1492,0),0)),0,OFFSET('HARGA SATUAN'!$I$6,MATCH(RAB!C56,'HARGA SATUAN'!$C$7:$C$1492,0),0))</f>
        <v>0</v>
      </c>
      <c r="H56" s="356">
        <f t="shared" ca="1" si="4"/>
        <v>0</v>
      </c>
      <c r="I56" s="356">
        <f t="shared" ca="1" si="5"/>
        <v>0</v>
      </c>
      <c r="J56" s="356">
        <f t="shared" ca="1" si="6"/>
        <v>0</v>
      </c>
      <c r="K56" s="357">
        <f t="shared" ca="1" si="7"/>
        <v>0</v>
      </c>
      <c r="L56" s="362"/>
      <c r="M56" s="362"/>
      <c r="N56" s="362"/>
      <c r="O56" s="358"/>
      <c r="P56" s="358"/>
      <c r="Q56" s="341"/>
      <c r="R56" s="333"/>
      <c r="S56" s="359"/>
      <c r="T56" s="338"/>
      <c r="U56" s="338"/>
      <c r="V56" s="338"/>
    </row>
    <row r="57" spans="1:22" s="363" customFormat="1">
      <c r="A57" s="333"/>
      <c r="B57" s="496">
        <v>1</v>
      </c>
      <c r="C57" s="109" t="s">
        <v>1565</v>
      </c>
      <c r="D57" s="353" t="str">
        <f ca="1">IF(ISERROR(OFFSET('HARGA SATUAN'!$D$6,MATCH(RAB!C57,'HARGA SATUAN'!$C$7:$C$1492,0),0)),"",OFFSET('HARGA SATUAN'!$D$6,MATCH(RAB!C57,'HARGA SATUAN'!$C$7:$C$1492,0),0))</f>
        <v>MDU-KD</v>
      </c>
      <c r="E57" s="354" t="str">
        <f ca="1">IF(B57="+","Unit",IF(ISERROR(OFFSET('HARGA SATUAN'!$E$6,MATCH(RAB!C57,'HARGA SATUAN'!$C$7:$C$1492,0),0)),"",OFFSET('HARGA SATUAN'!$E$6,MATCH(RAB!C57,'HARGA SATUAN'!$C$7:$C$1492,0),0)))</f>
        <v>Set</v>
      </c>
      <c r="F57" s="500">
        <f>F56*3</f>
        <v>3</v>
      </c>
      <c r="G57" s="355">
        <f ca="1">IF(ISERROR(OFFSET('HARGA SATUAN'!$I$6,MATCH(RAB!C57,'HARGA SATUAN'!$C$7:$C$1492,0),0)),0,OFFSET('HARGA SATUAN'!$I$6,MATCH(RAB!C57,'HARGA SATUAN'!$C$7:$C$1492,0),0))</f>
        <v>430000</v>
      </c>
      <c r="H57" s="356">
        <f t="shared" ca="1" si="4"/>
        <v>1290000</v>
      </c>
      <c r="I57" s="356">
        <f t="shared" ca="1" si="5"/>
        <v>0</v>
      </c>
      <c r="J57" s="356">
        <f t="shared" ca="1" si="6"/>
        <v>0</v>
      </c>
      <c r="K57" s="357">
        <f t="shared" ca="1" si="7"/>
        <v>1290000</v>
      </c>
      <c r="L57" s="362"/>
      <c r="M57" s="362"/>
      <c r="N57" s="362"/>
      <c r="O57" s="358"/>
      <c r="P57" s="358"/>
      <c r="Q57" s="341"/>
      <c r="R57" s="333"/>
      <c r="S57" s="359"/>
      <c r="T57" s="338"/>
      <c r="U57" s="338"/>
      <c r="V57" s="338"/>
    </row>
    <row r="58" spans="1:22" s="363" customFormat="1">
      <c r="A58" s="333"/>
      <c r="B58" s="496">
        <v>2</v>
      </c>
      <c r="C58" s="497" t="s">
        <v>152</v>
      </c>
      <c r="D58" s="353" t="str">
        <f ca="1">IF(ISERROR(OFFSET('HARGA SATUAN'!$D$6,MATCH(RAB!C58,'HARGA SATUAN'!$C$7:$C$1492,0),0)),"",OFFSET('HARGA SATUAN'!$D$6,MATCH(RAB!C58,'HARGA SATUAN'!$C$7:$C$1492,0),0))</f>
        <v>HDW</v>
      </c>
      <c r="E58" s="354" t="str">
        <f ca="1">IF(B58="+","Unit",IF(ISERROR(OFFSET('HARGA SATUAN'!$E$6,MATCH(RAB!C58,'HARGA SATUAN'!$C$7:$C$1492,0),0)),"",OFFSET('HARGA SATUAN'!$E$6,MATCH(RAB!C58,'HARGA SATUAN'!$C$7:$C$1492,0),0)))</f>
        <v>Mtr</v>
      </c>
      <c r="F58" s="500">
        <f>F56*1</f>
        <v>1</v>
      </c>
      <c r="G58" s="355">
        <f ca="1">IF(ISERROR(OFFSET('HARGA SATUAN'!$I$6,MATCH(RAB!C58,'HARGA SATUAN'!$C$7:$C$1492,0),0)),0,OFFSET('HARGA SATUAN'!$I$6,MATCH(RAB!C58,'HARGA SATUAN'!$C$7:$C$1492,0),0))</f>
        <v>7789</v>
      </c>
      <c r="H58" s="356">
        <f t="shared" ca="1" si="4"/>
        <v>0</v>
      </c>
      <c r="I58" s="356">
        <f t="shared" ca="1" si="5"/>
        <v>7789</v>
      </c>
      <c r="J58" s="356">
        <f t="shared" ca="1" si="6"/>
        <v>0</v>
      </c>
      <c r="K58" s="357">
        <f t="shared" ca="1" si="7"/>
        <v>7789</v>
      </c>
      <c r="L58" s="362"/>
      <c r="M58" s="362"/>
      <c r="N58" s="362"/>
      <c r="O58" s="358"/>
      <c r="P58" s="358"/>
      <c r="Q58" s="341"/>
      <c r="R58" s="333"/>
      <c r="S58" s="359"/>
      <c r="T58" s="338"/>
      <c r="U58" s="338"/>
      <c r="V58" s="338"/>
    </row>
    <row r="59" spans="1:22" s="363" customFormat="1">
      <c r="A59" s="333"/>
      <c r="B59" s="496">
        <v>3</v>
      </c>
      <c r="C59" s="497" t="s">
        <v>157</v>
      </c>
      <c r="D59" s="353" t="str">
        <f ca="1">IF(ISERROR(OFFSET('HARGA SATUAN'!$D$6,MATCH(RAB!C59,'HARGA SATUAN'!$C$7:$C$1492,0),0)),"",OFFSET('HARGA SATUAN'!$D$6,MATCH(RAB!C59,'HARGA SATUAN'!$C$7:$C$1492,0),0))</f>
        <v>HDW</v>
      </c>
      <c r="E59" s="354" t="str">
        <f ca="1">IF(B59="+","Unit",IF(ISERROR(OFFSET('HARGA SATUAN'!$E$6,MATCH(RAB!C59,'HARGA SATUAN'!$C$7:$C$1492,0),0)),"",OFFSET('HARGA SATUAN'!$E$6,MATCH(RAB!C59,'HARGA SATUAN'!$C$7:$C$1492,0),0)))</f>
        <v>Bh</v>
      </c>
      <c r="F59" s="500">
        <f>F56*2</f>
        <v>2</v>
      </c>
      <c r="G59" s="355">
        <f ca="1">IF(ISERROR(OFFSET('HARGA SATUAN'!$I$6,MATCH(RAB!C59,'HARGA SATUAN'!$C$7:$C$1492,0),0)),0,OFFSET('HARGA SATUAN'!$I$6,MATCH(RAB!C59,'HARGA SATUAN'!$C$7:$C$1492,0),0))</f>
        <v>40000</v>
      </c>
      <c r="H59" s="356">
        <f t="shared" ca="1" si="4"/>
        <v>0</v>
      </c>
      <c r="I59" s="356">
        <f t="shared" ca="1" si="5"/>
        <v>80000</v>
      </c>
      <c r="J59" s="356">
        <f t="shared" ca="1" si="6"/>
        <v>0</v>
      </c>
      <c r="K59" s="357">
        <f t="shared" ca="1" si="7"/>
        <v>80000</v>
      </c>
      <c r="L59" s="362"/>
      <c r="M59" s="362"/>
      <c r="N59" s="362"/>
      <c r="O59" s="358"/>
      <c r="P59" s="358"/>
      <c r="Q59" s="341"/>
      <c r="R59" s="333"/>
      <c r="S59" s="359"/>
      <c r="T59" s="338"/>
      <c r="U59" s="338"/>
      <c r="V59" s="338"/>
    </row>
    <row r="60" spans="1:22" s="363" customFormat="1">
      <c r="A60" s="333"/>
      <c r="B60" s="496">
        <v>4</v>
      </c>
      <c r="C60" s="497" t="s">
        <v>28</v>
      </c>
      <c r="D60" s="353" t="str">
        <f ca="1">IF(ISERROR(OFFSET('HARGA SATUAN'!$D$6,MATCH(RAB!C60,'HARGA SATUAN'!$C$7:$C$1492,0),0)),"",OFFSET('HARGA SATUAN'!$D$6,MATCH(RAB!C60,'HARGA SATUAN'!$C$7:$C$1492,0),0))</f>
        <v>HDW</v>
      </c>
      <c r="E60" s="354" t="str">
        <f ca="1">IF(B60="+","Unit",IF(ISERROR(OFFSET('HARGA SATUAN'!$E$6,MATCH(RAB!C60,'HARGA SATUAN'!$C$7:$C$1492,0),0)),"",OFFSET('HARGA SATUAN'!$E$6,MATCH(RAB!C60,'HARGA SATUAN'!$C$7:$C$1492,0),0)))</f>
        <v>Bh</v>
      </c>
      <c r="F60" s="500">
        <f>F56*1</f>
        <v>1</v>
      </c>
      <c r="G60" s="355">
        <f ca="1">IF(ISERROR(OFFSET('HARGA SATUAN'!$I$6,MATCH(RAB!C60,'HARGA SATUAN'!$C$7:$C$1492,0),0)),0,OFFSET('HARGA SATUAN'!$I$6,MATCH(RAB!C60,'HARGA SATUAN'!$C$7:$C$1492,0),0))</f>
        <v>26500</v>
      </c>
      <c r="H60" s="356">
        <f t="shared" ca="1" si="4"/>
        <v>0</v>
      </c>
      <c r="I60" s="356">
        <f t="shared" ca="1" si="5"/>
        <v>26500</v>
      </c>
      <c r="J60" s="356">
        <f t="shared" ca="1" si="6"/>
        <v>0</v>
      </c>
      <c r="K60" s="357">
        <f t="shared" ca="1" si="7"/>
        <v>26500</v>
      </c>
      <c r="L60" s="362"/>
      <c r="M60" s="362"/>
      <c r="N60" s="362"/>
      <c r="O60" s="358"/>
      <c r="P60" s="358"/>
      <c r="Q60" s="341"/>
      <c r="R60" s="333"/>
      <c r="S60" s="359"/>
      <c r="T60" s="338"/>
      <c r="U60" s="338"/>
      <c r="V60" s="338"/>
    </row>
    <row r="61" spans="1:22" s="363" customFormat="1">
      <c r="A61" s="333"/>
      <c r="B61" s="496">
        <v>5</v>
      </c>
      <c r="C61" s="497" t="s">
        <v>163</v>
      </c>
      <c r="D61" s="353" t="str">
        <f ca="1">IF(ISERROR(OFFSET('HARGA SATUAN'!$D$6,MATCH(RAB!C61,'HARGA SATUAN'!$C$7:$C$1492,0),0)),"",OFFSET('HARGA SATUAN'!$D$6,MATCH(RAB!C61,'HARGA SATUAN'!$C$7:$C$1492,0),0))</f>
        <v>HDW</v>
      </c>
      <c r="E61" s="354" t="str">
        <f ca="1">IF(B61="+","Unit",IF(ISERROR(OFFSET('HARGA SATUAN'!$E$6,MATCH(RAB!C61,'HARGA SATUAN'!$C$7:$C$1492,0),0)),"",OFFSET('HARGA SATUAN'!$E$6,MATCH(RAB!C61,'HARGA SATUAN'!$C$7:$C$1492,0),0)))</f>
        <v>Bh</v>
      </c>
      <c r="F61" s="500">
        <f>F56*4</f>
        <v>4</v>
      </c>
      <c r="G61" s="355">
        <f ca="1">IF(ISERROR(OFFSET('HARGA SATUAN'!$I$6,MATCH(RAB!C61,'HARGA SATUAN'!$C$7:$C$1492,0),0)),0,OFFSET('HARGA SATUAN'!$I$6,MATCH(RAB!C61,'HARGA SATUAN'!$C$7:$C$1492,0),0))</f>
        <v>7938</v>
      </c>
      <c r="H61" s="356">
        <f t="shared" ca="1" si="4"/>
        <v>0</v>
      </c>
      <c r="I61" s="356">
        <f t="shared" ca="1" si="5"/>
        <v>31752</v>
      </c>
      <c r="J61" s="356">
        <f t="shared" ca="1" si="6"/>
        <v>0</v>
      </c>
      <c r="K61" s="357">
        <f t="shared" ca="1" si="7"/>
        <v>31752</v>
      </c>
      <c r="L61" s="362"/>
      <c r="M61" s="362"/>
      <c r="N61" s="362"/>
      <c r="O61" s="358"/>
      <c r="P61" s="358"/>
      <c r="Q61" s="341"/>
      <c r="R61" s="333"/>
      <c r="S61" s="359"/>
      <c r="T61" s="338"/>
      <c r="U61" s="338"/>
      <c r="V61" s="338"/>
    </row>
    <row r="62" spans="1:22" s="363" customFormat="1">
      <c r="A62" s="333"/>
      <c r="B62" s="496">
        <v>6</v>
      </c>
      <c r="C62" s="497" t="s">
        <v>173</v>
      </c>
      <c r="D62" s="353" t="str">
        <f ca="1">IF(ISERROR(OFFSET('HARGA SATUAN'!$D$6,MATCH(RAB!C62,'HARGA SATUAN'!$C$7:$C$1492,0),0)),"",OFFSET('HARGA SATUAN'!$D$6,MATCH(RAB!C62,'HARGA SATUAN'!$C$7:$C$1492,0),0))</f>
        <v>HDW</v>
      </c>
      <c r="E62" s="354" t="str">
        <f ca="1">IF(B62="+","Unit",IF(ISERROR(OFFSET('HARGA SATUAN'!$E$6,MATCH(RAB!C62,'HARGA SATUAN'!$C$7:$C$1492,0),0)),"",OFFSET('HARGA SATUAN'!$E$6,MATCH(RAB!C62,'HARGA SATUAN'!$C$7:$C$1492,0),0)))</f>
        <v>Bh</v>
      </c>
      <c r="F62" s="500">
        <f>F56*4</f>
        <v>4</v>
      </c>
      <c r="G62" s="355">
        <f ca="1">IF(ISERROR(OFFSET('HARGA SATUAN'!$I$6,MATCH(RAB!C62,'HARGA SATUAN'!$C$7:$C$1492,0),0)),0,OFFSET('HARGA SATUAN'!$I$6,MATCH(RAB!C62,'HARGA SATUAN'!$C$7:$C$1492,0),0))</f>
        <v>45000</v>
      </c>
      <c r="H62" s="356">
        <f t="shared" ca="1" si="4"/>
        <v>0</v>
      </c>
      <c r="I62" s="356">
        <f t="shared" ca="1" si="5"/>
        <v>180000</v>
      </c>
      <c r="J62" s="356">
        <f t="shared" ca="1" si="6"/>
        <v>0</v>
      </c>
      <c r="K62" s="357">
        <f t="shared" ca="1" si="7"/>
        <v>180000</v>
      </c>
      <c r="L62" s="362"/>
      <c r="M62" s="362"/>
      <c r="N62" s="362"/>
      <c r="O62" s="358"/>
      <c r="P62" s="358"/>
      <c r="Q62" s="341"/>
      <c r="R62" s="333"/>
      <c r="S62" s="359"/>
      <c r="T62" s="338"/>
      <c r="U62" s="338"/>
      <c r="V62" s="338"/>
    </row>
    <row r="63" spans="1:22" s="363" customFormat="1">
      <c r="A63" s="333"/>
      <c r="B63" s="496">
        <v>7</v>
      </c>
      <c r="C63" s="497" t="s">
        <v>179</v>
      </c>
      <c r="D63" s="353" t="str">
        <f ca="1">IF(ISERROR(OFFSET('HARGA SATUAN'!$D$6,MATCH(RAB!C63,'HARGA SATUAN'!$C$7:$C$1492,0),0)),"",OFFSET('HARGA SATUAN'!$D$6,MATCH(RAB!C63,'HARGA SATUAN'!$C$7:$C$1492,0),0))</f>
        <v>HDW</v>
      </c>
      <c r="E63" s="354" t="str">
        <f ca="1">IF(B63="+","Unit",IF(ISERROR(OFFSET('HARGA SATUAN'!$E$6,MATCH(RAB!C63,'HARGA SATUAN'!$C$7:$C$1492,0),0)),"",OFFSET('HARGA SATUAN'!$E$6,MATCH(RAB!C63,'HARGA SATUAN'!$C$7:$C$1492,0),0)))</f>
        <v>Bh</v>
      </c>
      <c r="F63" s="500">
        <f>F56*1</f>
        <v>1</v>
      </c>
      <c r="G63" s="355">
        <f ca="1">IF(ISERROR(OFFSET('HARGA SATUAN'!$I$6,MATCH(RAB!C63,'HARGA SATUAN'!$C$7:$C$1492,0),0)),0,OFFSET('HARGA SATUAN'!$I$6,MATCH(RAB!C63,'HARGA SATUAN'!$C$7:$C$1492,0),0))</f>
        <v>15500</v>
      </c>
      <c r="H63" s="356">
        <f t="shared" ca="1" si="4"/>
        <v>0</v>
      </c>
      <c r="I63" s="356">
        <f t="shared" ca="1" si="5"/>
        <v>15500</v>
      </c>
      <c r="J63" s="356">
        <f t="shared" ca="1" si="6"/>
        <v>0</v>
      </c>
      <c r="K63" s="357">
        <f t="shared" ca="1" si="7"/>
        <v>15500</v>
      </c>
      <c r="L63" s="362"/>
      <c r="M63" s="362"/>
      <c r="N63" s="362"/>
      <c r="O63" s="358"/>
      <c r="P63" s="358"/>
      <c r="Q63" s="341"/>
      <c r="R63" s="333"/>
      <c r="S63" s="359"/>
      <c r="T63" s="338"/>
      <c r="U63" s="338"/>
      <c r="V63" s="338"/>
    </row>
    <row r="64" spans="1:22" s="363" customFormat="1">
      <c r="A64" s="333"/>
      <c r="B64" s="496">
        <v>8</v>
      </c>
      <c r="C64" s="497" t="s">
        <v>593</v>
      </c>
      <c r="D64" s="353" t="str">
        <f ca="1">IF(ISERROR(OFFSET('HARGA SATUAN'!$D$6,MATCH(RAB!C64,'HARGA SATUAN'!$C$7:$C$1492,0),0)),"",OFFSET('HARGA SATUAN'!$D$6,MATCH(RAB!C64,'HARGA SATUAN'!$C$7:$C$1492,0),0))</f>
        <v>HDW</v>
      </c>
      <c r="E64" s="354" t="str">
        <f ca="1">IF(B64="+","Unit",IF(ISERROR(OFFSET('HARGA SATUAN'!$E$6,MATCH(RAB!C64,'HARGA SATUAN'!$C$7:$C$1492,0),0)),"",OFFSET('HARGA SATUAN'!$E$6,MATCH(RAB!C64,'HARGA SATUAN'!$C$7:$C$1492,0),0)))</f>
        <v>Bh</v>
      </c>
      <c r="F64" s="500">
        <f>F56*2</f>
        <v>2</v>
      </c>
      <c r="G64" s="355">
        <f ca="1">IF(ISERROR(OFFSET('HARGA SATUAN'!$I$6,MATCH(RAB!C64,'HARGA SATUAN'!$C$7:$C$1492,0),0)),0,OFFSET('HARGA SATUAN'!$I$6,MATCH(RAB!C64,'HARGA SATUAN'!$C$7:$C$1492,0),0))</f>
        <v>380500</v>
      </c>
      <c r="H64" s="356">
        <f t="shared" ca="1" si="4"/>
        <v>0</v>
      </c>
      <c r="I64" s="356">
        <f t="shared" ca="1" si="5"/>
        <v>761000</v>
      </c>
      <c r="J64" s="356">
        <f t="shared" ca="1" si="6"/>
        <v>0</v>
      </c>
      <c r="K64" s="357">
        <f t="shared" ca="1" si="7"/>
        <v>761000</v>
      </c>
      <c r="L64" s="362"/>
      <c r="M64" s="362"/>
      <c r="N64" s="362"/>
      <c r="O64" s="358"/>
      <c r="P64" s="358"/>
      <c r="Q64" s="341"/>
      <c r="R64" s="333"/>
      <c r="S64" s="359"/>
      <c r="T64" s="338"/>
      <c r="U64" s="338"/>
      <c r="V64" s="338"/>
    </row>
    <row r="65" spans="1:22" s="363" customFormat="1">
      <c r="A65" s="333"/>
      <c r="B65" s="496">
        <v>9</v>
      </c>
      <c r="C65" s="497" t="s">
        <v>217</v>
      </c>
      <c r="D65" s="353" t="str">
        <f ca="1">IF(ISERROR(OFFSET('HARGA SATUAN'!$D$6,MATCH(RAB!C65,'HARGA SATUAN'!$C$7:$C$1492,0),0)),"",OFFSET('HARGA SATUAN'!$D$6,MATCH(RAB!C65,'HARGA SATUAN'!$C$7:$C$1492,0),0))</f>
        <v>HDW</v>
      </c>
      <c r="E65" s="354" t="str">
        <f ca="1">IF(B65="+","Unit",IF(ISERROR(OFFSET('HARGA SATUAN'!$E$6,MATCH(RAB!C65,'HARGA SATUAN'!$C$7:$C$1492,0),0)),"",OFFSET('HARGA SATUAN'!$E$6,MATCH(RAB!C65,'HARGA SATUAN'!$C$7:$C$1492,0),0)))</f>
        <v>Bh</v>
      </c>
      <c r="F65" s="500">
        <f>F56*4</f>
        <v>4</v>
      </c>
      <c r="G65" s="355">
        <f ca="1">IF(ISERROR(OFFSET('HARGA SATUAN'!$I$6,MATCH(RAB!C65,'HARGA SATUAN'!$C$7:$C$1492,0),0)),0,OFFSET('HARGA SATUAN'!$I$6,MATCH(RAB!C65,'HARGA SATUAN'!$C$7:$C$1492,0),0))</f>
        <v>11400</v>
      </c>
      <c r="H65" s="356">
        <f t="shared" ca="1" si="4"/>
        <v>0</v>
      </c>
      <c r="I65" s="356">
        <f t="shared" ca="1" si="5"/>
        <v>45600</v>
      </c>
      <c r="J65" s="356">
        <f t="shared" ca="1" si="6"/>
        <v>0</v>
      </c>
      <c r="K65" s="357">
        <f t="shared" ca="1" si="7"/>
        <v>45600</v>
      </c>
      <c r="L65" s="362"/>
      <c r="M65" s="362"/>
      <c r="N65" s="362"/>
      <c r="O65" s="358"/>
      <c r="P65" s="358"/>
      <c r="Q65" s="341"/>
      <c r="R65" s="333"/>
      <c r="S65" s="359"/>
      <c r="T65" s="338"/>
      <c r="U65" s="338"/>
      <c r="V65" s="338"/>
    </row>
    <row r="66" spans="1:22" s="363" customFormat="1">
      <c r="A66" s="333"/>
      <c r="B66" s="496">
        <v>10</v>
      </c>
      <c r="C66" s="497" t="s">
        <v>218</v>
      </c>
      <c r="D66" s="353" t="str">
        <f ca="1">IF(ISERROR(OFFSET('HARGA SATUAN'!$D$6,MATCH(RAB!C66,'HARGA SATUAN'!$C$7:$C$1492,0),0)),"",OFFSET('HARGA SATUAN'!$D$6,MATCH(RAB!C66,'HARGA SATUAN'!$C$7:$C$1492,0),0))</f>
        <v>HDW</v>
      </c>
      <c r="E66" s="354" t="str">
        <f ca="1">IF(B66="+","Unit",IF(ISERROR(OFFSET('HARGA SATUAN'!$E$6,MATCH(RAB!C66,'HARGA SATUAN'!$C$7:$C$1492,0),0)),"",OFFSET('HARGA SATUAN'!$E$6,MATCH(RAB!C66,'HARGA SATUAN'!$C$7:$C$1492,0),0)))</f>
        <v>Bh</v>
      </c>
      <c r="F66" s="500">
        <f>F56*2</f>
        <v>2</v>
      </c>
      <c r="G66" s="355">
        <f ca="1">IF(ISERROR(OFFSET('HARGA SATUAN'!$I$6,MATCH(RAB!C66,'HARGA SATUAN'!$C$7:$C$1492,0),0)),0,OFFSET('HARGA SATUAN'!$I$6,MATCH(RAB!C66,'HARGA SATUAN'!$C$7:$C$1492,0),0))</f>
        <v>29600</v>
      </c>
      <c r="H66" s="356">
        <f t="shared" ca="1" si="4"/>
        <v>0</v>
      </c>
      <c r="I66" s="356">
        <f t="shared" ca="1" si="5"/>
        <v>59200</v>
      </c>
      <c r="J66" s="356">
        <f t="shared" ca="1" si="6"/>
        <v>0</v>
      </c>
      <c r="K66" s="357">
        <f t="shared" ca="1" si="7"/>
        <v>59200</v>
      </c>
      <c r="L66" s="362"/>
      <c r="M66" s="362"/>
      <c r="N66" s="362"/>
      <c r="O66" s="358"/>
      <c r="P66" s="358"/>
      <c r="Q66" s="341"/>
      <c r="R66" s="333"/>
      <c r="S66" s="359"/>
      <c r="T66" s="338"/>
      <c r="U66" s="338"/>
      <c r="V66" s="338"/>
    </row>
    <row r="67" spans="1:22" s="363" customFormat="1">
      <c r="A67" s="333"/>
      <c r="B67" s="496">
        <v>11</v>
      </c>
      <c r="C67" s="497" t="s">
        <v>223</v>
      </c>
      <c r="D67" s="353" t="str">
        <f ca="1">IF(ISERROR(OFFSET('HARGA SATUAN'!$D$6,MATCH(RAB!C67,'HARGA SATUAN'!$C$7:$C$1492,0),0)),"",OFFSET('HARGA SATUAN'!$D$6,MATCH(RAB!C67,'HARGA SATUAN'!$C$7:$C$1492,0),0))</f>
        <v>HDW</v>
      </c>
      <c r="E67" s="354" t="str">
        <f ca="1">IF(B67="+","Unit",IF(ISERROR(OFFSET('HARGA SATUAN'!$E$6,MATCH(RAB!C67,'HARGA SATUAN'!$C$7:$C$1492,0),0)),"",OFFSET('HARGA SATUAN'!$E$6,MATCH(RAB!C67,'HARGA SATUAN'!$C$7:$C$1492,0),0)))</f>
        <v>Bh</v>
      </c>
      <c r="F67" s="500">
        <f>F56*1</f>
        <v>1</v>
      </c>
      <c r="G67" s="355">
        <f ca="1">IF(ISERROR(OFFSET('HARGA SATUAN'!$I$6,MATCH(RAB!C67,'HARGA SATUAN'!$C$7:$C$1492,0),0)),0,OFFSET('HARGA SATUAN'!$I$6,MATCH(RAB!C67,'HARGA SATUAN'!$C$7:$C$1492,0),0))</f>
        <v>27815</v>
      </c>
      <c r="H67" s="356">
        <f t="shared" ca="1" si="4"/>
        <v>0</v>
      </c>
      <c r="I67" s="356">
        <f t="shared" ca="1" si="5"/>
        <v>27815</v>
      </c>
      <c r="J67" s="356">
        <f t="shared" ca="1" si="6"/>
        <v>0</v>
      </c>
      <c r="K67" s="357">
        <f t="shared" ca="1" si="7"/>
        <v>27815</v>
      </c>
      <c r="L67" s="362"/>
      <c r="M67" s="362"/>
      <c r="N67" s="362"/>
      <c r="O67" s="358"/>
      <c r="P67" s="358"/>
      <c r="Q67" s="341"/>
      <c r="R67" s="333"/>
      <c r="S67" s="359"/>
      <c r="T67" s="338"/>
      <c r="U67" s="338"/>
      <c r="V67" s="338"/>
    </row>
    <row r="68" spans="1:22" s="363" customFormat="1">
      <c r="A68" s="333"/>
      <c r="B68" s="496">
        <v>12</v>
      </c>
      <c r="C68" s="497" t="s">
        <v>25</v>
      </c>
      <c r="D68" s="353" t="str">
        <f ca="1">IF(ISERROR(OFFSET('HARGA SATUAN'!$D$6,MATCH(RAB!C68,'HARGA SATUAN'!$C$7:$C$1492,0),0)),"",OFFSET('HARGA SATUAN'!$D$6,MATCH(RAB!C68,'HARGA SATUAN'!$C$7:$C$1492,0),0))</f>
        <v>HDW</v>
      </c>
      <c r="E68" s="354" t="str">
        <f ca="1">IF(B68="+","Unit",IF(ISERROR(OFFSET('HARGA SATUAN'!$E$6,MATCH(RAB!C68,'HARGA SATUAN'!$C$7:$C$1492,0),0)),"",OFFSET('HARGA SATUAN'!$E$6,MATCH(RAB!C68,'HARGA SATUAN'!$C$7:$C$1492,0),0)))</f>
        <v>Bh</v>
      </c>
      <c r="F68" s="500">
        <f>F56*3</f>
        <v>3</v>
      </c>
      <c r="G68" s="355">
        <f ca="1">IF(ISERROR(OFFSET('HARGA SATUAN'!$I$6,MATCH(RAB!C68,'HARGA SATUAN'!$C$7:$C$1492,0),0)),0,OFFSET('HARGA SATUAN'!$I$6,MATCH(RAB!C68,'HARGA SATUAN'!$C$7:$C$1492,0),0))</f>
        <v>23936</v>
      </c>
      <c r="H68" s="356">
        <f t="shared" ca="1" si="4"/>
        <v>0</v>
      </c>
      <c r="I68" s="356">
        <f t="shared" ca="1" si="5"/>
        <v>71808</v>
      </c>
      <c r="J68" s="356">
        <f t="shared" ca="1" si="6"/>
        <v>0</v>
      </c>
      <c r="K68" s="357">
        <f t="shared" ca="1" si="7"/>
        <v>71808</v>
      </c>
      <c r="L68" s="362"/>
      <c r="M68" s="362"/>
      <c r="N68" s="362"/>
      <c r="O68" s="358"/>
      <c r="P68" s="358"/>
      <c r="Q68" s="341"/>
      <c r="R68" s="333"/>
      <c r="S68" s="359"/>
      <c r="T68" s="338"/>
      <c r="U68" s="338"/>
      <c r="V68" s="338"/>
    </row>
    <row r="69" spans="1:22" s="363" customFormat="1">
      <c r="A69" s="333"/>
      <c r="B69" s="496">
        <v>13</v>
      </c>
      <c r="C69" s="497" t="s">
        <v>37</v>
      </c>
      <c r="D69" s="353" t="str">
        <f ca="1">IF(ISERROR(OFFSET('HARGA SATUAN'!$D$6,MATCH(RAB!C69,'HARGA SATUAN'!$C$7:$C$1492,0),0)),"",OFFSET('HARGA SATUAN'!$D$6,MATCH(RAB!C69,'HARGA SATUAN'!$C$7:$C$1492,0),0))</f>
        <v>HDW</v>
      </c>
      <c r="E69" s="354" t="str">
        <f ca="1">IF(B69="+","Unit",IF(ISERROR(OFFSET('HARGA SATUAN'!$E$6,MATCH(RAB!C69,'HARGA SATUAN'!$C$7:$C$1492,0),0)),"",OFFSET('HARGA SATUAN'!$E$6,MATCH(RAB!C69,'HARGA SATUAN'!$C$7:$C$1492,0),0)))</f>
        <v>Bh</v>
      </c>
      <c r="F69" s="500">
        <f>F56*1</f>
        <v>1</v>
      </c>
      <c r="G69" s="355">
        <f ca="1">IF(ISERROR(OFFSET('HARGA SATUAN'!$I$6,MATCH(RAB!C69,'HARGA SATUAN'!$C$7:$C$1492,0),0)),0,OFFSET('HARGA SATUAN'!$I$6,MATCH(RAB!C69,'HARGA SATUAN'!$C$7:$C$1492,0),0))</f>
        <v>63500</v>
      </c>
      <c r="H69" s="356">
        <f t="shared" ca="1" si="4"/>
        <v>0</v>
      </c>
      <c r="I69" s="356">
        <f t="shared" ca="1" si="5"/>
        <v>63500</v>
      </c>
      <c r="J69" s="356">
        <f t="shared" ca="1" si="6"/>
        <v>0</v>
      </c>
      <c r="K69" s="357">
        <f t="shared" ca="1" si="7"/>
        <v>63500</v>
      </c>
      <c r="L69" s="362"/>
      <c r="M69" s="362"/>
      <c r="N69" s="362"/>
      <c r="O69" s="358"/>
      <c r="P69" s="358"/>
      <c r="Q69" s="341"/>
      <c r="R69" s="333"/>
      <c r="S69" s="359"/>
      <c r="T69" s="338"/>
      <c r="U69" s="338"/>
      <c r="V69" s="338"/>
    </row>
    <row r="70" spans="1:22" s="363" customFormat="1">
      <c r="A70" s="333"/>
      <c r="B70" s="496">
        <v>14</v>
      </c>
      <c r="C70" s="497" t="s">
        <v>247</v>
      </c>
      <c r="D70" s="353" t="str">
        <f ca="1">IF(ISERROR(OFFSET('HARGA SATUAN'!$D$6,MATCH(RAB!C70,'HARGA SATUAN'!$C$7:$C$1492,0),0)),"",OFFSET('HARGA SATUAN'!$D$6,MATCH(RAB!C70,'HARGA SATUAN'!$C$7:$C$1492,0),0))</f>
        <v>HDW</v>
      </c>
      <c r="E70" s="354" t="str">
        <f ca="1">IF(B70="+","Unit",IF(ISERROR(OFFSET('HARGA SATUAN'!$E$6,MATCH(RAB!C70,'HARGA SATUAN'!$C$7:$C$1492,0),0)),"",OFFSET('HARGA SATUAN'!$E$6,MATCH(RAB!C70,'HARGA SATUAN'!$C$7:$C$1492,0),0)))</f>
        <v>Bh</v>
      </c>
      <c r="F70" s="500">
        <f>F56*1</f>
        <v>1</v>
      </c>
      <c r="G70" s="355">
        <f ca="1">IF(ISERROR(OFFSET('HARGA SATUAN'!$I$6,MATCH(RAB!C70,'HARGA SATUAN'!$C$7:$C$1492,0),0)),0,OFFSET('HARGA SATUAN'!$I$6,MATCH(RAB!C70,'HARGA SATUAN'!$C$7:$C$1492,0),0))</f>
        <v>57690</v>
      </c>
      <c r="H70" s="356">
        <f t="shared" ca="1" si="4"/>
        <v>0</v>
      </c>
      <c r="I70" s="356">
        <f t="shared" ca="1" si="5"/>
        <v>57690</v>
      </c>
      <c r="J70" s="356">
        <f t="shared" ca="1" si="6"/>
        <v>0</v>
      </c>
      <c r="K70" s="357">
        <f t="shared" ca="1" si="7"/>
        <v>57690</v>
      </c>
      <c r="L70" s="362"/>
      <c r="M70" s="362"/>
      <c r="N70" s="362"/>
      <c r="O70" s="358"/>
      <c r="P70" s="358"/>
      <c r="Q70" s="341"/>
      <c r="R70" s="333"/>
      <c r="S70" s="359"/>
      <c r="T70" s="338"/>
      <c r="U70" s="338"/>
      <c r="V70" s="338"/>
    </row>
    <row r="71" spans="1:22" s="363" customFormat="1">
      <c r="A71" s="333"/>
      <c r="B71" s="496">
        <v>15</v>
      </c>
      <c r="C71" s="497" t="s">
        <v>27</v>
      </c>
      <c r="D71" s="353" t="str">
        <f ca="1">IF(ISERROR(OFFSET('HARGA SATUAN'!$D$6,MATCH(RAB!C71,'HARGA SATUAN'!$C$7:$C$1492,0),0)),"",OFFSET('HARGA SATUAN'!$D$6,MATCH(RAB!C71,'HARGA SATUAN'!$C$7:$C$1492,0),0))</f>
        <v>HDW</v>
      </c>
      <c r="E71" s="354" t="str">
        <f ca="1">IF(B71="+","Unit",IF(ISERROR(OFFSET('HARGA SATUAN'!$E$6,MATCH(RAB!C71,'HARGA SATUAN'!$C$7:$C$1492,0),0)),"",OFFSET('HARGA SATUAN'!$E$6,MATCH(RAB!C71,'HARGA SATUAN'!$C$7:$C$1492,0),0)))</f>
        <v>Bh</v>
      </c>
      <c r="F71" s="500">
        <f>F56*3</f>
        <v>3</v>
      </c>
      <c r="G71" s="355">
        <f ca="1">IF(ISERROR(OFFSET('HARGA SATUAN'!$I$6,MATCH(RAB!C71,'HARGA SATUAN'!$C$7:$C$1492,0),0)),0,OFFSET('HARGA SATUAN'!$I$6,MATCH(RAB!C71,'HARGA SATUAN'!$C$7:$C$1492,0),0))</f>
        <v>16000</v>
      </c>
      <c r="H71" s="356">
        <f t="shared" ca="1" si="4"/>
        <v>0</v>
      </c>
      <c r="I71" s="356">
        <f t="shared" ca="1" si="5"/>
        <v>48000</v>
      </c>
      <c r="J71" s="356">
        <f t="shared" ca="1" si="6"/>
        <v>0</v>
      </c>
      <c r="K71" s="357">
        <f t="shared" ca="1" si="7"/>
        <v>48000</v>
      </c>
      <c r="L71" s="362"/>
      <c r="M71" s="362"/>
      <c r="N71" s="362"/>
      <c r="O71" s="358"/>
      <c r="P71" s="358"/>
      <c r="Q71" s="341"/>
      <c r="R71" s="333"/>
      <c r="S71" s="359"/>
      <c r="T71" s="338"/>
      <c r="U71" s="338"/>
      <c r="V71" s="338"/>
    </row>
    <row r="72" spans="1:22" s="363" customFormat="1">
      <c r="A72" s="333"/>
      <c r="B72" s="496">
        <v>16</v>
      </c>
      <c r="C72" s="497" t="s">
        <v>265</v>
      </c>
      <c r="D72" s="353" t="str">
        <f ca="1">IF(ISERROR(OFFSET('HARGA SATUAN'!$D$6,MATCH(RAB!C72,'HARGA SATUAN'!$C$7:$C$1492,0),0)),"",OFFSET('HARGA SATUAN'!$D$6,MATCH(RAB!C72,'HARGA SATUAN'!$C$7:$C$1492,0),0))</f>
        <v>HDW</v>
      </c>
      <c r="E72" s="354" t="str">
        <f ca="1">IF(B72="+","Unit",IF(ISERROR(OFFSET('HARGA SATUAN'!$E$6,MATCH(RAB!C72,'HARGA SATUAN'!$C$7:$C$1492,0),0)),"",OFFSET('HARGA SATUAN'!$E$6,MATCH(RAB!C72,'HARGA SATUAN'!$C$7:$C$1492,0),0)))</f>
        <v>Bh</v>
      </c>
      <c r="F72" s="500">
        <f>F56*1</f>
        <v>1</v>
      </c>
      <c r="G72" s="355">
        <f ca="1">IF(ISERROR(OFFSET('HARGA SATUAN'!$I$6,MATCH(RAB!C72,'HARGA SATUAN'!$C$7:$C$1492,0),0)),0,OFFSET('HARGA SATUAN'!$I$6,MATCH(RAB!C72,'HARGA SATUAN'!$C$7:$C$1492,0),0))</f>
        <v>33501.866666666669</v>
      </c>
      <c r="H72" s="356">
        <f t="shared" ca="1" si="4"/>
        <v>0</v>
      </c>
      <c r="I72" s="356">
        <f t="shared" ca="1" si="5"/>
        <v>33501.866666666669</v>
      </c>
      <c r="J72" s="356">
        <f t="shared" ca="1" si="6"/>
        <v>0</v>
      </c>
      <c r="K72" s="357">
        <f t="shared" ca="1" si="7"/>
        <v>33501.866666666669</v>
      </c>
      <c r="L72" s="362"/>
      <c r="M72" s="362"/>
      <c r="N72" s="362"/>
      <c r="O72" s="358"/>
      <c r="P72" s="358"/>
      <c r="Q72" s="341"/>
      <c r="R72" s="333"/>
      <c r="S72" s="359"/>
      <c r="T72" s="338"/>
      <c r="U72" s="338"/>
      <c r="V72" s="338"/>
    </row>
    <row r="73" spans="1:22" s="363" customFormat="1">
      <c r="A73" s="333"/>
      <c r="B73" s="496">
        <v>17</v>
      </c>
      <c r="C73" s="497" t="s">
        <v>26</v>
      </c>
      <c r="D73" s="353" t="str">
        <f ca="1">IF(ISERROR(OFFSET('HARGA SATUAN'!$D$6,MATCH(RAB!C73,'HARGA SATUAN'!$C$7:$C$1492,0),0)),"",OFFSET('HARGA SATUAN'!$D$6,MATCH(RAB!C73,'HARGA SATUAN'!$C$7:$C$1492,0),0))</f>
        <v>HDW</v>
      </c>
      <c r="E73" s="354" t="str">
        <f ca="1">IF(B73="+","Unit",IF(ISERROR(OFFSET('HARGA SATUAN'!$E$6,MATCH(RAB!C73,'HARGA SATUAN'!$C$7:$C$1492,0),0)),"",OFFSET('HARGA SATUAN'!$E$6,MATCH(RAB!C73,'HARGA SATUAN'!$C$7:$C$1492,0),0)))</f>
        <v>Bh</v>
      </c>
      <c r="F73" s="500">
        <f>F56*11</f>
        <v>11</v>
      </c>
      <c r="G73" s="355">
        <f ca="1">IF(ISERROR(OFFSET('HARGA SATUAN'!$I$6,MATCH(RAB!C73,'HARGA SATUAN'!$C$7:$C$1492,0),0)),0,OFFSET('HARGA SATUAN'!$I$6,MATCH(RAB!C73,'HARGA SATUAN'!$C$7:$C$1492,0),0))</f>
        <v>2500</v>
      </c>
      <c r="H73" s="356">
        <f t="shared" ca="1" si="4"/>
        <v>0</v>
      </c>
      <c r="I73" s="356">
        <f t="shared" ca="1" si="5"/>
        <v>27500</v>
      </c>
      <c r="J73" s="356">
        <f t="shared" ca="1" si="6"/>
        <v>0</v>
      </c>
      <c r="K73" s="357">
        <f t="shared" ca="1" si="7"/>
        <v>27500</v>
      </c>
      <c r="L73" s="362"/>
      <c r="M73" s="362"/>
      <c r="N73" s="362"/>
      <c r="O73" s="358"/>
      <c r="P73" s="358"/>
      <c r="Q73" s="341"/>
      <c r="R73" s="333"/>
      <c r="S73" s="359"/>
      <c r="T73" s="338"/>
      <c r="U73" s="338"/>
      <c r="V73" s="338"/>
    </row>
    <row r="74" spans="1:22" s="363" customFormat="1">
      <c r="A74" s="333"/>
      <c r="B74" s="496">
        <v>18</v>
      </c>
      <c r="C74" s="497" t="s">
        <v>703</v>
      </c>
      <c r="D74" s="353" t="str">
        <f ca="1">IF(ISERROR(OFFSET('HARGA SATUAN'!$D$6,MATCH(RAB!C74,'HARGA SATUAN'!$C$7:$C$1492,0),0)),"",OFFSET('HARGA SATUAN'!$D$6,MATCH(RAB!C74,'HARGA SATUAN'!$C$7:$C$1492,0),0))</f>
        <v>JASA</v>
      </c>
      <c r="E74" s="354" t="str">
        <f ca="1">IF(B74="+","Unit",IF(ISERROR(OFFSET('HARGA SATUAN'!$E$6,MATCH(RAB!C74,'HARGA SATUAN'!$C$7:$C$1492,0),0)),"",OFFSET('HARGA SATUAN'!$E$6,MATCH(RAB!C74,'HARGA SATUAN'!$C$7:$C$1492,0),0)))</f>
        <v>Unit</v>
      </c>
      <c r="F74" s="500">
        <f>F56*1</f>
        <v>1</v>
      </c>
      <c r="G74" s="355">
        <f ca="1">IF(ISERROR(OFFSET('HARGA SATUAN'!$I$6,MATCH(RAB!C74,'HARGA SATUAN'!$C$7:$C$1492,0),0)),0,OFFSET('HARGA SATUAN'!$I$6,MATCH(RAB!C74,'HARGA SATUAN'!$C$7:$C$1492,0),0))</f>
        <v>134700</v>
      </c>
      <c r="H74" s="356">
        <f t="shared" ca="1" si="4"/>
        <v>0</v>
      </c>
      <c r="I74" s="356">
        <f t="shared" ca="1" si="5"/>
        <v>0</v>
      </c>
      <c r="J74" s="356">
        <f t="shared" ca="1" si="6"/>
        <v>134700</v>
      </c>
      <c r="K74" s="357">
        <f t="shared" ca="1" si="7"/>
        <v>134700</v>
      </c>
      <c r="L74" s="362"/>
      <c r="M74" s="362"/>
      <c r="N74" s="362"/>
      <c r="O74" s="358"/>
      <c r="P74" s="358"/>
      <c r="Q74" s="341"/>
      <c r="R74" s="333"/>
      <c r="S74" s="359"/>
      <c r="T74" s="338"/>
      <c r="U74" s="338"/>
      <c r="V74" s="338"/>
    </row>
    <row r="75" spans="1:22" s="363" customFormat="1">
      <c r="A75" s="333"/>
      <c r="B75" s="483"/>
      <c r="C75" s="109"/>
      <c r="D75" s="353" t="str">
        <f ca="1">IF(ISERROR(OFFSET('HARGA SATUAN'!$D$6,MATCH(RAB!C75,'HARGA SATUAN'!$C$7:$C$1492,0),0)),"",OFFSET('HARGA SATUAN'!$D$6,MATCH(RAB!C75,'HARGA SATUAN'!$C$7:$C$1492,0),0))</f>
        <v/>
      </c>
      <c r="E75" s="354" t="str">
        <f ca="1">IF(B75="+","Unit",IF(ISERROR(OFFSET('HARGA SATUAN'!$E$6,MATCH(RAB!C75,'HARGA SATUAN'!$C$7:$C$1492,0),0)),"",OFFSET('HARGA SATUAN'!$E$6,MATCH(RAB!C75,'HARGA SATUAN'!$C$7:$C$1492,0),0)))</f>
        <v/>
      </c>
      <c r="F75" s="361"/>
      <c r="G75" s="355">
        <f ca="1">IF(ISERROR(OFFSET('HARGA SATUAN'!$I$6,MATCH(RAB!C75,'HARGA SATUAN'!$C$7:$C$1492,0),0)),0,OFFSET('HARGA SATUAN'!$I$6,MATCH(RAB!C75,'HARGA SATUAN'!$C$7:$C$1492,0),0))</f>
        <v>0</v>
      </c>
      <c r="H75" s="356">
        <f t="shared" ca="1" si="4"/>
        <v>0</v>
      </c>
      <c r="I75" s="356">
        <f t="shared" ca="1" si="5"/>
        <v>0</v>
      </c>
      <c r="J75" s="356">
        <f t="shared" ca="1" si="6"/>
        <v>0</v>
      </c>
      <c r="K75" s="357">
        <f t="shared" ca="1" si="7"/>
        <v>0</v>
      </c>
      <c r="L75" s="362"/>
      <c r="M75" s="362"/>
      <c r="N75" s="362"/>
      <c r="O75" s="358"/>
      <c r="P75" s="358"/>
      <c r="Q75" s="341"/>
      <c r="R75" s="333"/>
      <c r="S75" s="359"/>
      <c r="T75" s="338"/>
      <c r="U75" s="338"/>
      <c r="V75" s="338"/>
    </row>
    <row r="76" spans="1:22" s="363" customFormat="1">
      <c r="A76" s="333"/>
      <c r="B76" s="496" t="s">
        <v>1035</v>
      </c>
      <c r="C76" s="497" t="s">
        <v>1658</v>
      </c>
      <c r="D76" s="353" t="str">
        <f ca="1">IF(ISERROR(OFFSET('HARGA SATUAN'!$D$6,MATCH(RAB!C76,'HARGA SATUAN'!$C$7:$C$1492,0),0)),"",OFFSET('HARGA SATUAN'!$D$6,MATCH(RAB!C76,'HARGA SATUAN'!$C$7:$C$1492,0),0))</f>
        <v/>
      </c>
      <c r="E76" s="354" t="str">
        <f ca="1">IF(B76="+","Unit",IF(ISERROR(OFFSET('HARGA SATUAN'!$E$6,MATCH(RAB!C76,'HARGA SATUAN'!$C$7:$C$1492,0),0)),"",OFFSET('HARGA SATUAN'!$E$6,MATCH(RAB!C76,'HARGA SATUAN'!$C$7:$C$1492,0),0)))</f>
        <v>Unit</v>
      </c>
      <c r="F76" s="489">
        <v>4</v>
      </c>
      <c r="G76" s="355">
        <f ca="1">IF(ISERROR(OFFSET('HARGA SATUAN'!$I$6,MATCH(RAB!C76,'HARGA SATUAN'!$C$7:$C$1492,0),0)),0,OFFSET('HARGA SATUAN'!$I$6,MATCH(RAB!C76,'HARGA SATUAN'!$C$7:$C$1492,0),0))</f>
        <v>0</v>
      </c>
      <c r="H76" s="356">
        <f t="shared" ref="H76:H89" ca="1" si="8">IF(OR(D76="MDU",D76="MDU-KD"),(IF($O$3="RAB NON MDU","PLN KD",G76*F76)),0)</f>
        <v>0</v>
      </c>
      <c r="I76" s="356">
        <f t="shared" ref="I76:I89" ca="1" si="9">IF(D76="HDW",G76*F76,0)</f>
        <v>0</v>
      </c>
      <c r="J76" s="356">
        <f t="shared" ref="J76:J89" ca="1" si="10">IF(D76="JASA",G76*F76,0)</f>
        <v>0</v>
      </c>
      <c r="K76" s="357">
        <f t="shared" ref="K76:K89" ca="1" si="11">SUM(H76:J76)</f>
        <v>0</v>
      </c>
      <c r="L76" s="362"/>
      <c r="M76" s="362"/>
      <c r="N76" s="362"/>
      <c r="O76" s="358"/>
      <c r="P76" s="358"/>
      <c r="Q76" s="341"/>
      <c r="R76" s="333"/>
      <c r="S76" s="359"/>
      <c r="T76" s="338"/>
      <c r="U76" s="338"/>
      <c r="V76" s="338"/>
    </row>
    <row r="77" spans="1:22" s="363" customFormat="1">
      <c r="A77" s="333"/>
      <c r="B77" s="496">
        <v>1</v>
      </c>
      <c r="C77" s="109" t="s">
        <v>1564</v>
      </c>
      <c r="D77" s="353" t="str">
        <f ca="1">IF(ISERROR(OFFSET('HARGA SATUAN'!$D$6,MATCH(RAB!C77,'HARGA SATUAN'!$C$7:$C$1492,0),0)),"",OFFSET('HARGA SATUAN'!$D$6,MATCH(RAB!C77,'HARGA SATUAN'!$C$7:$C$1492,0),0))</f>
        <v>MDU-KD</v>
      </c>
      <c r="E77" s="354" t="str">
        <f ca="1">IF(B77="+","Unit",IF(ISERROR(OFFSET('HARGA SATUAN'!$E$6,MATCH(RAB!C77,'HARGA SATUAN'!$C$7:$C$1492,0),0)),"",OFFSET('HARGA SATUAN'!$E$6,MATCH(RAB!C77,'HARGA SATUAN'!$C$7:$C$1492,0),0)))</f>
        <v>Bh</v>
      </c>
      <c r="F77" s="489">
        <f>F76*3</f>
        <v>12</v>
      </c>
      <c r="G77" s="355">
        <f ca="1">IF(ISERROR(OFFSET('HARGA SATUAN'!$I$6,MATCH(RAB!C77,'HARGA SATUAN'!$C$7:$C$1492,0),0)),0,OFFSET('HARGA SATUAN'!$I$6,MATCH(RAB!C77,'HARGA SATUAN'!$C$7:$C$1492,0),0))</f>
        <v>235900</v>
      </c>
      <c r="H77" s="356">
        <f t="shared" ca="1" si="8"/>
        <v>2830800</v>
      </c>
      <c r="I77" s="356">
        <f t="shared" ca="1" si="9"/>
        <v>0</v>
      </c>
      <c r="J77" s="356">
        <f t="shared" ca="1" si="10"/>
        <v>0</v>
      </c>
      <c r="K77" s="357">
        <f t="shared" ca="1" si="11"/>
        <v>2830800</v>
      </c>
      <c r="L77" s="362"/>
      <c r="M77" s="362"/>
      <c r="N77" s="362"/>
      <c r="O77" s="358"/>
      <c r="P77" s="358"/>
      <c r="Q77" s="341"/>
      <c r="R77" s="333"/>
      <c r="S77" s="359"/>
      <c r="T77" s="338"/>
      <c r="U77" s="338"/>
      <c r="V77" s="338"/>
    </row>
    <row r="78" spans="1:22" s="363" customFormat="1">
      <c r="A78" s="333"/>
      <c r="B78" s="496">
        <v>2</v>
      </c>
      <c r="C78" s="497" t="s">
        <v>28</v>
      </c>
      <c r="D78" s="353" t="str">
        <f ca="1">IF(ISERROR(OFFSET('HARGA SATUAN'!$D$6,MATCH(RAB!C78,'HARGA SATUAN'!$C$7:$C$1492,0),0)),"",OFFSET('HARGA SATUAN'!$D$6,MATCH(RAB!C78,'HARGA SATUAN'!$C$7:$C$1492,0),0))</f>
        <v>HDW</v>
      </c>
      <c r="E78" s="354" t="str">
        <f ca="1">IF(B78="+","Unit",IF(ISERROR(OFFSET('HARGA SATUAN'!$E$6,MATCH(RAB!C78,'HARGA SATUAN'!$C$7:$C$1492,0),0)),"",OFFSET('HARGA SATUAN'!$E$6,MATCH(RAB!C78,'HARGA SATUAN'!$C$7:$C$1492,0),0)))</f>
        <v>Bh</v>
      </c>
      <c r="F78" s="489">
        <f>F76*1</f>
        <v>4</v>
      </c>
      <c r="G78" s="355">
        <f ca="1">IF(ISERROR(OFFSET('HARGA SATUAN'!$I$6,MATCH(RAB!C78,'HARGA SATUAN'!$C$7:$C$1492,0),0)),0,OFFSET('HARGA SATUAN'!$I$6,MATCH(RAB!C78,'HARGA SATUAN'!$C$7:$C$1492,0),0))</f>
        <v>26500</v>
      </c>
      <c r="H78" s="356">
        <f t="shared" ca="1" si="8"/>
        <v>0</v>
      </c>
      <c r="I78" s="356">
        <f t="shared" ca="1" si="9"/>
        <v>106000</v>
      </c>
      <c r="J78" s="356">
        <f t="shared" ca="1" si="10"/>
        <v>0</v>
      </c>
      <c r="K78" s="357">
        <f t="shared" ca="1" si="11"/>
        <v>106000</v>
      </c>
      <c r="L78" s="362"/>
      <c r="M78" s="362"/>
      <c r="N78" s="362"/>
      <c r="O78" s="358"/>
      <c r="P78" s="358"/>
      <c r="Q78" s="341"/>
      <c r="R78" s="333"/>
      <c r="S78" s="359"/>
      <c r="T78" s="338"/>
      <c r="U78" s="338"/>
      <c r="V78" s="338"/>
    </row>
    <row r="79" spans="1:22" s="363" customFormat="1">
      <c r="A79" s="333"/>
      <c r="B79" s="496">
        <v>3</v>
      </c>
      <c r="C79" s="497" t="s">
        <v>163</v>
      </c>
      <c r="D79" s="353" t="str">
        <f ca="1">IF(ISERROR(OFFSET('HARGA SATUAN'!$D$6,MATCH(RAB!C79,'HARGA SATUAN'!$C$7:$C$1492,0),0)),"",OFFSET('HARGA SATUAN'!$D$6,MATCH(RAB!C79,'HARGA SATUAN'!$C$7:$C$1492,0),0))</f>
        <v>HDW</v>
      </c>
      <c r="E79" s="354" t="str">
        <f ca="1">IF(B79="+","Unit",IF(ISERROR(OFFSET('HARGA SATUAN'!$E$6,MATCH(RAB!C79,'HARGA SATUAN'!$C$7:$C$1492,0),0)),"",OFFSET('HARGA SATUAN'!$E$6,MATCH(RAB!C79,'HARGA SATUAN'!$C$7:$C$1492,0),0)))</f>
        <v>Bh</v>
      </c>
      <c r="F79" s="489">
        <f>F76*2</f>
        <v>8</v>
      </c>
      <c r="G79" s="355">
        <f ca="1">IF(ISERROR(OFFSET('HARGA SATUAN'!$I$6,MATCH(RAB!C79,'HARGA SATUAN'!$C$7:$C$1492,0),0)),0,OFFSET('HARGA SATUAN'!$I$6,MATCH(RAB!C79,'HARGA SATUAN'!$C$7:$C$1492,0),0))</f>
        <v>7938</v>
      </c>
      <c r="H79" s="356">
        <f t="shared" ca="1" si="8"/>
        <v>0</v>
      </c>
      <c r="I79" s="356">
        <f t="shared" ca="1" si="9"/>
        <v>63504</v>
      </c>
      <c r="J79" s="356">
        <f t="shared" ca="1" si="10"/>
        <v>0</v>
      </c>
      <c r="K79" s="357">
        <f t="shared" ca="1" si="11"/>
        <v>63504</v>
      </c>
      <c r="L79" s="362"/>
      <c r="M79" s="362"/>
      <c r="N79" s="362"/>
      <c r="O79" s="358"/>
      <c r="P79" s="358"/>
      <c r="Q79" s="341"/>
      <c r="R79" s="333"/>
      <c r="S79" s="359"/>
      <c r="T79" s="338"/>
      <c r="U79" s="338"/>
      <c r="V79" s="338"/>
    </row>
    <row r="80" spans="1:22" s="363" customFormat="1">
      <c r="A80" s="333"/>
      <c r="B80" s="496">
        <v>4</v>
      </c>
      <c r="C80" s="497" t="s">
        <v>173</v>
      </c>
      <c r="D80" s="353" t="str">
        <f ca="1">IF(ISERROR(OFFSET('HARGA SATUAN'!$D$6,MATCH(RAB!C80,'HARGA SATUAN'!$C$7:$C$1492,0),0)),"",OFFSET('HARGA SATUAN'!$D$6,MATCH(RAB!C80,'HARGA SATUAN'!$C$7:$C$1492,0),0))</f>
        <v>HDW</v>
      </c>
      <c r="E80" s="354" t="str">
        <f ca="1">IF(B80="+","Unit",IF(ISERROR(OFFSET('HARGA SATUAN'!$E$6,MATCH(RAB!C80,'HARGA SATUAN'!$C$7:$C$1492,0),0)),"",OFFSET('HARGA SATUAN'!$E$6,MATCH(RAB!C80,'HARGA SATUAN'!$C$7:$C$1492,0),0)))</f>
        <v>Bh</v>
      </c>
      <c r="F80" s="489">
        <f>F76*2</f>
        <v>8</v>
      </c>
      <c r="G80" s="355">
        <f ca="1">IF(ISERROR(OFFSET('HARGA SATUAN'!$I$6,MATCH(RAB!C80,'HARGA SATUAN'!$C$7:$C$1492,0),0)),0,OFFSET('HARGA SATUAN'!$I$6,MATCH(RAB!C80,'HARGA SATUAN'!$C$7:$C$1492,0),0))</f>
        <v>45000</v>
      </c>
      <c r="H80" s="356">
        <f t="shared" ca="1" si="8"/>
        <v>0</v>
      </c>
      <c r="I80" s="356">
        <f t="shared" ca="1" si="9"/>
        <v>360000</v>
      </c>
      <c r="J80" s="356">
        <f t="shared" ca="1" si="10"/>
        <v>0</v>
      </c>
      <c r="K80" s="357">
        <f t="shared" ca="1" si="11"/>
        <v>360000</v>
      </c>
      <c r="L80" s="362"/>
      <c r="M80" s="362"/>
      <c r="N80" s="362"/>
      <c r="O80" s="358"/>
      <c r="P80" s="358"/>
      <c r="Q80" s="341"/>
      <c r="R80" s="333"/>
      <c r="S80" s="359"/>
      <c r="T80" s="338"/>
      <c r="U80" s="338"/>
      <c r="V80" s="338"/>
    </row>
    <row r="81" spans="1:22" s="363" customFormat="1">
      <c r="A81" s="333"/>
      <c r="B81" s="496">
        <v>5</v>
      </c>
      <c r="C81" s="497" t="s">
        <v>593</v>
      </c>
      <c r="D81" s="353" t="str">
        <f ca="1">IF(ISERROR(OFFSET('HARGA SATUAN'!$D$6,MATCH(RAB!C81,'HARGA SATUAN'!$C$7:$C$1492,0),0)),"",OFFSET('HARGA SATUAN'!$D$6,MATCH(RAB!C81,'HARGA SATUAN'!$C$7:$C$1492,0),0))</f>
        <v>HDW</v>
      </c>
      <c r="E81" s="354" t="str">
        <f ca="1">IF(B81="+","Unit",IF(ISERROR(OFFSET('HARGA SATUAN'!$E$6,MATCH(RAB!C81,'HARGA SATUAN'!$C$7:$C$1492,0),0)),"",OFFSET('HARGA SATUAN'!$E$6,MATCH(RAB!C81,'HARGA SATUAN'!$C$7:$C$1492,0),0)))</f>
        <v>Bh</v>
      </c>
      <c r="F81" s="489">
        <f>F76*1</f>
        <v>4</v>
      </c>
      <c r="G81" s="355">
        <f ca="1">IF(ISERROR(OFFSET('HARGA SATUAN'!$I$6,MATCH(RAB!C81,'HARGA SATUAN'!$C$7:$C$1492,0),0)),0,OFFSET('HARGA SATUAN'!$I$6,MATCH(RAB!C81,'HARGA SATUAN'!$C$7:$C$1492,0),0))</f>
        <v>380500</v>
      </c>
      <c r="H81" s="356">
        <f t="shared" ca="1" si="8"/>
        <v>0</v>
      </c>
      <c r="I81" s="356">
        <f t="shared" ca="1" si="9"/>
        <v>1522000</v>
      </c>
      <c r="J81" s="356">
        <f t="shared" ca="1" si="10"/>
        <v>0</v>
      </c>
      <c r="K81" s="357">
        <f t="shared" ca="1" si="11"/>
        <v>1522000</v>
      </c>
      <c r="L81" s="362"/>
      <c r="M81" s="362"/>
      <c r="N81" s="362"/>
      <c r="O81" s="358"/>
      <c r="P81" s="358"/>
      <c r="Q81" s="341"/>
      <c r="R81" s="333"/>
      <c r="S81" s="359"/>
      <c r="T81" s="338"/>
      <c r="U81" s="338"/>
      <c r="V81" s="338"/>
    </row>
    <row r="82" spans="1:22" s="363" customFormat="1">
      <c r="A82" s="333"/>
      <c r="B82" s="496">
        <v>6</v>
      </c>
      <c r="C82" s="497" t="s">
        <v>217</v>
      </c>
      <c r="D82" s="353" t="str">
        <f ca="1">IF(ISERROR(OFFSET('HARGA SATUAN'!$D$6,MATCH(RAB!C82,'HARGA SATUAN'!$C$7:$C$1492,0),0)),"",OFFSET('HARGA SATUAN'!$D$6,MATCH(RAB!C82,'HARGA SATUAN'!$C$7:$C$1492,0),0))</f>
        <v>HDW</v>
      </c>
      <c r="E82" s="354" t="str">
        <f ca="1">IF(B82="+","Unit",IF(ISERROR(OFFSET('HARGA SATUAN'!$E$6,MATCH(RAB!C82,'HARGA SATUAN'!$C$7:$C$1492,0),0)),"",OFFSET('HARGA SATUAN'!$E$6,MATCH(RAB!C82,'HARGA SATUAN'!$C$7:$C$1492,0),0)))</f>
        <v>Bh</v>
      </c>
      <c r="F82" s="489">
        <f>F76*1</f>
        <v>4</v>
      </c>
      <c r="G82" s="355">
        <f ca="1">IF(ISERROR(OFFSET('HARGA SATUAN'!$I$6,MATCH(RAB!C82,'HARGA SATUAN'!$C$7:$C$1492,0),0)),0,OFFSET('HARGA SATUAN'!$I$6,MATCH(RAB!C82,'HARGA SATUAN'!$C$7:$C$1492,0),0))</f>
        <v>11400</v>
      </c>
      <c r="H82" s="356">
        <f t="shared" ca="1" si="8"/>
        <v>0</v>
      </c>
      <c r="I82" s="356">
        <f t="shared" ca="1" si="9"/>
        <v>45600</v>
      </c>
      <c r="J82" s="356">
        <f t="shared" ca="1" si="10"/>
        <v>0</v>
      </c>
      <c r="K82" s="357">
        <f t="shared" ca="1" si="11"/>
        <v>45600</v>
      </c>
      <c r="L82" s="362"/>
      <c r="M82" s="362"/>
      <c r="N82" s="362"/>
      <c r="O82" s="358"/>
      <c r="P82" s="358"/>
      <c r="Q82" s="341"/>
      <c r="R82" s="333"/>
      <c r="S82" s="359"/>
      <c r="T82" s="338"/>
      <c r="U82" s="338"/>
      <c r="V82" s="338"/>
    </row>
    <row r="83" spans="1:22" s="363" customFormat="1">
      <c r="A83" s="333"/>
      <c r="B83" s="496">
        <v>7</v>
      </c>
      <c r="C83" s="497" t="s">
        <v>247</v>
      </c>
      <c r="D83" s="353" t="str">
        <f ca="1">IF(ISERROR(OFFSET('HARGA SATUAN'!$D$6,MATCH(RAB!C83,'HARGA SATUAN'!$C$7:$C$1492,0),0)),"",OFFSET('HARGA SATUAN'!$D$6,MATCH(RAB!C83,'HARGA SATUAN'!$C$7:$C$1492,0),0))</f>
        <v>HDW</v>
      </c>
      <c r="E83" s="354" t="str">
        <f ca="1">IF(B83="+","Unit",IF(ISERROR(OFFSET('HARGA SATUAN'!$E$6,MATCH(RAB!C83,'HARGA SATUAN'!$C$7:$C$1492,0),0)),"",OFFSET('HARGA SATUAN'!$E$6,MATCH(RAB!C83,'HARGA SATUAN'!$C$7:$C$1492,0),0)))</f>
        <v>Bh</v>
      </c>
      <c r="F83" s="489">
        <f>F76*1</f>
        <v>4</v>
      </c>
      <c r="G83" s="355">
        <f ca="1">IF(ISERROR(OFFSET('HARGA SATUAN'!$I$6,MATCH(RAB!C83,'HARGA SATUAN'!$C$7:$C$1492,0),0)),0,OFFSET('HARGA SATUAN'!$I$6,MATCH(RAB!C83,'HARGA SATUAN'!$C$7:$C$1492,0),0))</f>
        <v>57690</v>
      </c>
      <c r="H83" s="356">
        <f t="shared" ca="1" si="8"/>
        <v>0</v>
      </c>
      <c r="I83" s="356">
        <f t="shared" ca="1" si="9"/>
        <v>230760</v>
      </c>
      <c r="J83" s="356">
        <f t="shared" ca="1" si="10"/>
        <v>0</v>
      </c>
      <c r="K83" s="357">
        <f t="shared" ca="1" si="11"/>
        <v>230760</v>
      </c>
      <c r="L83" s="362"/>
      <c r="M83" s="362"/>
      <c r="N83" s="362"/>
      <c r="O83" s="358"/>
      <c r="P83" s="358"/>
      <c r="Q83" s="341"/>
      <c r="R83" s="333"/>
      <c r="S83" s="359"/>
      <c r="T83" s="338"/>
      <c r="U83" s="338"/>
      <c r="V83" s="338"/>
    </row>
    <row r="84" spans="1:22" s="363" customFormat="1">
      <c r="A84" s="333"/>
      <c r="B84" s="496">
        <v>8</v>
      </c>
      <c r="C84" s="497" t="s">
        <v>254</v>
      </c>
      <c r="D84" s="353" t="str">
        <f ca="1">IF(ISERROR(OFFSET('HARGA SATUAN'!$D$6,MATCH(RAB!C84,'HARGA SATUAN'!$C$7:$C$1492,0),0)),"",OFFSET('HARGA SATUAN'!$D$6,MATCH(RAB!C84,'HARGA SATUAN'!$C$7:$C$1492,0),0))</f>
        <v>HDW</v>
      </c>
      <c r="E84" s="354" t="str">
        <f ca="1">IF(B84="+","Unit",IF(ISERROR(OFFSET('HARGA SATUAN'!$E$6,MATCH(RAB!C84,'HARGA SATUAN'!$C$7:$C$1492,0),0)),"",OFFSET('HARGA SATUAN'!$E$6,MATCH(RAB!C84,'HARGA SATUAN'!$C$7:$C$1492,0),0)))</f>
        <v>Bh</v>
      </c>
      <c r="F84" s="489">
        <f>F76*1</f>
        <v>4</v>
      </c>
      <c r="G84" s="355">
        <f ca="1">IF(ISERROR(OFFSET('HARGA SATUAN'!$I$6,MATCH(RAB!C84,'HARGA SATUAN'!$C$7:$C$1492,0),0)),0,OFFSET('HARGA SATUAN'!$I$6,MATCH(RAB!C84,'HARGA SATUAN'!$C$7:$C$1492,0),0))</f>
        <v>51100</v>
      </c>
      <c r="H84" s="356">
        <f t="shared" ca="1" si="8"/>
        <v>0</v>
      </c>
      <c r="I84" s="356">
        <f t="shared" ca="1" si="9"/>
        <v>204400</v>
      </c>
      <c r="J84" s="356">
        <f t="shared" ca="1" si="10"/>
        <v>0</v>
      </c>
      <c r="K84" s="357">
        <f t="shared" ca="1" si="11"/>
        <v>204400</v>
      </c>
      <c r="L84" s="362"/>
      <c r="M84" s="362"/>
      <c r="N84" s="362"/>
      <c r="O84" s="358"/>
      <c r="P84" s="358"/>
      <c r="Q84" s="341"/>
      <c r="R84" s="333"/>
      <c r="S84" s="359"/>
      <c r="T84" s="338"/>
      <c r="U84" s="338"/>
      <c r="V84" s="338"/>
    </row>
    <row r="85" spans="1:22" s="363" customFormat="1">
      <c r="A85" s="333"/>
      <c r="B85" s="496">
        <v>9</v>
      </c>
      <c r="C85" s="497" t="s">
        <v>264</v>
      </c>
      <c r="D85" s="353" t="str">
        <f ca="1">IF(ISERROR(OFFSET('HARGA SATUAN'!$D$6,MATCH(RAB!C85,'HARGA SATUAN'!$C$7:$C$1492,0),0)),"",OFFSET('HARGA SATUAN'!$D$6,MATCH(RAB!C85,'HARGA SATUAN'!$C$7:$C$1492,0),0))</f>
        <v>HDW</v>
      </c>
      <c r="E85" s="354" t="str">
        <f ca="1">IF(B85="+","Unit",IF(ISERROR(OFFSET('HARGA SATUAN'!$E$6,MATCH(RAB!C85,'HARGA SATUAN'!$C$7:$C$1492,0),0)),"",OFFSET('HARGA SATUAN'!$E$6,MATCH(RAB!C85,'HARGA SATUAN'!$C$7:$C$1492,0),0)))</f>
        <v>Bh</v>
      </c>
      <c r="F85" s="489">
        <f>F76*1</f>
        <v>4</v>
      </c>
      <c r="G85" s="355">
        <f ca="1">IF(ISERROR(OFFSET('HARGA SATUAN'!$I$6,MATCH(RAB!C85,'HARGA SATUAN'!$C$7:$C$1492,0),0)),0,OFFSET('HARGA SATUAN'!$I$6,MATCH(RAB!C85,'HARGA SATUAN'!$C$7:$C$1492,0),0))</f>
        <v>28000</v>
      </c>
      <c r="H85" s="356">
        <f t="shared" ca="1" si="8"/>
        <v>0</v>
      </c>
      <c r="I85" s="356">
        <f t="shared" ca="1" si="9"/>
        <v>112000</v>
      </c>
      <c r="J85" s="356">
        <f t="shared" ca="1" si="10"/>
        <v>0</v>
      </c>
      <c r="K85" s="357">
        <f t="shared" ca="1" si="11"/>
        <v>112000</v>
      </c>
      <c r="L85" s="362"/>
      <c r="M85" s="362"/>
      <c r="N85" s="362"/>
      <c r="O85" s="358"/>
      <c r="P85" s="358"/>
      <c r="Q85" s="341"/>
      <c r="R85" s="333"/>
      <c r="S85" s="359"/>
      <c r="T85" s="338"/>
      <c r="U85" s="338"/>
      <c r="V85" s="338"/>
    </row>
    <row r="86" spans="1:22" s="363" customFormat="1">
      <c r="A86" s="333"/>
      <c r="B86" s="496">
        <v>10</v>
      </c>
      <c r="C86" s="497" t="s">
        <v>38</v>
      </c>
      <c r="D86" s="353" t="str">
        <f ca="1">IF(ISERROR(OFFSET('HARGA SATUAN'!$D$6,MATCH(RAB!C86,'HARGA SATUAN'!$C$7:$C$1492,0),0)),"",OFFSET('HARGA SATUAN'!$D$6,MATCH(RAB!C86,'HARGA SATUAN'!$C$7:$C$1492,0),0))</f>
        <v>HDW</v>
      </c>
      <c r="E86" s="354" t="str">
        <f ca="1">IF(B86="+","Unit",IF(ISERROR(OFFSET('HARGA SATUAN'!$E$6,MATCH(RAB!C86,'HARGA SATUAN'!$C$7:$C$1492,0),0)),"",OFFSET('HARGA SATUAN'!$E$6,MATCH(RAB!C86,'HARGA SATUAN'!$C$7:$C$1492,0),0)))</f>
        <v>Mtr</v>
      </c>
      <c r="F86" s="489">
        <f>6.2*F76</f>
        <v>24.8</v>
      </c>
      <c r="G86" s="355">
        <f ca="1">IF(ISERROR(OFFSET('HARGA SATUAN'!$I$6,MATCH(RAB!C86,'HARGA SATUAN'!$C$7:$C$1492,0),0)),0,OFFSET('HARGA SATUAN'!$I$6,MATCH(RAB!C86,'HARGA SATUAN'!$C$7:$C$1492,0),0))</f>
        <v>8550</v>
      </c>
      <c r="H86" s="356">
        <f t="shared" ca="1" si="8"/>
        <v>0</v>
      </c>
      <c r="I86" s="356">
        <f t="shared" ca="1" si="9"/>
        <v>212040</v>
      </c>
      <c r="J86" s="356">
        <f t="shared" ca="1" si="10"/>
        <v>0</v>
      </c>
      <c r="K86" s="357">
        <f t="shared" ca="1" si="11"/>
        <v>212040</v>
      </c>
      <c r="L86" s="362"/>
      <c r="M86" s="362"/>
      <c r="N86" s="362"/>
      <c r="O86" s="358"/>
      <c r="P86" s="358"/>
      <c r="Q86" s="341"/>
      <c r="R86" s="333"/>
      <c r="S86" s="359"/>
      <c r="T86" s="338"/>
      <c r="U86" s="338"/>
      <c r="V86" s="338"/>
    </row>
    <row r="87" spans="1:22" s="363" customFormat="1">
      <c r="A87" s="333"/>
      <c r="B87" s="496">
        <v>11</v>
      </c>
      <c r="C87" s="497" t="s">
        <v>26</v>
      </c>
      <c r="D87" s="353" t="str">
        <f ca="1">IF(ISERROR(OFFSET('HARGA SATUAN'!$D$6,MATCH(RAB!C87,'HARGA SATUAN'!$C$7:$C$1492,0),0)),"",OFFSET('HARGA SATUAN'!$D$6,MATCH(RAB!C87,'HARGA SATUAN'!$C$7:$C$1492,0),0))</f>
        <v>HDW</v>
      </c>
      <c r="E87" s="354" t="str">
        <f ca="1">IF(B87="+","Unit",IF(ISERROR(OFFSET('HARGA SATUAN'!$E$6,MATCH(RAB!C87,'HARGA SATUAN'!$C$7:$C$1492,0),0)),"",OFFSET('HARGA SATUAN'!$E$6,MATCH(RAB!C87,'HARGA SATUAN'!$C$7:$C$1492,0),0)))</f>
        <v>Bh</v>
      </c>
      <c r="F87" s="489">
        <f>F76*2</f>
        <v>8</v>
      </c>
      <c r="G87" s="355">
        <f ca="1">IF(ISERROR(OFFSET('HARGA SATUAN'!$I$6,MATCH(RAB!C87,'HARGA SATUAN'!$C$7:$C$1492,0),0)),0,OFFSET('HARGA SATUAN'!$I$6,MATCH(RAB!C87,'HARGA SATUAN'!$C$7:$C$1492,0),0))</f>
        <v>2500</v>
      </c>
      <c r="H87" s="356">
        <f t="shared" ca="1" si="8"/>
        <v>0</v>
      </c>
      <c r="I87" s="356">
        <f t="shared" ca="1" si="9"/>
        <v>20000</v>
      </c>
      <c r="J87" s="356">
        <f t="shared" ca="1" si="10"/>
        <v>0</v>
      </c>
      <c r="K87" s="357">
        <f t="shared" ca="1" si="11"/>
        <v>20000</v>
      </c>
      <c r="L87" s="362"/>
      <c r="M87" s="362"/>
      <c r="N87" s="362"/>
      <c r="O87" s="358"/>
      <c r="P87" s="358"/>
      <c r="Q87" s="341"/>
      <c r="R87" s="333"/>
      <c r="S87" s="359"/>
      <c r="T87" s="338"/>
      <c r="U87" s="338"/>
      <c r="V87" s="338"/>
    </row>
    <row r="88" spans="1:22" s="363" customFormat="1">
      <c r="A88" s="333"/>
      <c r="B88" s="496">
        <v>12</v>
      </c>
      <c r="C88" s="497" t="s">
        <v>685</v>
      </c>
      <c r="D88" s="353" t="str">
        <f ca="1">IF(ISERROR(OFFSET('HARGA SATUAN'!$D$6,MATCH(RAB!C88,'HARGA SATUAN'!$C$7:$C$1492,0),0)),"",OFFSET('HARGA SATUAN'!$D$6,MATCH(RAB!C88,'HARGA SATUAN'!$C$7:$C$1492,0),0))</f>
        <v>JASA</v>
      </c>
      <c r="E88" s="354" t="str">
        <f ca="1">IF(B88="+","Unit",IF(ISERROR(OFFSET('HARGA SATUAN'!$E$6,MATCH(RAB!C88,'HARGA SATUAN'!$C$7:$C$1492,0),0)),"",OFFSET('HARGA SATUAN'!$E$6,MATCH(RAB!C88,'HARGA SATUAN'!$C$7:$C$1492,0),0)))</f>
        <v>Unit</v>
      </c>
      <c r="F88" s="489">
        <f>F76*1</f>
        <v>4</v>
      </c>
      <c r="G88" s="355">
        <f ca="1">IF(ISERROR(OFFSET('HARGA SATUAN'!$I$6,MATCH(RAB!C88,'HARGA SATUAN'!$C$7:$C$1492,0),0)),0,OFFSET('HARGA SATUAN'!$I$6,MATCH(RAB!C88,'HARGA SATUAN'!$C$7:$C$1492,0),0))</f>
        <v>99100</v>
      </c>
      <c r="H88" s="356">
        <f t="shared" ca="1" si="8"/>
        <v>0</v>
      </c>
      <c r="I88" s="356">
        <f t="shared" ca="1" si="9"/>
        <v>0</v>
      </c>
      <c r="J88" s="356">
        <f t="shared" ca="1" si="10"/>
        <v>396400</v>
      </c>
      <c r="K88" s="357">
        <f t="shared" ca="1" si="11"/>
        <v>396400</v>
      </c>
      <c r="L88" s="362"/>
      <c r="M88" s="362"/>
      <c r="N88" s="362"/>
      <c r="O88" s="358"/>
      <c r="P88" s="358"/>
      <c r="Q88" s="341"/>
      <c r="R88" s="333"/>
      <c r="S88" s="359"/>
      <c r="T88" s="338"/>
      <c r="U88" s="338"/>
      <c r="V88" s="338"/>
    </row>
    <row r="89" spans="1:22" s="363" customFormat="1">
      <c r="A89" s="333"/>
      <c r="B89" s="483"/>
      <c r="C89" s="109"/>
      <c r="D89" s="353" t="str">
        <f ca="1">IF(ISERROR(OFFSET('HARGA SATUAN'!$D$6,MATCH(RAB!C89,'HARGA SATUAN'!$C$7:$C$1492,0),0)),"",OFFSET('HARGA SATUAN'!$D$6,MATCH(RAB!C89,'HARGA SATUAN'!$C$7:$C$1492,0),0))</f>
        <v/>
      </c>
      <c r="E89" s="354" t="str">
        <f ca="1">IF(B89="+","Unit",IF(ISERROR(OFFSET('HARGA SATUAN'!$E$6,MATCH(RAB!C89,'HARGA SATUAN'!$C$7:$C$1492,0),0)),"",OFFSET('HARGA SATUAN'!$E$6,MATCH(RAB!C89,'HARGA SATUAN'!$C$7:$C$1492,0),0)))</f>
        <v/>
      </c>
      <c r="F89" s="361"/>
      <c r="G89" s="355">
        <f ca="1">IF(ISERROR(OFFSET('HARGA SATUAN'!$I$6,MATCH(RAB!C89,'HARGA SATUAN'!$C$7:$C$1492,0),0)),0,OFFSET('HARGA SATUAN'!$I$6,MATCH(RAB!C89,'HARGA SATUAN'!$C$7:$C$1492,0),0))</f>
        <v>0</v>
      </c>
      <c r="H89" s="356">
        <f t="shared" ca="1" si="8"/>
        <v>0</v>
      </c>
      <c r="I89" s="356">
        <f t="shared" ca="1" si="9"/>
        <v>0</v>
      </c>
      <c r="J89" s="356">
        <f t="shared" ca="1" si="10"/>
        <v>0</v>
      </c>
      <c r="K89" s="357">
        <f t="shared" ca="1" si="11"/>
        <v>0</v>
      </c>
      <c r="L89" s="362"/>
      <c r="M89" s="362"/>
      <c r="N89" s="362"/>
      <c r="O89" s="358"/>
      <c r="P89" s="358"/>
      <c r="Q89" s="341"/>
      <c r="R89" s="333"/>
      <c r="S89" s="359"/>
      <c r="T89" s="338"/>
      <c r="U89" s="338"/>
      <c r="V89" s="338"/>
    </row>
    <row r="90" spans="1:22" s="363" customFormat="1">
      <c r="A90" s="333"/>
      <c r="B90" s="496" t="s">
        <v>1035</v>
      </c>
      <c r="C90" s="497" t="s">
        <v>1626</v>
      </c>
      <c r="D90" s="353" t="str">
        <f ca="1">IF(ISERROR(OFFSET('HARGA SATUAN'!$D$6,MATCH(RAB!C90,'HARGA SATUAN'!$C$7:$C$1492,0),0)),"",OFFSET('HARGA SATUAN'!$D$6,MATCH(RAB!C90,'HARGA SATUAN'!$C$7:$C$1492,0),0))</f>
        <v/>
      </c>
      <c r="E90" s="354" t="str">
        <f ca="1">IF(B90="+","Unit",IF(ISERROR(OFFSET('HARGA SATUAN'!$E$6,MATCH(RAB!C90,'HARGA SATUAN'!$C$7:$C$1492,0),0)),"",OFFSET('HARGA SATUAN'!$E$6,MATCH(RAB!C90,'HARGA SATUAN'!$C$7:$C$1492,0),0)))</f>
        <v>Unit</v>
      </c>
      <c r="F90" s="489">
        <v>4</v>
      </c>
      <c r="G90" s="355">
        <f ca="1">IF(ISERROR(OFFSET('HARGA SATUAN'!$I$6,MATCH(RAB!C90,'HARGA SATUAN'!$C$7:$C$1492,0),0)),0,OFFSET('HARGA SATUAN'!$I$6,MATCH(RAB!C90,'HARGA SATUAN'!$C$7:$C$1492,0),0))</f>
        <v>0</v>
      </c>
      <c r="H90" s="356">
        <f t="shared" ca="1" si="4"/>
        <v>0</v>
      </c>
      <c r="I90" s="356">
        <f t="shared" ca="1" si="5"/>
        <v>0</v>
      </c>
      <c r="J90" s="356">
        <f t="shared" ca="1" si="6"/>
        <v>0</v>
      </c>
      <c r="K90" s="357">
        <f t="shared" ca="1" si="7"/>
        <v>0</v>
      </c>
      <c r="L90" s="362"/>
      <c r="M90" s="362"/>
      <c r="N90" s="362"/>
      <c r="O90" s="358"/>
      <c r="P90" s="358"/>
      <c r="Q90" s="341"/>
      <c r="R90" s="333"/>
      <c r="S90" s="359"/>
      <c r="T90" s="338"/>
      <c r="U90" s="338"/>
      <c r="V90" s="338"/>
    </row>
    <row r="91" spans="1:22" s="363" customFormat="1">
      <c r="A91" s="333"/>
      <c r="B91" s="496">
        <v>1</v>
      </c>
      <c r="C91" s="109" t="s">
        <v>1564</v>
      </c>
      <c r="D91" s="353" t="str">
        <f ca="1">IF(ISERROR(OFFSET('HARGA SATUAN'!$D$6,MATCH(RAB!C91,'HARGA SATUAN'!$C$7:$C$1492,0),0)),"",OFFSET('HARGA SATUAN'!$D$6,MATCH(RAB!C91,'HARGA SATUAN'!$C$7:$C$1492,0),0))</f>
        <v>MDU-KD</v>
      </c>
      <c r="E91" s="354" t="str">
        <f ca="1">IF(B91="+","Unit",IF(ISERROR(OFFSET('HARGA SATUAN'!$E$6,MATCH(RAB!C91,'HARGA SATUAN'!$C$7:$C$1492,0),0)),"",OFFSET('HARGA SATUAN'!$E$6,MATCH(RAB!C91,'HARGA SATUAN'!$C$7:$C$1492,0),0)))</f>
        <v>Bh</v>
      </c>
      <c r="F91" s="489">
        <f>F90*1</f>
        <v>4</v>
      </c>
      <c r="G91" s="355">
        <f ca="1">IF(ISERROR(OFFSET('HARGA SATUAN'!$I$6,MATCH(RAB!C91,'HARGA SATUAN'!$C$7:$C$1492,0),0)),0,OFFSET('HARGA SATUAN'!$I$6,MATCH(RAB!C91,'HARGA SATUAN'!$C$7:$C$1492,0),0))</f>
        <v>235900</v>
      </c>
      <c r="H91" s="356">
        <f t="shared" ca="1" si="4"/>
        <v>943600</v>
      </c>
      <c r="I91" s="356">
        <f t="shared" ca="1" si="5"/>
        <v>0</v>
      </c>
      <c r="J91" s="356">
        <f t="shared" ca="1" si="6"/>
        <v>0</v>
      </c>
      <c r="K91" s="357">
        <f t="shared" ca="1" si="7"/>
        <v>943600</v>
      </c>
      <c r="L91" s="362"/>
      <c r="M91" s="362"/>
      <c r="N91" s="362"/>
      <c r="O91" s="358"/>
      <c r="P91" s="358"/>
      <c r="Q91" s="341"/>
      <c r="R91" s="333"/>
      <c r="S91" s="359"/>
      <c r="T91" s="338"/>
      <c r="U91" s="338"/>
      <c r="V91" s="338"/>
    </row>
    <row r="92" spans="1:22" s="363" customFormat="1">
      <c r="A92" s="333"/>
      <c r="B92" s="496">
        <v>2</v>
      </c>
      <c r="C92" s="109" t="s">
        <v>1564</v>
      </c>
      <c r="D92" s="353" t="str">
        <f ca="1">IF(ISERROR(OFFSET('HARGA SATUAN'!$D$6,MATCH(RAB!C92,'HARGA SATUAN'!$C$7:$C$1492,0),0)),"",OFFSET('HARGA SATUAN'!$D$6,MATCH(RAB!C92,'HARGA SATUAN'!$C$7:$C$1492,0),0))</f>
        <v>MDU-KD</v>
      </c>
      <c r="E92" s="354" t="str">
        <f ca="1">IF(B92="+","Unit",IF(ISERROR(OFFSET('HARGA SATUAN'!$E$6,MATCH(RAB!C92,'HARGA SATUAN'!$C$7:$C$1492,0),0)),"",OFFSET('HARGA SATUAN'!$E$6,MATCH(RAB!C92,'HARGA SATUAN'!$C$7:$C$1492,0),0)))</f>
        <v>Bh</v>
      </c>
      <c r="F92" s="489">
        <f>F90*2</f>
        <v>8</v>
      </c>
      <c r="G92" s="355">
        <f ca="1">IF(ISERROR(OFFSET('HARGA SATUAN'!$I$6,MATCH(RAB!C92,'HARGA SATUAN'!$C$7:$C$1492,0),0)),0,OFFSET('HARGA SATUAN'!$I$6,MATCH(RAB!C92,'HARGA SATUAN'!$C$7:$C$1492,0),0))</f>
        <v>235900</v>
      </c>
      <c r="H92" s="356">
        <f t="shared" ca="1" si="4"/>
        <v>1887200</v>
      </c>
      <c r="I92" s="356">
        <f t="shared" ca="1" si="5"/>
        <v>0</v>
      </c>
      <c r="J92" s="356">
        <f t="shared" ca="1" si="6"/>
        <v>0</v>
      </c>
      <c r="K92" s="357">
        <f t="shared" ca="1" si="7"/>
        <v>1887200</v>
      </c>
      <c r="L92" s="362"/>
      <c r="M92" s="362"/>
      <c r="N92" s="362"/>
      <c r="O92" s="358"/>
      <c r="P92" s="358"/>
      <c r="Q92" s="341"/>
      <c r="R92" s="333"/>
      <c r="S92" s="359"/>
      <c r="T92" s="338"/>
      <c r="U92" s="338"/>
      <c r="V92" s="338"/>
    </row>
    <row r="93" spans="1:22" s="363" customFormat="1">
      <c r="A93" s="333"/>
      <c r="B93" s="496">
        <v>3</v>
      </c>
      <c r="C93" s="109" t="s">
        <v>1565</v>
      </c>
      <c r="D93" s="353" t="str">
        <f ca="1">IF(ISERROR(OFFSET('HARGA SATUAN'!$D$6,MATCH(RAB!C93,'HARGA SATUAN'!$C$7:$C$1492,0),0)),"",OFFSET('HARGA SATUAN'!$D$6,MATCH(RAB!C93,'HARGA SATUAN'!$C$7:$C$1492,0),0))</f>
        <v>MDU-KD</v>
      </c>
      <c r="E93" s="354" t="str">
        <f ca="1">IF(B93="+","Unit",IF(ISERROR(OFFSET('HARGA SATUAN'!$E$6,MATCH(RAB!C93,'HARGA SATUAN'!$C$7:$C$1492,0),0)),"",OFFSET('HARGA SATUAN'!$E$6,MATCH(RAB!C93,'HARGA SATUAN'!$C$7:$C$1492,0),0)))</f>
        <v>Set</v>
      </c>
      <c r="F93" s="500">
        <f>F90*6</f>
        <v>24</v>
      </c>
      <c r="G93" s="355">
        <f ca="1">IF(ISERROR(OFFSET('HARGA SATUAN'!$I$6,MATCH(RAB!C93,'HARGA SATUAN'!$C$7:$C$1492,0),0)),0,OFFSET('HARGA SATUAN'!$I$6,MATCH(RAB!C93,'HARGA SATUAN'!$C$7:$C$1492,0),0))</f>
        <v>430000</v>
      </c>
      <c r="H93" s="356">
        <f t="shared" ref="H93:H156" ca="1" si="12">IF(OR(D93="MDU",D93="MDU-KD"),(IF($O$3="RAB NON MDU","PLN KD",G93*F93)),0)</f>
        <v>10320000</v>
      </c>
      <c r="I93" s="356">
        <f t="shared" ref="I93:I156" ca="1" si="13">IF(D93="HDW",G93*F93,0)</f>
        <v>0</v>
      </c>
      <c r="J93" s="356">
        <f t="shared" ref="J93:J156" ca="1" si="14">IF(D93="JASA",G93*F93,0)</f>
        <v>0</v>
      </c>
      <c r="K93" s="357">
        <f t="shared" ref="K93:K156" ca="1" si="15">SUM(H93:J93)</f>
        <v>10320000</v>
      </c>
      <c r="L93" s="362"/>
      <c r="M93" s="362"/>
      <c r="N93" s="362"/>
      <c r="O93" s="358"/>
      <c r="P93" s="358"/>
      <c r="Q93" s="341"/>
      <c r="R93" s="333"/>
      <c r="S93" s="359"/>
      <c r="T93" s="338"/>
      <c r="U93" s="338"/>
      <c r="V93" s="338"/>
    </row>
    <row r="94" spans="1:22" s="363" customFormat="1">
      <c r="A94" s="333"/>
      <c r="B94" s="496">
        <v>4</v>
      </c>
      <c r="C94" s="497" t="s">
        <v>152</v>
      </c>
      <c r="D94" s="353" t="str">
        <f ca="1">IF(ISERROR(OFFSET('HARGA SATUAN'!$D$6,MATCH(RAB!C94,'HARGA SATUAN'!$C$7:$C$1492,0),0)),"",OFFSET('HARGA SATUAN'!$D$6,MATCH(RAB!C94,'HARGA SATUAN'!$C$7:$C$1492,0),0))</f>
        <v>HDW</v>
      </c>
      <c r="E94" s="354" t="str">
        <f ca="1">IF(B94="+","Unit",IF(ISERROR(OFFSET('HARGA SATUAN'!$E$6,MATCH(RAB!C94,'HARGA SATUAN'!$C$7:$C$1492,0),0)),"",OFFSET('HARGA SATUAN'!$E$6,MATCH(RAB!C94,'HARGA SATUAN'!$C$7:$C$1492,0),0)))</f>
        <v>Mtr</v>
      </c>
      <c r="F94" s="489">
        <f>F90*2</f>
        <v>8</v>
      </c>
      <c r="G94" s="355">
        <f ca="1">IF(ISERROR(OFFSET('HARGA SATUAN'!$I$6,MATCH(RAB!C94,'HARGA SATUAN'!$C$7:$C$1492,0),0)),0,OFFSET('HARGA SATUAN'!$I$6,MATCH(RAB!C94,'HARGA SATUAN'!$C$7:$C$1492,0),0))</f>
        <v>7789</v>
      </c>
      <c r="H94" s="356">
        <f t="shared" ca="1" si="12"/>
        <v>0</v>
      </c>
      <c r="I94" s="356">
        <f t="shared" ca="1" si="13"/>
        <v>62312</v>
      </c>
      <c r="J94" s="356">
        <f t="shared" ca="1" si="14"/>
        <v>0</v>
      </c>
      <c r="K94" s="357">
        <f t="shared" ca="1" si="15"/>
        <v>62312</v>
      </c>
      <c r="L94" s="362"/>
      <c r="M94" s="362"/>
      <c r="N94" s="362"/>
      <c r="O94" s="358"/>
      <c r="P94" s="358"/>
      <c r="Q94" s="341"/>
      <c r="R94" s="333"/>
      <c r="S94" s="359"/>
      <c r="T94" s="338"/>
      <c r="U94" s="338"/>
      <c r="V94" s="338"/>
    </row>
    <row r="95" spans="1:22" s="363" customFormat="1">
      <c r="A95" s="333"/>
      <c r="B95" s="501">
        <v>5</v>
      </c>
      <c r="C95" s="499" t="s">
        <v>157</v>
      </c>
      <c r="D95" s="353" t="str">
        <f ca="1">IF(ISERROR(OFFSET('HARGA SATUAN'!$D$6,MATCH(RAB!C95,'HARGA SATUAN'!$C$7:$C$1492,0),0)),"",OFFSET('HARGA SATUAN'!$D$6,MATCH(RAB!C95,'HARGA SATUAN'!$C$7:$C$1492,0),0))</f>
        <v>HDW</v>
      </c>
      <c r="E95" s="354" t="str">
        <f ca="1">IF(B95="+","Unit",IF(ISERROR(OFFSET('HARGA SATUAN'!$E$6,MATCH(RAB!C95,'HARGA SATUAN'!$C$7:$C$1492,0),0)),"",OFFSET('HARGA SATUAN'!$E$6,MATCH(RAB!C95,'HARGA SATUAN'!$C$7:$C$1492,0),0)))</f>
        <v>Bh</v>
      </c>
      <c r="F95" s="502">
        <f>F90*2</f>
        <v>8</v>
      </c>
      <c r="G95" s="355">
        <f ca="1">IF(ISERROR(OFFSET('HARGA SATUAN'!$I$6,MATCH(RAB!C95,'HARGA SATUAN'!$C$7:$C$1492,0),0)),0,OFFSET('HARGA SATUAN'!$I$6,MATCH(RAB!C95,'HARGA SATUAN'!$C$7:$C$1492,0),0))</f>
        <v>40000</v>
      </c>
      <c r="H95" s="356">
        <f t="shared" ca="1" si="12"/>
        <v>0</v>
      </c>
      <c r="I95" s="356">
        <f t="shared" ca="1" si="13"/>
        <v>320000</v>
      </c>
      <c r="J95" s="356">
        <f t="shared" ca="1" si="14"/>
        <v>0</v>
      </c>
      <c r="K95" s="357">
        <f t="shared" ca="1" si="15"/>
        <v>320000</v>
      </c>
      <c r="L95" s="362"/>
      <c r="M95" s="362"/>
      <c r="N95" s="362"/>
      <c r="O95" s="358"/>
      <c r="P95" s="358"/>
      <c r="Q95" s="341"/>
      <c r="R95" s="333"/>
      <c r="S95" s="359"/>
      <c r="T95" s="338"/>
      <c r="U95" s="338"/>
      <c r="V95" s="338"/>
    </row>
    <row r="96" spans="1:22" s="363" customFormat="1">
      <c r="A96" s="333"/>
      <c r="B96" s="501">
        <v>6</v>
      </c>
      <c r="C96" s="499" t="s">
        <v>28</v>
      </c>
      <c r="D96" s="353" t="str">
        <f ca="1">IF(ISERROR(OFFSET('HARGA SATUAN'!$D$6,MATCH(RAB!C96,'HARGA SATUAN'!$C$7:$C$1492,0),0)),"",OFFSET('HARGA SATUAN'!$D$6,MATCH(RAB!C96,'HARGA SATUAN'!$C$7:$C$1492,0),0))</f>
        <v>HDW</v>
      </c>
      <c r="E96" s="354" t="str">
        <f ca="1">IF(B96="+","Unit",IF(ISERROR(OFFSET('HARGA SATUAN'!$E$6,MATCH(RAB!C96,'HARGA SATUAN'!$C$7:$C$1492,0),0)),"",OFFSET('HARGA SATUAN'!$E$6,MATCH(RAB!C96,'HARGA SATUAN'!$C$7:$C$1492,0),0)))</f>
        <v>Bh</v>
      </c>
      <c r="F96" s="502">
        <f>F90*3</f>
        <v>12</v>
      </c>
      <c r="G96" s="355">
        <f ca="1">IF(ISERROR(OFFSET('HARGA SATUAN'!$I$6,MATCH(RAB!C96,'HARGA SATUAN'!$C$7:$C$1492,0),0)),0,OFFSET('HARGA SATUAN'!$I$6,MATCH(RAB!C96,'HARGA SATUAN'!$C$7:$C$1492,0),0))</f>
        <v>26500</v>
      </c>
      <c r="H96" s="356">
        <f t="shared" ca="1" si="12"/>
        <v>0</v>
      </c>
      <c r="I96" s="356">
        <f t="shared" ca="1" si="13"/>
        <v>318000</v>
      </c>
      <c r="J96" s="356">
        <f t="shared" ca="1" si="14"/>
        <v>0</v>
      </c>
      <c r="K96" s="357">
        <f t="shared" ca="1" si="15"/>
        <v>318000</v>
      </c>
      <c r="L96" s="362"/>
      <c r="M96" s="362"/>
      <c r="N96" s="362"/>
      <c r="O96" s="358"/>
      <c r="P96" s="358"/>
      <c r="Q96" s="341"/>
      <c r="R96" s="333"/>
      <c r="S96" s="359"/>
      <c r="T96" s="338"/>
      <c r="U96" s="338"/>
      <c r="V96" s="338"/>
    </row>
    <row r="97" spans="1:22" s="363" customFormat="1">
      <c r="A97" s="333"/>
      <c r="B97" s="501">
        <v>7</v>
      </c>
      <c r="C97" s="499" t="s">
        <v>163</v>
      </c>
      <c r="D97" s="353" t="str">
        <f ca="1">IF(ISERROR(OFFSET('HARGA SATUAN'!$D$6,MATCH(RAB!C97,'HARGA SATUAN'!$C$7:$C$1492,0),0)),"",OFFSET('HARGA SATUAN'!$D$6,MATCH(RAB!C97,'HARGA SATUAN'!$C$7:$C$1492,0),0))</f>
        <v>HDW</v>
      </c>
      <c r="E97" s="354" t="str">
        <f ca="1">IF(B97="+","Unit",IF(ISERROR(OFFSET('HARGA SATUAN'!$E$6,MATCH(RAB!C97,'HARGA SATUAN'!$C$7:$C$1492,0),0)),"",OFFSET('HARGA SATUAN'!$E$6,MATCH(RAB!C97,'HARGA SATUAN'!$C$7:$C$1492,0),0)))</f>
        <v>Bh</v>
      </c>
      <c r="F97" s="502">
        <f>F90*4</f>
        <v>16</v>
      </c>
      <c r="G97" s="355">
        <f ca="1">IF(ISERROR(OFFSET('HARGA SATUAN'!$I$6,MATCH(RAB!C97,'HARGA SATUAN'!$C$7:$C$1492,0),0)),0,OFFSET('HARGA SATUAN'!$I$6,MATCH(RAB!C97,'HARGA SATUAN'!$C$7:$C$1492,0),0))</f>
        <v>7938</v>
      </c>
      <c r="H97" s="356">
        <f t="shared" ca="1" si="12"/>
        <v>0</v>
      </c>
      <c r="I97" s="356">
        <f t="shared" ca="1" si="13"/>
        <v>127008</v>
      </c>
      <c r="J97" s="356">
        <f t="shared" ca="1" si="14"/>
        <v>0</v>
      </c>
      <c r="K97" s="357">
        <f t="shared" ca="1" si="15"/>
        <v>127008</v>
      </c>
      <c r="L97" s="362"/>
      <c r="M97" s="362"/>
      <c r="N97" s="362"/>
      <c r="O97" s="358"/>
      <c r="P97" s="358"/>
      <c r="Q97" s="341"/>
      <c r="R97" s="333"/>
      <c r="S97" s="359"/>
      <c r="T97" s="338"/>
      <c r="U97" s="338"/>
      <c r="V97" s="338"/>
    </row>
    <row r="98" spans="1:22" s="363" customFormat="1">
      <c r="A98" s="333"/>
      <c r="B98" s="501">
        <v>8</v>
      </c>
      <c r="C98" s="499" t="s">
        <v>173</v>
      </c>
      <c r="D98" s="353" t="str">
        <f ca="1">IF(ISERROR(OFFSET('HARGA SATUAN'!$D$6,MATCH(RAB!C98,'HARGA SATUAN'!$C$7:$C$1492,0),0)),"",OFFSET('HARGA SATUAN'!$D$6,MATCH(RAB!C98,'HARGA SATUAN'!$C$7:$C$1492,0),0))</f>
        <v>HDW</v>
      </c>
      <c r="E98" s="354" t="str">
        <f ca="1">IF(B98="+","Unit",IF(ISERROR(OFFSET('HARGA SATUAN'!$E$6,MATCH(RAB!C98,'HARGA SATUAN'!$C$7:$C$1492,0),0)),"",OFFSET('HARGA SATUAN'!$E$6,MATCH(RAB!C98,'HARGA SATUAN'!$C$7:$C$1492,0),0)))</f>
        <v>Bh</v>
      </c>
      <c r="F98" s="502">
        <f>F90*4</f>
        <v>16</v>
      </c>
      <c r="G98" s="355">
        <f ca="1">IF(ISERROR(OFFSET('HARGA SATUAN'!$I$6,MATCH(RAB!C98,'HARGA SATUAN'!$C$7:$C$1492,0),0)),0,OFFSET('HARGA SATUAN'!$I$6,MATCH(RAB!C98,'HARGA SATUAN'!$C$7:$C$1492,0),0))</f>
        <v>45000</v>
      </c>
      <c r="H98" s="356">
        <f t="shared" ca="1" si="12"/>
        <v>0</v>
      </c>
      <c r="I98" s="356">
        <f t="shared" ca="1" si="13"/>
        <v>720000</v>
      </c>
      <c r="J98" s="356">
        <f t="shared" ca="1" si="14"/>
        <v>0</v>
      </c>
      <c r="K98" s="357">
        <f t="shared" ca="1" si="15"/>
        <v>720000</v>
      </c>
      <c r="L98" s="362"/>
      <c r="M98" s="362"/>
      <c r="N98" s="362"/>
      <c r="O98" s="358"/>
      <c r="P98" s="358"/>
      <c r="Q98" s="341"/>
      <c r="R98" s="333"/>
      <c r="S98" s="359"/>
      <c r="T98" s="338"/>
      <c r="U98" s="338"/>
      <c r="V98" s="338"/>
    </row>
    <row r="99" spans="1:22" s="363" customFormat="1">
      <c r="A99" s="333"/>
      <c r="B99" s="501">
        <v>9</v>
      </c>
      <c r="C99" s="499" t="s">
        <v>178</v>
      </c>
      <c r="D99" s="353" t="str">
        <f ca="1">IF(ISERROR(OFFSET('HARGA SATUAN'!$D$6,MATCH(RAB!C99,'HARGA SATUAN'!$C$7:$C$1492,0),0)),"",OFFSET('HARGA SATUAN'!$D$6,MATCH(RAB!C99,'HARGA SATUAN'!$C$7:$C$1492,0),0))</f>
        <v>HDW</v>
      </c>
      <c r="E99" s="354" t="str">
        <f ca="1">IF(B99="+","Unit",IF(ISERROR(OFFSET('HARGA SATUAN'!$E$6,MATCH(RAB!C99,'HARGA SATUAN'!$C$7:$C$1492,0),0)),"",OFFSET('HARGA SATUAN'!$E$6,MATCH(RAB!C99,'HARGA SATUAN'!$C$7:$C$1492,0),0)))</f>
        <v>Bh</v>
      </c>
      <c r="F99" s="502">
        <f>F90*1</f>
        <v>4</v>
      </c>
      <c r="G99" s="355">
        <f ca="1">IF(ISERROR(OFFSET('HARGA SATUAN'!$I$6,MATCH(RAB!C99,'HARGA SATUAN'!$C$7:$C$1492,0),0)),0,OFFSET('HARGA SATUAN'!$I$6,MATCH(RAB!C99,'HARGA SATUAN'!$C$7:$C$1492,0),0))</f>
        <v>95000</v>
      </c>
      <c r="H99" s="356">
        <f t="shared" ca="1" si="12"/>
        <v>0</v>
      </c>
      <c r="I99" s="356">
        <f t="shared" ca="1" si="13"/>
        <v>380000</v>
      </c>
      <c r="J99" s="356">
        <f t="shared" ca="1" si="14"/>
        <v>0</v>
      </c>
      <c r="K99" s="357">
        <f t="shared" ca="1" si="15"/>
        <v>380000</v>
      </c>
      <c r="L99" s="362"/>
      <c r="M99" s="362"/>
      <c r="N99" s="362"/>
      <c r="O99" s="358"/>
      <c r="P99" s="358"/>
      <c r="Q99" s="341"/>
      <c r="R99" s="333"/>
      <c r="S99" s="359"/>
      <c r="T99" s="338"/>
      <c r="U99" s="338"/>
      <c r="V99" s="338"/>
    </row>
    <row r="100" spans="1:22" s="363" customFormat="1">
      <c r="A100" s="333"/>
      <c r="B100" s="501">
        <v>10</v>
      </c>
      <c r="C100" s="499" t="s">
        <v>179</v>
      </c>
      <c r="D100" s="353" t="str">
        <f ca="1">IF(ISERROR(OFFSET('HARGA SATUAN'!$D$6,MATCH(RAB!C100,'HARGA SATUAN'!$C$7:$C$1492,0),0)),"",OFFSET('HARGA SATUAN'!$D$6,MATCH(RAB!C100,'HARGA SATUAN'!$C$7:$C$1492,0),0))</f>
        <v>HDW</v>
      </c>
      <c r="E100" s="354" t="str">
        <f ca="1">IF(B100="+","Unit",IF(ISERROR(OFFSET('HARGA SATUAN'!$E$6,MATCH(RAB!C100,'HARGA SATUAN'!$C$7:$C$1492,0),0)),"",OFFSET('HARGA SATUAN'!$E$6,MATCH(RAB!C100,'HARGA SATUAN'!$C$7:$C$1492,0),0)))</f>
        <v>Bh</v>
      </c>
      <c r="F100" s="502">
        <f>F90*2</f>
        <v>8</v>
      </c>
      <c r="G100" s="355">
        <f ca="1">IF(ISERROR(OFFSET('HARGA SATUAN'!$I$6,MATCH(RAB!C100,'HARGA SATUAN'!$C$7:$C$1492,0),0)),0,OFFSET('HARGA SATUAN'!$I$6,MATCH(RAB!C100,'HARGA SATUAN'!$C$7:$C$1492,0),0))</f>
        <v>15500</v>
      </c>
      <c r="H100" s="356">
        <f t="shared" ca="1" si="12"/>
        <v>0</v>
      </c>
      <c r="I100" s="356">
        <f t="shared" ca="1" si="13"/>
        <v>124000</v>
      </c>
      <c r="J100" s="356">
        <f t="shared" ca="1" si="14"/>
        <v>0</v>
      </c>
      <c r="K100" s="357">
        <f t="shared" ca="1" si="15"/>
        <v>124000</v>
      </c>
      <c r="L100" s="362"/>
      <c r="M100" s="362"/>
      <c r="N100" s="362"/>
      <c r="O100" s="358"/>
      <c r="P100" s="358"/>
      <c r="Q100" s="341"/>
      <c r="R100" s="333"/>
      <c r="S100" s="359"/>
      <c r="T100" s="338"/>
      <c r="U100" s="338"/>
      <c r="V100" s="338"/>
    </row>
    <row r="101" spans="1:22" s="363" customFormat="1">
      <c r="A101" s="333"/>
      <c r="B101" s="501">
        <v>11</v>
      </c>
      <c r="C101" s="499" t="s">
        <v>181</v>
      </c>
      <c r="D101" s="353" t="str">
        <f ca="1">IF(ISERROR(OFFSET('HARGA SATUAN'!$D$6,MATCH(RAB!C101,'HARGA SATUAN'!$C$7:$C$1492,0),0)),"",OFFSET('HARGA SATUAN'!$D$6,MATCH(RAB!C101,'HARGA SATUAN'!$C$7:$C$1492,0),0))</f>
        <v>HDW</v>
      </c>
      <c r="E101" s="354" t="str">
        <f ca="1">IF(B101="+","Unit",IF(ISERROR(OFFSET('HARGA SATUAN'!$E$6,MATCH(RAB!C101,'HARGA SATUAN'!$C$7:$C$1492,0),0)),"",OFFSET('HARGA SATUAN'!$E$6,MATCH(RAB!C101,'HARGA SATUAN'!$C$7:$C$1492,0),0)))</f>
        <v>Bh</v>
      </c>
      <c r="F101" s="502">
        <f>F90*4</f>
        <v>16</v>
      </c>
      <c r="G101" s="355">
        <f ca="1">IF(ISERROR(OFFSET('HARGA SATUAN'!$I$6,MATCH(RAB!C101,'HARGA SATUAN'!$C$7:$C$1492,0),0)),0,OFFSET('HARGA SATUAN'!$I$6,MATCH(RAB!C101,'HARGA SATUAN'!$C$7:$C$1492,0),0))</f>
        <v>28100</v>
      </c>
      <c r="H101" s="356">
        <f t="shared" ca="1" si="12"/>
        <v>0</v>
      </c>
      <c r="I101" s="356">
        <f t="shared" ca="1" si="13"/>
        <v>449600</v>
      </c>
      <c r="J101" s="356">
        <f t="shared" ca="1" si="14"/>
        <v>0</v>
      </c>
      <c r="K101" s="357">
        <f t="shared" ca="1" si="15"/>
        <v>449600</v>
      </c>
      <c r="L101" s="362"/>
      <c r="M101" s="362"/>
      <c r="N101" s="362"/>
      <c r="O101" s="358"/>
      <c r="P101" s="358"/>
      <c r="Q101" s="341"/>
      <c r="R101" s="333"/>
      <c r="S101" s="359"/>
      <c r="T101" s="338"/>
      <c r="U101" s="338"/>
      <c r="V101" s="338"/>
    </row>
    <row r="102" spans="1:22" s="363" customFormat="1">
      <c r="A102" s="333"/>
      <c r="B102" s="501">
        <v>12</v>
      </c>
      <c r="C102" s="499" t="s">
        <v>593</v>
      </c>
      <c r="D102" s="353" t="str">
        <f ca="1">IF(ISERROR(OFFSET('HARGA SATUAN'!$D$6,MATCH(RAB!C102,'HARGA SATUAN'!$C$7:$C$1492,0),0)),"",OFFSET('HARGA SATUAN'!$D$6,MATCH(RAB!C102,'HARGA SATUAN'!$C$7:$C$1492,0),0))</f>
        <v>HDW</v>
      </c>
      <c r="E102" s="354" t="str">
        <f ca="1">IF(B102="+","Unit",IF(ISERROR(OFFSET('HARGA SATUAN'!$E$6,MATCH(RAB!C102,'HARGA SATUAN'!$C$7:$C$1492,0),0)),"",OFFSET('HARGA SATUAN'!$E$6,MATCH(RAB!C102,'HARGA SATUAN'!$C$7:$C$1492,0),0)))</f>
        <v>Bh</v>
      </c>
      <c r="F102" s="502">
        <f>F90*2</f>
        <v>8</v>
      </c>
      <c r="G102" s="355">
        <f ca="1">IF(ISERROR(OFFSET('HARGA SATUAN'!$I$6,MATCH(RAB!C102,'HARGA SATUAN'!$C$7:$C$1492,0),0)),0,OFFSET('HARGA SATUAN'!$I$6,MATCH(RAB!C102,'HARGA SATUAN'!$C$7:$C$1492,0),0))</f>
        <v>380500</v>
      </c>
      <c r="H102" s="356">
        <f t="shared" ca="1" si="12"/>
        <v>0</v>
      </c>
      <c r="I102" s="356">
        <f t="shared" ca="1" si="13"/>
        <v>3044000</v>
      </c>
      <c r="J102" s="356">
        <f t="shared" ca="1" si="14"/>
        <v>0</v>
      </c>
      <c r="K102" s="357">
        <f t="shared" ca="1" si="15"/>
        <v>3044000</v>
      </c>
      <c r="L102" s="362"/>
      <c r="M102" s="362"/>
      <c r="N102" s="362"/>
      <c r="O102" s="358"/>
      <c r="P102" s="358"/>
      <c r="Q102" s="341"/>
      <c r="R102" s="333"/>
      <c r="S102" s="359"/>
      <c r="T102" s="338"/>
      <c r="U102" s="338"/>
      <c r="V102" s="338"/>
    </row>
    <row r="103" spans="1:22" s="363" customFormat="1">
      <c r="A103" s="333"/>
      <c r="B103" s="501">
        <v>13</v>
      </c>
      <c r="C103" s="499" t="s">
        <v>217</v>
      </c>
      <c r="D103" s="353" t="str">
        <f ca="1">IF(ISERROR(OFFSET('HARGA SATUAN'!$D$6,MATCH(RAB!C103,'HARGA SATUAN'!$C$7:$C$1492,0),0)),"",OFFSET('HARGA SATUAN'!$D$6,MATCH(RAB!C103,'HARGA SATUAN'!$C$7:$C$1492,0),0))</f>
        <v>HDW</v>
      </c>
      <c r="E103" s="354" t="str">
        <f ca="1">IF(B103="+","Unit",IF(ISERROR(OFFSET('HARGA SATUAN'!$E$6,MATCH(RAB!C103,'HARGA SATUAN'!$C$7:$C$1492,0),0)),"",OFFSET('HARGA SATUAN'!$E$6,MATCH(RAB!C103,'HARGA SATUAN'!$C$7:$C$1492,0),0)))</f>
        <v>Bh</v>
      </c>
      <c r="F103" s="502">
        <f>F90*3</f>
        <v>12</v>
      </c>
      <c r="G103" s="355">
        <f ca="1">IF(ISERROR(OFFSET('HARGA SATUAN'!$I$6,MATCH(RAB!C103,'HARGA SATUAN'!$C$7:$C$1492,0),0)),0,OFFSET('HARGA SATUAN'!$I$6,MATCH(RAB!C103,'HARGA SATUAN'!$C$7:$C$1492,0),0))</f>
        <v>11400</v>
      </c>
      <c r="H103" s="356">
        <f t="shared" ca="1" si="12"/>
        <v>0</v>
      </c>
      <c r="I103" s="356">
        <f t="shared" ca="1" si="13"/>
        <v>136800</v>
      </c>
      <c r="J103" s="356">
        <f t="shared" ca="1" si="14"/>
        <v>0</v>
      </c>
      <c r="K103" s="357">
        <f t="shared" ca="1" si="15"/>
        <v>136800</v>
      </c>
      <c r="L103" s="362"/>
      <c r="M103" s="362"/>
      <c r="N103" s="362"/>
      <c r="O103" s="358"/>
      <c r="P103" s="358"/>
      <c r="Q103" s="341"/>
      <c r="R103" s="333"/>
      <c r="S103" s="359"/>
      <c r="T103" s="338"/>
      <c r="U103" s="338"/>
      <c r="V103" s="338"/>
    </row>
    <row r="104" spans="1:22" s="363" customFormat="1">
      <c r="A104" s="333"/>
      <c r="B104" s="501">
        <v>14</v>
      </c>
      <c r="C104" s="499" t="s">
        <v>218</v>
      </c>
      <c r="D104" s="353" t="str">
        <f ca="1">IF(ISERROR(OFFSET('HARGA SATUAN'!$D$6,MATCH(RAB!C104,'HARGA SATUAN'!$C$7:$C$1492,0),0)),"",OFFSET('HARGA SATUAN'!$D$6,MATCH(RAB!C104,'HARGA SATUAN'!$C$7:$C$1492,0),0))</f>
        <v>HDW</v>
      </c>
      <c r="E104" s="354" t="str">
        <f ca="1">IF(B104="+","Unit",IF(ISERROR(OFFSET('HARGA SATUAN'!$E$6,MATCH(RAB!C104,'HARGA SATUAN'!$C$7:$C$1492,0),0)),"",OFFSET('HARGA SATUAN'!$E$6,MATCH(RAB!C104,'HARGA SATUAN'!$C$7:$C$1492,0),0)))</f>
        <v>Bh</v>
      </c>
      <c r="F104" s="502">
        <f>F90*4</f>
        <v>16</v>
      </c>
      <c r="G104" s="355">
        <f ca="1">IF(ISERROR(OFFSET('HARGA SATUAN'!$I$6,MATCH(RAB!C104,'HARGA SATUAN'!$C$7:$C$1492,0),0)),0,OFFSET('HARGA SATUAN'!$I$6,MATCH(RAB!C104,'HARGA SATUAN'!$C$7:$C$1492,0),0))</f>
        <v>29600</v>
      </c>
      <c r="H104" s="356">
        <f t="shared" ca="1" si="12"/>
        <v>0</v>
      </c>
      <c r="I104" s="356">
        <f t="shared" ca="1" si="13"/>
        <v>473600</v>
      </c>
      <c r="J104" s="356">
        <f t="shared" ca="1" si="14"/>
        <v>0</v>
      </c>
      <c r="K104" s="357">
        <f t="shared" ca="1" si="15"/>
        <v>473600</v>
      </c>
      <c r="L104" s="362"/>
      <c r="M104" s="362"/>
      <c r="N104" s="362"/>
      <c r="O104" s="358"/>
      <c r="P104" s="358"/>
      <c r="Q104" s="341"/>
      <c r="R104" s="333"/>
      <c r="S104" s="359"/>
      <c r="T104" s="338"/>
      <c r="U104" s="338"/>
      <c r="V104" s="338"/>
    </row>
    <row r="105" spans="1:22" s="363" customFormat="1">
      <c r="A105" s="333"/>
      <c r="B105" s="501">
        <v>15</v>
      </c>
      <c r="C105" s="499" t="s">
        <v>223</v>
      </c>
      <c r="D105" s="353" t="str">
        <f ca="1">IF(ISERROR(OFFSET('HARGA SATUAN'!$D$6,MATCH(RAB!C105,'HARGA SATUAN'!$C$7:$C$1492,0),0)),"",OFFSET('HARGA SATUAN'!$D$6,MATCH(RAB!C105,'HARGA SATUAN'!$C$7:$C$1492,0),0))</f>
        <v>HDW</v>
      </c>
      <c r="E105" s="354" t="str">
        <f ca="1">IF(B105="+","Unit",IF(ISERROR(OFFSET('HARGA SATUAN'!$E$6,MATCH(RAB!C105,'HARGA SATUAN'!$C$7:$C$1492,0),0)),"",OFFSET('HARGA SATUAN'!$E$6,MATCH(RAB!C105,'HARGA SATUAN'!$C$7:$C$1492,0),0)))</f>
        <v>Bh</v>
      </c>
      <c r="F105" s="502">
        <f>F90*3</f>
        <v>12</v>
      </c>
      <c r="G105" s="355">
        <f ca="1">IF(ISERROR(OFFSET('HARGA SATUAN'!$I$6,MATCH(RAB!C105,'HARGA SATUAN'!$C$7:$C$1492,0),0)),0,OFFSET('HARGA SATUAN'!$I$6,MATCH(RAB!C105,'HARGA SATUAN'!$C$7:$C$1492,0),0))</f>
        <v>27815</v>
      </c>
      <c r="H105" s="356">
        <f t="shared" ca="1" si="12"/>
        <v>0</v>
      </c>
      <c r="I105" s="356">
        <f t="shared" ca="1" si="13"/>
        <v>333780</v>
      </c>
      <c r="J105" s="356">
        <f t="shared" ca="1" si="14"/>
        <v>0</v>
      </c>
      <c r="K105" s="357">
        <f t="shared" ca="1" si="15"/>
        <v>333780</v>
      </c>
      <c r="L105" s="362"/>
      <c r="M105" s="362"/>
      <c r="N105" s="362"/>
      <c r="O105" s="358"/>
      <c r="P105" s="358"/>
      <c r="Q105" s="341"/>
      <c r="R105" s="333"/>
      <c r="S105" s="359"/>
      <c r="T105" s="338"/>
      <c r="U105" s="338"/>
      <c r="V105" s="338"/>
    </row>
    <row r="106" spans="1:22" s="363" customFormat="1">
      <c r="A106" s="333"/>
      <c r="B106" s="501">
        <v>16</v>
      </c>
      <c r="C106" s="499" t="s">
        <v>25</v>
      </c>
      <c r="D106" s="353" t="str">
        <f ca="1">IF(ISERROR(OFFSET('HARGA SATUAN'!$D$6,MATCH(RAB!C106,'HARGA SATUAN'!$C$7:$C$1492,0),0)),"",OFFSET('HARGA SATUAN'!$D$6,MATCH(RAB!C106,'HARGA SATUAN'!$C$7:$C$1492,0),0))</f>
        <v>HDW</v>
      </c>
      <c r="E106" s="354" t="str">
        <f ca="1">IF(B106="+","Unit",IF(ISERROR(OFFSET('HARGA SATUAN'!$E$6,MATCH(RAB!C106,'HARGA SATUAN'!$C$7:$C$1492,0),0)),"",OFFSET('HARGA SATUAN'!$E$6,MATCH(RAB!C106,'HARGA SATUAN'!$C$7:$C$1492,0),0)))</f>
        <v>Bh</v>
      </c>
      <c r="F106" s="502">
        <f>F90*9</f>
        <v>36</v>
      </c>
      <c r="G106" s="355">
        <f ca="1">IF(ISERROR(OFFSET('HARGA SATUAN'!$I$6,MATCH(RAB!C106,'HARGA SATUAN'!$C$7:$C$1492,0),0)),0,OFFSET('HARGA SATUAN'!$I$6,MATCH(RAB!C106,'HARGA SATUAN'!$C$7:$C$1492,0),0))</f>
        <v>23936</v>
      </c>
      <c r="H106" s="356">
        <f t="shared" ca="1" si="12"/>
        <v>0</v>
      </c>
      <c r="I106" s="356">
        <f t="shared" ca="1" si="13"/>
        <v>861696</v>
      </c>
      <c r="J106" s="356">
        <f t="shared" ca="1" si="14"/>
        <v>0</v>
      </c>
      <c r="K106" s="357">
        <f t="shared" ca="1" si="15"/>
        <v>861696</v>
      </c>
      <c r="L106" s="362"/>
      <c r="M106" s="362"/>
      <c r="N106" s="362"/>
      <c r="O106" s="358"/>
      <c r="P106" s="358"/>
      <c r="Q106" s="341"/>
      <c r="R106" s="333"/>
      <c r="S106" s="359"/>
      <c r="T106" s="338"/>
      <c r="U106" s="338"/>
      <c r="V106" s="338"/>
    </row>
    <row r="107" spans="1:22" s="363" customFormat="1">
      <c r="A107" s="333"/>
      <c r="B107" s="501">
        <v>17</v>
      </c>
      <c r="C107" s="499" t="s">
        <v>37</v>
      </c>
      <c r="D107" s="353" t="str">
        <f ca="1">IF(ISERROR(OFFSET('HARGA SATUAN'!$D$6,MATCH(RAB!C107,'HARGA SATUAN'!$C$7:$C$1492,0),0)),"",OFFSET('HARGA SATUAN'!$D$6,MATCH(RAB!C107,'HARGA SATUAN'!$C$7:$C$1492,0),0))</f>
        <v>HDW</v>
      </c>
      <c r="E107" s="354" t="str">
        <f ca="1">IF(B107="+","Unit",IF(ISERROR(OFFSET('HARGA SATUAN'!$E$6,MATCH(RAB!C107,'HARGA SATUAN'!$C$7:$C$1492,0),0)),"",OFFSET('HARGA SATUAN'!$E$6,MATCH(RAB!C107,'HARGA SATUAN'!$C$7:$C$1492,0),0)))</f>
        <v>Bh</v>
      </c>
      <c r="F107" s="502">
        <f>F90*1</f>
        <v>4</v>
      </c>
      <c r="G107" s="355">
        <f ca="1">IF(ISERROR(OFFSET('HARGA SATUAN'!$I$6,MATCH(RAB!C107,'HARGA SATUAN'!$C$7:$C$1492,0),0)),0,OFFSET('HARGA SATUAN'!$I$6,MATCH(RAB!C107,'HARGA SATUAN'!$C$7:$C$1492,0),0))</f>
        <v>63500</v>
      </c>
      <c r="H107" s="356">
        <f t="shared" ca="1" si="12"/>
        <v>0</v>
      </c>
      <c r="I107" s="356">
        <f t="shared" ca="1" si="13"/>
        <v>254000</v>
      </c>
      <c r="J107" s="356">
        <f t="shared" ca="1" si="14"/>
        <v>0</v>
      </c>
      <c r="K107" s="357">
        <f t="shared" ca="1" si="15"/>
        <v>254000</v>
      </c>
      <c r="L107" s="362"/>
      <c r="M107" s="362"/>
      <c r="N107" s="362"/>
      <c r="O107" s="358"/>
      <c r="P107" s="358"/>
      <c r="Q107" s="341"/>
      <c r="R107" s="333"/>
      <c r="S107" s="359"/>
      <c r="T107" s="338"/>
      <c r="U107" s="338"/>
      <c r="V107" s="338"/>
    </row>
    <row r="108" spans="1:22" s="363" customFormat="1">
      <c r="A108" s="333"/>
      <c r="B108" s="501">
        <v>18</v>
      </c>
      <c r="C108" s="499" t="s">
        <v>27</v>
      </c>
      <c r="D108" s="353" t="str">
        <f ca="1">IF(ISERROR(OFFSET('HARGA SATUAN'!$D$6,MATCH(RAB!C108,'HARGA SATUAN'!$C$7:$C$1492,0),0)),"",OFFSET('HARGA SATUAN'!$D$6,MATCH(RAB!C108,'HARGA SATUAN'!$C$7:$C$1492,0),0))</f>
        <v>HDW</v>
      </c>
      <c r="E108" s="354" t="str">
        <f ca="1">IF(B108="+","Unit",IF(ISERROR(OFFSET('HARGA SATUAN'!$E$6,MATCH(RAB!C108,'HARGA SATUAN'!$C$7:$C$1492,0),0)),"",OFFSET('HARGA SATUAN'!$E$6,MATCH(RAB!C108,'HARGA SATUAN'!$C$7:$C$1492,0),0)))</f>
        <v>Bh</v>
      </c>
      <c r="F108" s="502">
        <f>F90*8</f>
        <v>32</v>
      </c>
      <c r="G108" s="355">
        <f ca="1">IF(ISERROR(OFFSET('HARGA SATUAN'!$I$6,MATCH(RAB!C108,'HARGA SATUAN'!$C$7:$C$1492,0),0)),0,OFFSET('HARGA SATUAN'!$I$6,MATCH(RAB!C108,'HARGA SATUAN'!$C$7:$C$1492,0),0))</f>
        <v>16000</v>
      </c>
      <c r="H108" s="356">
        <f t="shared" ca="1" si="12"/>
        <v>0</v>
      </c>
      <c r="I108" s="356">
        <f t="shared" ca="1" si="13"/>
        <v>512000</v>
      </c>
      <c r="J108" s="356">
        <f t="shared" ca="1" si="14"/>
        <v>0</v>
      </c>
      <c r="K108" s="357">
        <f t="shared" ca="1" si="15"/>
        <v>512000</v>
      </c>
      <c r="L108" s="362"/>
      <c r="M108" s="362"/>
      <c r="N108" s="362"/>
      <c r="O108" s="358"/>
      <c r="P108" s="358"/>
      <c r="Q108" s="341"/>
      <c r="R108" s="333"/>
      <c r="S108" s="359"/>
      <c r="T108" s="338"/>
      <c r="U108" s="338"/>
      <c r="V108" s="338"/>
    </row>
    <row r="109" spans="1:22" s="363" customFormat="1">
      <c r="A109" s="333"/>
      <c r="B109" s="501">
        <v>19</v>
      </c>
      <c r="C109" s="499" t="s">
        <v>265</v>
      </c>
      <c r="D109" s="353" t="str">
        <f ca="1">IF(ISERROR(OFFSET('HARGA SATUAN'!$D$6,MATCH(RAB!C109,'HARGA SATUAN'!$C$7:$C$1492,0),0)),"",OFFSET('HARGA SATUAN'!$D$6,MATCH(RAB!C109,'HARGA SATUAN'!$C$7:$C$1492,0),0))</f>
        <v>HDW</v>
      </c>
      <c r="E109" s="354" t="str">
        <f ca="1">IF(B109="+","Unit",IF(ISERROR(OFFSET('HARGA SATUAN'!$E$6,MATCH(RAB!C109,'HARGA SATUAN'!$C$7:$C$1492,0),0)),"",OFFSET('HARGA SATUAN'!$E$6,MATCH(RAB!C109,'HARGA SATUAN'!$C$7:$C$1492,0),0)))</f>
        <v>Bh</v>
      </c>
      <c r="F109" s="502">
        <f>F90*2</f>
        <v>8</v>
      </c>
      <c r="G109" s="355">
        <f ca="1">IF(ISERROR(OFFSET('HARGA SATUAN'!$I$6,MATCH(RAB!C109,'HARGA SATUAN'!$C$7:$C$1492,0),0)),0,OFFSET('HARGA SATUAN'!$I$6,MATCH(RAB!C109,'HARGA SATUAN'!$C$7:$C$1492,0),0))</f>
        <v>33501.866666666669</v>
      </c>
      <c r="H109" s="356">
        <f t="shared" ca="1" si="12"/>
        <v>0</v>
      </c>
      <c r="I109" s="356">
        <f t="shared" ca="1" si="13"/>
        <v>268014.93333333335</v>
      </c>
      <c r="J109" s="356">
        <f t="shared" ca="1" si="14"/>
        <v>0</v>
      </c>
      <c r="K109" s="357">
        <f t="shared" ca="1" si="15"/>
        <v>268014.93333333335</v>
      </c>
      <c r="L109" s="362"/>
      <c r="M109" s="362"/>
      <c r="N109" s="362"/>
      <c r="O109" s="358"/>
      <c r="P109" s="358"/>
      <c r="Q109" s="341"/>
      <c r="R109" s="333"/>
      <c r="S109" s="359"/>
      <c r="T109" s="338"/>
      <c r="U109" s="338"/>
      <c r="V109" s="338"/>
    </row>
    <row r="110" spans="1:22" s="363" customFormat="1">
      <c r="A110" s="333"/>
      <c r="B110" s="501">
        <v>20</v>
      </c>
      <c r="C110" s="499" t="s">
        <v>38</v>
      </c>
      <c r="D110" s="353" t="str">
        <f ca="1">IF(ISERROR(OFFSET('HARGA SATUAN'!$D$6,MATCH(RAB!C110,'HARGA SATUAN'!$C$7:$C$1492,0),0)),"",OFFSET('HARGA SATUAN'!$D$6,MATCH(RAB!C110,'HARGA SATUAN'!$C$7:$C$1492,0),0))</f>
        <v>HDW</v>
      </c>
      <c r="E110" s="354" t="str">
        <f ca="1">IF(B110="+","Unit",IF(ISERROR(OFFSET('HARGA SATUAN'!$E$6,MATCH(RAB!C110,'HARGA SATUAN'!$C$7:$C$1492,0),0)),"",OFFSET('HARGA SATUAN'!$E$6,MATCH(RAB!C110,'HARGA SATUAN'!$C$7:$C$1492,0),0)))</f>
        <v>Mtr</v>
      </c>
      <c r="F110" s="502">
        <f>5.4*F90</f>
        <v>21.6</v>
      </c>
      <c r="G110" s="355">
        <f ca="1">IF(ISERROR(OFFSET('HARGA SATUAN'!$I$6,MATCH(RAB!C110,'HARGA SATUAN'!$C$7:$C$1492,0),0)),0,OFFSET('HARGA SATUAN'!$I$6,MATCH(RAB!C110,'HARGA SATUAN'!$C$7:$C$1492,0),0))</f>
        <v>8550</v>
      </c>
      <c r="H110" s="356">
        <f t="shared" ca="1" si="12"/>
        <v>0</v>
      </c>
      <c r="I110" s="356">
        <f t="shared" ca="1" si="13"/>
        <v>184680</v>
      </c>
      <c r="J110" s="356">
        <f t="shared" ca="1" si="14"/>
        <v>0</v>
      </c>
      <c r="K110" s="357">
        <f t="shared" ca="1" si="15"/>
        <v>184680</v>
      </c>
      <c r="L110" s="362"/>
      <c r="M110" s="362"/>
      <c r="N110" s="362"/>
      <c r="O110" s="358"/>
      <c r="P110" s="358"/>
      <c r="Q110" s="341"/>
      <c r="R110" s="333"/>
      <c r="S110" s="359"/>
      <c r="T110" s="338"/>
      <c r="U110" s="338"/>
      <c r="V110" s="338"/>
    </row>
    <row r="111" spans="1:22" s="363" customFormat="1">
      <c r="A111" s="333"/>
      <c r="B111" s="501">
        <v>21</v>
      </c>
      <c r="C111" s="499" t="s">
        <v>26</v>
      </c>
      <c r="D111" s="353" t="str">
        <f ca="1">IF(ISERROR(OFFSET('HARGA SATUAN'!$D$6,MATCH(RAB!C111,'HARGA SATUAN'!$C$7:$C$1492,0),0)),"",OFFSET('HARGA SATUAN'!$D$6,MATCH(RAB!C111,'HARGA SATUAN'!$C$7:$C$1492,0),0))</f>
        <v>HDW</v>
      </c>
      <c r="E111" s="354" t="str">
        <f ca="1">IF(B111="+","Unit",IF(ISERROR(OFFSET('HARGA SATUAN'!$E$6,MATCH(RAB!C111,'HARGA SATUAN'!$C$7:$C$1492,0),0)),"",OFFSET('HARGA SATUAN'!$E$6,MATCH(RAB!C111,'HARGA SATUAN'!$C$7:$C$1492,0),0)))</f>
        <v>Bh</v>
      </c>
      <c r="F111" s="502">
        <f>F90*13</f>
        <v>52</v>
      </c>
      <c r="G111" s="355">
        <f ca="1">IF(ISERROR(OFFSET('HARGA SATUAN'!$I$6,MATCH(RAB!C111,'HARGA SATUAN'!$C$7:$C$1492,0),0)),0,OFFSET('HARGA SATUAN'!$I$6,MATCH(RAB!C111,'HARGA SATUAN'!$C$7:$C$1492,0),0))</f>
        <v>2500</v>
      </c>
      <c r="H111" s="356">
        <f t="shared" ca="1" si="12"/>
        <v>0</v>
      </c>
      <c r="I111" s="356">
        <f t="shared" ca="1" si="13"/>
        <v>130000</v>
      </c>
      <c r="J111" s="356">
        <f t="shared" ca="1" si="14"/>
        <v>0</v>
      </c>
      <c r="K111" s="357">
        <f t="shared" ca="1" si="15"/>
        <v>130000</v>
      </c>
      <c r="L111" s="362"/>
      <c r="M111" s="362"/>
      <c r="N111" s="362"/>
      <c r="O111" s="358"/>
      <c r="P111" s="358"/>
      <c r="Q111" s="341"/>
      <c r="R111" s="333"/>
      <c r="S111" s="359"/>
      <c r="T111" s="338"/>
      <c r="U111" s="338"/>
      <c r="V111" s="338"/>
    </row>
    <row r="112" spans="1:22" s="363" customFormat="1">
      <c r="A112" s="333"/>
      <c r="B112" s="501">
        <v>22</v>
      </c>
      <c r="C112" s="497" t="s">
        <v>708</v>
      </c>
      <c r="D112" s="353" t="str">
        <f ca="1">IF(ISERROR(OFFSET('HARGA SATUAN'!$D$6,MATCH(RAB!C112,'HARGA SATUAN'!$C$7:$C$1492,0),0)),"",OFFSET('HARGA SATUAN'!$D$6,MATCH(RAB!C112,'HARGA SATUAN'!$C$7:$C$1492,0),0))</f>
        <v>JASA</v>
      </c>
      <c r="E112" s="354" t="str">
        <f ca="1">IF(B112="+","Unit",IF(ISERROR(OFFSET('HARGA SATUAN'!$E$6,MATCH(RAB!C112,'HARGA SATUAN'!$C$7:$C$1492,0),0)),"",OFFSET('HARGA SATUAN'!$E$6,MATCH(RAB!C112,'HARGA SATUAN'!$C$7:$C$1492,0),0)))</f>
        <v>Unit</v>
      </c>
      <c r="F112" s="502">
        <f>F90*1</f>
        <v>4</v>
      </c>
      <c r="G112" s="355">
        <f ca="1">IF(ISERROR(OFFSET('HARGA SATUAN'!$I$6,MATCH(RAB!C112,'HARGA SATUAN'!$C$7:$C$1492,0),0)),0,OFFSET('HARGA SATUAN'!$I$6,MATCH(RAB!C112,'HARGA SATUAN'!$C$7:$C$1492,0),0))</f>
        <v>254900</v>
      </c>
      <c r="H112" s="356">
        <f t="shared" ca="1" si="12"/>
        <v>0</v>
      </c>
      <c r="I112" s="356">
        <f t="shared" ca="1" si="13"/>
        <v>0</v>
      </c>
      <c r="J112" s="356">
        <f t="shared" ca="1" si="14"/>
        <v>1019600</v>
      </c>
      <c r="K112" s="357">
        <f t="shared" ca="1" si="15"/>
        <v>1019600</v>
      </c>
      <c r="L112" s="362"/>
      <c r="M112" s="362"/>
      <c r="N112" s="362"/>
      <c r="O112" s="358"/>
      <c r="P112" s="358"/>
      <c r="Q112" s="341"/>
      <c r="R112" s="333"/>
      <c r="S112" s="359"/>
      <c r="T112" s="338"/>
      <c r="U112" s="338"/>
      <c r="V112" s="338"/>
    </row>
    <row r="113" spans="1:22" s="363" customFormat="1">
      <c r="A113" s="333"/>
      <c r="B113" s="483"/>
      <c r="C113" s="109"/>
      <c r="D113" s="353" t="str">
        <f ca="1">IF(ISERROR(OFFSET('HARGA SATUAN'!$D$6,MATCH(RAB!C113,'HARGA SATUAN'!$C$7:$C$1492,0),0)),"",OFFSET('HARGA SATUAN'!$D$6,MATCH(RAB!C113,'HARGA SATUAN'!$C$7:$C$1492,0),0))</f>
        <v/>
      </c>
      <c r="E113" s="354" t="str">
        <f ca="1">IF(B113="+","Unit",IF(ISERROR(OFFSET('HARGA SATUAN'!$E$6,MATCH(RAB!C113,'HARGA SATUAN'!$C$7:$C$1492,0),0)),"",OFFSET('HARGA SATUAN'!$E$6,MATCH(RAB!C113,'HARGA SATUAN'!$C$7:$C$1492,0),0)))</f>
        <v/>
      </c>
      <c r="F113" s="361"/>
      <c r="G113" s="355">
        <f ca="1">IF(ISERROR(OFFSET('HARGA SATUAN'!$I$6,MATCH(RAB!C113,'HARGA SATUAN'!$C$7:$C$1492,0),0)),0,OFFSET('HARGA SATUAN'!$I$6,MATCH(RAB!C113,'HARGA SATUAN'!$C$7:$C$1492,0),0))</f>
        <v>0</v>
      </c>
      <c r="H113" s="356">
        <f t="shared" ca="1" si="12"/>
        <v>0</v>
      </c>
      <c r="I113" s="356">
        <f t="shared" ca="1" si="13"/>
        <v>0</v>
      </c>
      <c r="J113" s="356">
        <f t="shared" ca="1" si="14"/>
        <v>0</v>
      </c>
      <c r="K113" s="357">
        <f t="shared" ca="1" si="15"/>
        <v>0</v>
      </c>
      <c r="L113" s="362"/>
      <c r="M113" s="362"/>
      <c r="N113" s="362"/>
      <c r="O113" s="358"/>
      <c r="P113" s="358"/>
      <c r="Q113" s="341"/>
      <c r="R113" s="333"/>
      <c r="S113" s="359"/>
      <c r="T113" s="338"/>
      <c r="U113" s="338"/>
      <c r="V113" s="338"/>
    </row>
    <row r="114" spans="1:22" s="363" customFormat="1">
      <c r="A114" s="333"/>
      <c r="B114" s="496" t="s">
        <v>1035</v>
      </c>
      <c r="C114" s="499" t="s">
        <v>1656</v>
      </c>
      <c r="D114" s="353" t="str">
        <f ca="1">IF(ISERROR(OFFSET('HARGA SATUAN'!$D$6,MATCH(RAB!C114,'HARGA SATUAN'!$C$7:$C$1492,0),0)),"",OFFSET('HARGA SATUAN'!$D$6,MATCH(RAB!C114,'HARGA SATUAN'!$C$7:$C$1492,0),0))</f>
        <v/>
      </c>
      <c r="E114" s="354" t="str">
        <f ca="1">IF(B114="+","Unit",IF(ISERROR(OFFSET('HARGA SATUAN'!$E$6,MATCH(RAB!C114,'HARGA SATUAN'!$C$7:$C$1492,0),0)),"",OFFSET('HARGA SATUAN'!$E$6,MATCH(RAB!C114,'HARGA SATUAN'!$C$7:$C$1492,0),0)))</f>
        <v>Unit</v>
      </c>
      <c r="F114" s="502">
        <v>6</v>
      </c>
      <c r="G114" s="355">
        <f ca="1">IF(ISERROR(OFFSET('HARGA SATUAN'!$I$6,MATCH(RAB!C114,'HARGA SATUAN'!$C$7:$C$1492,0),0)),0,OFFSET('HARGA SATUAN'!$I$6,MATCH(RAB!C114,'HARGA SATUAN'!$C$7:$C$1492,0),0))</f>
        <v>0</v>
      </c>
      <c r="H114" s="356">
        <f t="shared" ca="1" si="12"/>
        <v>0</v>
      </c>
      <c r="I114" s="356">
        <f t="shared" ca="1" si="13"/>
        <v>0</v>
      </c>
      <c r="J114" s="356">
        <f t="shared" ca="1" si="14"/>
        <v>0</v>
      </c>
      <c r="K114" s="357">
        <f t="shared" ca="1" si="15"/>
        <v>0</v>
      </c>
      <c r="L114" s="362"/>
      <c r="M114" s="362"/>
      <c r="N114" s="362"/>
      <c r="O114" s="358"/>
      <c r="P114" s="358"/>
      <c r="Q114" s="341"/>
      <c r="R114" s="333"/>
      <c r="S114" s="359"/>
      <c r="T114" s="338"/>
      <c r="U114" s="338"/>
      <c r="V114" s="338"/>
    </row>
    <row r="115" spans="1:22" s="363" customFormat="1">
      <c r="A115" s="333"/>
      <c r="B115" s="501">
        <v>1</v>
      </c>
      <c r="C115" s="109" t="s">
        <v>1564</v>
      </c>
      <c r="D115" s="353" t="str">
        <f ca="1">IF(ISERROR(OFFSET('HARGA SATUAN'!$D$6,MATCH(RAB!C115,'HARGA SATUAN'!$C$7:$C$1492,0),0)),"",OFFSET('HARGA SATUAN'!$D$6,MATCH(RAB!C115,'HARGA SATUAN'!$C$7:$C$1492,0),0))</f>
        <v>MDU-KD</v>
      </c>
      <c r="E115" s="354" t="str">
        <f ca="1">IF(B115="+","Unit",IF(ISERROR(OFFSET('HARGA SATUAN'!$E$6,MATCH(RAB!C115,'HARGA SATUAN'!$C$7:$C$1492,0),0)),"",OFFSET('HARGA SATUAN'!$E$6,MATCH(RAB!C115,'HARGA SATUAN'!$C$7:$C$1492,0),0)))</f>
        <v>Bh</v>
      </c>
      <c r="F115" s="502">
        <f>F114*1</f>
        <v>6</v>
      </c>
      <c r="G115" s="355">
        <f ca="1">IF(ISERROR(OFFSET('HARGA SATUAN'!$I$6,MATCH(RAB!C115,'HARGA SATUAN'!$C$7:$C$1492,0),0)),0,OFFSET('HARGA SATUAN'!$I$6,MATCH(RAB!C115,'HARGA SATUAN'!$C$7:$C$1492,0),0))</f>
        <v>235900</v>
      </c>
      <c r="H115" s="356">
        <f t="shared" ca="1" si="12"/>
        <v>1415400</v>
      </c>
      <c r="I115" s="356">
        <f t="shared" ca="1" si="13"/>
        <v>0</v>
      </c>
      <c r="J115" s="356">
        <f t="shared" ca="1" si="14"/>
        <v>0</v>
      </c>
      <c r="K115" s="357">
        <f t="shared" ca="1" si="15"/>
        <v>1415400</v>
      </c>
      <c r="L115" s="362"/>
      <c r="M115" s="362"/>
      <c r="N115" s="362"/>
      <c r="O115" s="358"/>
      <c r="P115" s="358"/>
      <c r="Q115" s="341"/>
      <c r="R115" s="333"/>
      <c r="S115" s="359"/>
      <c r="T115" s="338"/>
      <c r="U115" s="338"/>
      <c r="V115" s="338"/>
    </row>
    <row r="116" spans="1:22" s="363" customFormat="1">
      <c r="A116" s="333"/>
      <c r="B116" s="501">
        <v>2</v>
      </c>
      <c r="C116" s="109" t="s">
        <v>1564</v>
      </c>
      <c r="D116" s="353" t="str">
        <f ca="1">IF(ISERROR(OFFSET('HARGA SATUAN'!$D$6,MATCH(RAB!C116,'HARGA SATUAN'!$C$7:$C$1492,0),0)),"",OFFSET('HARGA SATUAN'!$D$6,MATCH(RAB!C116,'HARGA SATUAN'!$C$7:$C$1492,0),0))</f>
        <v>MDU-KD</v>
      </c>
      <c r="E116" s="354" t="str">
        <f ca="1">IF(B116="+","Unit",IF(ISERROR(OFFSET('HARGA SATUAN'!$E$6,MATCH(RAB!C116,'HARGA SATUAN'!$C$7:$C$1492,0),0)),"",OFFSET('HARGA SATUAN'!$E$6,MATCH(RAB!C116,'HARGA SATUAN'!$C$7:$C$1492,0),0)))</f>
        <v>Bh</v>
      </c>
      <c r="F116" s="502">
        <f>F114*1</f>
        <v>6</v>
      </c>
      <c r="G116" s="355">
        <f ca="1">IF(ISERROR(OFFSET('HARGA SATUAN'!$I$6,MATCH(RAB!C116,'HARGA SATUAN'!$C$7:$C$1492,0),0)),0,OFFSET('HARGA SATUAN'!$I$6,MATCH(RAB!C116,'HARGA SATUAN'!$C$7:$C$1492,0),0))</f>
        <v>235900</v>
      </c>
      <c r="H116" s="356">
        <f t="shared" ca="1" si="12"/>
        <v>1415400</v>
      </c>
      <c r="I116" s="356">
        <f t="shared" ca="1" si="13"/>
        <v>0</v>
      </c>
      <c r="J116" s="356">
        <f t="shared" ca="1" si="14"/>
        <v>0</v>
      </c>
      <c r="K116" s="357">
        <f t="shared" ca="1" si="15"/>
        <v>1415400</v>
      </c>
      <c r="L116" s="362"/>
      <c r="M116" s="362"/>
      <c r="N116" s="362"/>
      <c r="O116" s="358"/>
      <c r="P116" s="358"/>
      <c r="Q116" s="341"/>
      <c r="R116" s="333"/>
      <c r="S116" s="359"/>
      <c r="T116" s="338"/>
      <c r="U116" s="338"/>
      <c r="V116" s="338"/>
    </row>
    <row r="117" spans="1:22" s="363" customFormat="1">
      <c r="A117" s="333"/>
      <c r="B117" s="501">
        <v>3</v>
      </c>
      <c r="C117" s="109" t="s">
        <v>1565</v>
      </c>
      <c r="D117" s="353" t="str">
        <f ca="1">IF(ISERROR(OFFSET('HARGA SATUAN'!$D$6,MATCH(RAB!C117,'HARGA SATUAN'!$C$7:$C$1492,0),0)),"",OFFSET('HARGA SATUAN'!$D$6,MATCH(RAB!C117,'HARGA SATUAN'!$C$7:$C$1492,0),0))</f>
        <v>MDU-KD</v>
      </c>
      <c r="E117" s="354" t="str">
        <f ca="1">IF(B117="+","Unit",IF(ISERROR(OFFSET('HARGA SATUAN'!$E$6,MATCH(RAB!C117,'HARGA SATUAN'!$C$7:$C$1492,0),0)),"",OFFSET('HARGA SATUAN'!$E$6,MATCH(RAB!C117,'HARGA SATUAN'!$C$7:$C$1492,0),0)))</f>
        <v>Set</v>
      </c>
      <c r="F117" s="502">
        <f>F114*6</f>
        <v>36</v>
      </c>
      <c r="G117" s="355">
        <f ca="1">IF(ISERROR(OFFSET('HARGA SATUAN'!$I$6,MATCH(RAB!C117,'HARGA SATUAN'!$C$7:$C$1492,0),0)),0,OFFSET('HARGA SATUAN'!$I$6,MATCH(RAB!C117,'HARGA SATUAN'!$C$7:$C$1492,0),0))</f>
        <v>430000</v>
      </c>
      <c r="H117" s="356">
        <f t="shared" ca="1" si="12"/>
        <v>15480000</v>
      </c>
      <c r="I117" s="356">
        <f t="shared" ca="1" si="13"/>
        <v>0</v>
      </c>
      <c r="J117" s="356">
        <f t="shared" ca="1" si="14"/>
        <v>0</v>
      </c>
      <c r="K117" s="357">
        <f t="shared" ca="1" si="15"/>
        <v>15480000</v>
      </c>
      <c r="L117" s="362"/>
      <c r="M117" s="362"/>
      <c r="N117" s="362"/>
      <c r="O117" s="358"/>
      <c r="P117" s="358"/>
      <c r="Q117" s="341"/>
      <c r="R117" s="333"/>
      <c r="S117" s="359"/>
      <c r="T117" s="338"/>
      <c r="U117" s="338"/>
      <c r="V117" s="338"/>
    </row>
    <row r="118" spans="1:22" s="363" customFormat="1">
      <c r="A118" s="333"/>
      <c r="B118" s="501">
        <v>4</v>
      </c>
      <c r="C118" s="499" t="s">
        <v>152</v>
      </c>
      <c r="D118" s="353" t="str">
        <f ca="1">IF(ISERROR(OFFSET('HARGA SATUAN'!$D$6,MATCH(RAB!C118,'HARGA SATUAN'!$C$7:$C$1492,0),0)),"",OFFSET('HARGA SATUAN'!$D$6,MATCH(RAB!C118,'HARGA SATUAN'!$C$7:$C$1492,0),0))</f>
        <v>HDW</v>
      </c>
      <c r="E118" s="354" t="str">
        <f ca="1">IF(B118="+","Unit",IF(ISERROR(OFFSET('HARGA SATUAN'!$E$6,MATCH(RAB!C118,'HARGA SATUAN'!$C$7:$C$1492,0),0)),"",OFFSET('HARGA SATUAN'!$E$6,MATCH(RAB!C118,'HARGA SATUAN'!$C$7:$C$1492,0),0)))</f>
        <v>Mtr</v>
      </c>
      <c r="F118" s="502">
        <f>F114*2</f>
        <v>12</v>
      </c>
      <c r="G118" s="355">
        <f ca="1">IF(ISERROR(OFFSET('HARGA SATUAN'!$I$6,MATCH(RAB!C118,'HARGA SATUAN'!$C$7:$C$1492,0),0)),0,OFFSET('HARGA SATUAN'!$I$6,MATCH(RAB!C118,'HARGA SATUAN'!$C$7:$C$1492,0),0))</f>
        <v>7789</v>
      </c>
      <c r="H118" s="356">
        <f t="shared" ca="1" si="12"/>
        <v>0</v>
      </c>
      <c r="I118" s="356">
        <f t="shared" ca="1" si="13"/>
        <v>93468</v>
      </c>
      <c r="J118" s="356">
        <f t="shared" ca="1" si="14"/>
        <v>0</v>
      </c>
      <c r="K118" s="357">
        <f t="shared" ca="1" si="15"/>
        <v>93468</v>
      </c>
      <c r="L118" s="362"/>
      <c r="M118" s="362"/>
      <c r="N118" s="362"/>
      <c r="O118" s="358"/>
      <c r="P118" s="358"/>
      <c r="Q118" s="341"/>
      <c r="R118" s="333"/>
      <c r="S118" s="359"/>
      <c r="T118" s="338"/>
      <c r="U118" s="338"/>
      <c r="V118" s="338"/>
    </row>
    <row r="119" spans="1:22" s="363" customFormat="1">
      <c r="A119" s="333"/>
      <c r="B119" s="501">
        <v>5</v>
      </c>
      <c r="C119" s="499" t="s">
        <v>157</v>
      </c>
      <c r="D119" s="353" t="str">
        <f ca="1">IF(ISERROR(OFFSET('HARGA SATUAN'!$D$6,MATCH(RAB!C119,'HARGA SATUAN'!$C$7:$C$1492,0),0)),"",OFFSET('HARGA SATUAN'!$D$6,MATCH(RAB!C119,'HARGA SATUAN'!$C$7:$C$1492,0),0))</f>
        <v>HDW</v>
      </c>
      <c r="E119" s="354" t="str">
        <f ca="1">IF(B119="+","Unit",IF(ISERROR(OFFSET('HARGA SATUAN'!$E$6,MATCH(RAB!C119,'HARGA SATUAN'!$C$7:$C$1492,0),0)),"",OFFSET('HARGA SATUAN'!$E$6,MATCH(RAB!C119,'HARGA SATUAN'!$C$7:$C$1492,0),0)))</f>
        <v>Bh</v>
      </c>
      <c r="F119" s="502">
        <f>F114*4</f>
        <v>24</v>
      </c>
      <c r="G119" s="355">
        <f ca="1">IF(ISERROR(OFFSET('HARGA SATUAN'!$I$6,MATCH(RAB!C119,'HARGA SATUAN'!$C$7:$C$1492,0),0)),0,OFFSET('HARGA SATUAN'!$I$6,MATCH(RAB!C119,'HARGA SATUAN'!$C$7:$C$1492,0),0))</f>
        <v>40000</v>
      </c>
      <c r="H119" s="356">
        <f t="shared" ca="1" si="12"/>
        <v>0</v>
      </c>
      <c r="I119" s="356">
        <f t="shared" ca="1" si="13"/>
        <v>960000</v>
      </c>
      <c r="J119" s="356">
        <f t="shared" ca="1" si="14"/>
        <v>0</v>
      </c>
      <c r="K119" s="357">
        <f t="shared" ca="1" si="15"/>
        <v>960000</v>
      </c>
      <c r="L119" s="362"/>
      <c r="M119" s="362"/>
      <c r="N119" s="362"/>
      <c r="O119" s="358"/>
      <c r="P119" s="358"/>
      <c r="Q119" s="341"/>
      <c r="R119" s="333"/>
      <c r="S119" s="359"/>
      <c r="T119" s="338"/>
      <c r="U119" s="338"/>
      <c r="V119" s="338"/>
    </row>
    <row r="120" spans="1:22" s="363" customFormat="1">
      <c r="A120" s="333"/>
      <c r="B120" s="501">
        <v>6</v>
      </c>
      <c r="C120" s="499" t="s">
        <v>163</v>
      </c>
      <c r="D120" s="353" t="str">
        <f ca="1">IF(ISERROR(OFFSET('HARGA SATUAN'!$D$6,MATCH(RAB!C120,'HARGA SATUAN'!$C$7:$C$1492,0),0)),"",OFFSET('HARGA SATUAN'!$D$6,MATCH(RAB!C120,'HARGA SATUAN'!$C$7:$C$1492,0),0))</f>
        <v>HDW</v>
      </c>
      <c r="E120" s="354" t="str">
        <f ca="1">IF(B120="+","Unit",IF(ISERROR(OFFSET('HARGA SATUAN'!$E$6,MATCH(RAB!C120,'HARGA SATUAN'!$C$7:$C$1492,0),0)),"",OFFSET('HARGA SATUAN'!$E$6,MATCH(RAB!C120,'HARGA SATUAN'!$C$7:$C$1492,0),0)))</f>
        <v>Bh</v>
      </c>
      <c r="F120" s="502">
        <f>F114*8</f>
        <v>48</v>
      </c>
      <c r="G120" s="355">
        <f ca="1">IF(ISERROR(OFFSET('HARGA SATUAN'!$I$6,MATCH(RAB!C120,'HARGA SATUAN'!$C$7:$C$1492,0),0)),0,OFFSET('HARGA SATUAN'!$I$6,MATCH(RAB!C120,'HARGA SATUAN'!$C$7:$C$1492,0),0))</f>
        <v>7938</v>
      </c>
      <c r="H120" s="356">
        <f t="shared" ca="1" si="12"/>
        <v>0</v>
      </c>
      <c r="I120" s="356">
        <f t="shared" ca="1" si="13"/>
        <v>381024</v>
      </c>
      <c r="J120" s="356">
        <f t="shared" ca="1" si="14"/>
        <v>0</v>
      </c>
      <c r="K120" s="357">
        <f t="shared" ca="1" si="15"/>
        <v>381024</v>
      </c>
      <c r="L120" s="362"/>
      <c r="M120" s="362"/>
      <c r="N120" s="362"/>
      <c r="O120" s="358"/>
      <c r="P120" s="358"/>
      <c r="Q120" s="341"/>
      <c r="R120" s="333"/>
      <c r="S120" s="359"/>
      <c r="T120" s="338"/>
      <c r="U120" s="338"/>
      <c r="V120" s="338"/>
    </row>
    <row r="121" spans="1:22" s="363" customFormat="1">
      <c r="A121" s="333"/>
      <c r="B121" s="501">
        <v>7</v>
      </c>
      <c r="C121" s="499" t="s">
        <v>28</v>
      </c>
      <c r="D121" s="353" t="str">
        <f ca="1">IF(ISERROR(OFFSET('HARGA SATUAN'!$D$6,MATCH(RAB!C121,'HARGA SATUAN'!$C$7:$C$1492,0),0)),"",OFFSET('HARGA SATUAN'!$D$6,MATCH(RAB!C121,'HARGA SATUAN'!$C$7:$C$1492,0),0))</f>
        <v>HDW</v>
      </c>
      <c r="E121" s="354" t="str">
        <f ca="1">IF(B121="+","Unit",IF(ISERROR(OFFSET('HARGA SATUAN'!$E$6,MATCH(RAB!C121,'HARGA SATUAN'!$C$7:$C$1492,0),0)),"",OFFSET('HARGA SATUAN'!$E$6,MATCH(RAB!C121,'HARGA SATUAN'!$C$7:$C$1492,0),0)))</f>
        <v>Bh</v>
      </c>
      <c r="F121" s="502">
        <f>F114*1</f>
        <v>6</v>
      </c>
      <c r="G121" s="355">
        <f ca="1">IF(ISERROR(OFFSET('HARGA SATUAN'!$I$6,MATCH(RAB!C121,'HARGA SATUAN'!$C$7:$C$1492,0),0)),0,OFFSET('HARGA SATUAN'!$I$6,MATCH(RAB!C121,'HARGA SATUAN'!$C$7:$C$1492,0),0))</f>
        <v>26500</v>
      </c>
      <c r="H121" s="356">
        <f t="shared" ca="1" si="12"/>
        <v>0</v>
      </c>
      <c r="I121" s="356">
        <f t="shared" ca="1" si="13"/>
        <v>159000</v>
      </c>
      <c r="J121" s="356">
        <f t="shared" ca="1" si="14"/>
        <v>0</v>
      </c>
      <c r="K121" s="357">
        <f t="shared" ca="1" si="15"/>
        <v>159000</v>
      </c>
      <c r="L121" s="362"/>
      <c r="M121" s="362"/>
      <c r="N121" s="362"/>
      <c r="O121" s="358"/>
      <c r="P121" s="358"/>
      <c r="Q121" s="341"/>
      <c r="R121" s="333"/>
      <c r="S121" s="359"/>
      <c r="T121" s="338"/>
      <c r="U121" s="338"/>
      <c r="V121" s="338"/>
    </row>
    <row r="122" spans="1:22" s="363" customFormat="1">
      <c r="A122" s="333"/>
      <c r="B122" s="501">
        <v>8</v>
      </c>
      <c r="C122" s="499" t="s">
        <v>173</v>
      </c>
      <c r="D122" s="353" t="str">
        <f ca="1">IF(ISERROR(OFFSET('HARGA SATUAN'!$D$6,MATCH(RAB!C122,'HARGA SATUAN'!$C$7:$C$1492,0),0)),"",OFFSET('HARGA SATUAN'!$D$6,MATCH(RAB!C122,'HARGA SATUAN'!$C$7:$C$1492,0),0))</f>
        <v>HDW</v>
      </c>
      <c r="E122" s="354" t="str">
        <f ca="1">IF(B122="+","Unit",IF(ISERROR(OFFSET('HARGA SATUAN'!$E$6,MATCH(RAB!C122,'HARGA SATUAN'!$C$7:$C$1492,0),0)),"",OFFSET('HARGA SATUAN'!$E$6,MATCH(RAB!C122,'HARGA SATUAN'!$C$7:$C$1492,0),0)))</f>
        <v>Bh</v>
      </c>
      <c r="F122" s="502">
        <f>F114*8</f>
        <v>48</v>
      </c>
      <c r="G122" s="355">
        <f ca="1">IF(ISERROR(OFFSET('HARGA SATUAN'!$I$6,MATCH(RAB!C122,'HARGA SATUAN'!$C$7:$C$1492,0),0)),0,OFFSET('HARGA SATUAN'!$I$6,MATCH(RAB!C122,'HARGA SATUAN'!$C$7:$C$1492,0),0))</f>
        <v>45000</v>
      </c>
      <c r="H122" s="356">
        <f t="shared" ca="1" si="12"/>
        <v>0</v>
      </c>
      <c r="I122" s="356">
        <f t="shared" ca="1" si="13"/>
        <v>2160000</v>
      </c>
      <c r="J122" s="356">
        <f t="shared" ca="1" si="14"/>
        <v>0</v>
      </c>
      <c r="K122" s="357">
        <f t="shared" ca="1" si="15"/>
        <v>2160000</v>
      </c>
      <c r="L122" s="362"/>
      <c r="M122" s="362"/>
      <c r="N122" s="362"/>
      <c r="O122" s="358"/>
      <c r="P122" s="358"/>
      <c r="Q122" s="341"/>
      <c r="R122" s="333"/>
      <c r="S122" s="359"/>
      <c r="T122" s="338"/>
      <c r="U122" s="338"/>
      <c r="V122" s="338"/>
    </row>
    <row r="123" spans="1:22" s="363" customFormat="1">
      <c r="A123" s="333"/>
      <c r="B123" s="501">
        <v>9</v>
      </c>
      <c r="C123" s="499" t="s">
        <v>179</v>
      </c>
      <c r="D123" s="353" t="str">
        <f ca="1">IF(ISERROR(OFFSET('HARGA SATUAN'!$D$6,MATCH(RAB!C123,'HARGA SATUAN'!$C$7:$C$1492,0),0)),"",OFFSET('HARGA SATUAN'!$D$6,MATCH(RAB!C123,'HARGA SATUAN'!$C$7:$C$1492,0),0))</f>
        <v>HDW</v>
      </c>
      <c r="E123" s="354" t="str">
        <f ca="1">IF(B123="+","Unit",IF(ISERROR(OFFSET('HARGA SATUAN'!$E$6,MATCH(RAB!C123,'HARGA SATUAN'!$C$7:$C$1492,0),0)),"",OFFSET('HARGA SATUAN'!$E$6,MATCH(RAB!C123,'HARGA SATUAN'!$C$7:$C$1492,0),0)))</f>
        <v>Bh</v>
      </c>
      <c r="F123" s="502">
        <f>F114*2</f>
        <v>12</v>
      </c>
      <c r="G123" s="355">
        <f ca="1">IF(ISERROR(OFFSET('HARGA SATUAN'!$I$6,MATCH(RAB!C123,'HARGA SATUAN'!$C$7:$C$1492,0),0)),0,OFFSET('HARGA SATUAN'!$I$6,MATCH(RAB!C123,'HARGA SATUAN'!$C$7:$C$1492,0),0))</f>
        <v>15500</v>
      </c>
      <c r="H123" s="356">
        <f t="shared" ca="1" si="12"/>
        <v>0</v>
      </c>
      <c r="I123" s="356">
        <f t="shared" ca="1" si="13"/>
        <v>186000</v>
      </c>
      <c r="J123" s="356">
        <f t="shared" ca="1" si="14"/>
        <v>0</v>
      </c>
      <c r="K123" s="357">
        <f t="shared" ca="1" si="15"/>
        <v>186000</v>
      </c>
      <c r="L123" s="362"/>
      <c r="M123" s="362"/>
      <c r="N123" s="362"/>
      <c r="O123" s="358"/>
      <c r="P123" s="358"/>
      <c r="Q123" s="341"/>
      <c r="R123" s="333"/>
      <c r="S123" s="359"/>
      <c r="T123" s="338"/>
      <c r="U123" s="338"/>
      <c r="V123" s="338"/>
    </row>
    <row r="124" spans="1:22" s="363" customFormat="1">
      <c r="A124" s="333"/>
      <c r="B124" s="501">
        <v>10</v>
      </c>
      <c r="C124" s="499" t="s">
        <v>181</v>
      </c>
      <c r="D124" s="353" t="str">
        <f ca="1">IF(ISERROR(OFFSET('HARGA SATUAN'!$D$6,MATCH(RAB!C124,'HARGA SATUAN'!$C$7:$C$1492,0),0)),"",OFFSET('HARGA SATUAN'!$D$6,MATCH(RAB!C124,'HARGA SATUAN'!$C$7:$C$1492,0),0))</f>
        <v>HDW</v>
      </c>
      <c r="E124" s="354" t="str">
        <f ca="1">IF(B124="+","Unit",IF(ISERROR(OFFSET('HARGA SATUAN'!$E$6,MATCH(RAB!C124,'HARGA SATUAN'!$C$7:$C$1492,0),0)),"",OFFSET('HARGA SATUAN'!$E$6,MATCH(RAB!C124,'HARGA SATUAN'!$C$7:$C$1492,0),0)))</f>
        <v>Bh</v>
      </c>
      <c r="F124" s="502">
        <f>F114*4</f>
        <v>24</v>
      </c>
      <c r="G124" s="355">
        <f ca="1">IF(ISERROR(OFFSET('HARGA SATUAN'!$I$6,MATCH(RAB!C124,'HARGA SATUAN'!$C$7:$C$1492,0),0)),0,OFFSET('HARGA SATUAN'!$I$6,MATCH(RAB!C124,'HARGA SATUAN'!$C$7:$C$1492,0),0))</f>
        <v>28100</v>
      </c>
      <c r="H124" s="356">
        <f t="shared" ca="1" si="12"/>
        <v>0</v>
      </c>
      <c r="I124" s="356">
        <f t="shared" ca="1" si="13"/>
        <v>674400</v>
      </c>
      <c r="J124" s="356">
        <f t="shared" ca="1" si="14"/>
        <v>0</v>
      </c>
      <c r="K124" s="357">
        <f t="shared" ca="1" si="15"/>
        <v>674400</v>
      </c>
      <c r="L124" s="362"/>
      <c r="M124" s="362"/>
      <c r="N124" s="362"/>
      <c r="O124" s="358"/>
      <c r="P124" s="358"/>
      <c r="Q124" s="341"/>
      <c r="R124" s="333"/>
      <c r="S124" s="359"/>
      <c r="T124" s="338"/>
      <c r="U124" s="338"/>
      <c r="V124" s="338"/>
    </row>
    <row r="125" spans="1:22" s="363" customFormat="1">
      <c r="A125" s="333"/>
      <c r="B125" s="501">
        <v>11</v>
      </c>
      <c r="C125" s="499" t="s">
        <v>593</v>
      </c>
      <c r="D125" s="353" t="str">
        <f ca="1">IF(ISERROR(OFFSET('HARGA SATUAN'!$D$6,MATCH(RAB!C125,'HARGA SATUAN'!$C$7:$C$1492,0),0)),"",OFFSET('HARGA SATUAN'!$D$6,MATCH(RAB!C125,'HARGA SATUAN'!$C$7:$C$1492,0),0))</f>
        <v>HDW</v>
      </c>
      <c r="E125" s="354" t="str">
        <f ca="1">IF(B125="+","Unit",IF(ISERROR(OFFSET('HARGA SATUAN'!$E$6,MATCH(RAB!C125,'HARGA SATUAN'!$C$7:$C$1492,0),0)),"",OFFSET('HARGA SATUAN'!$E$6,MATCH(RAB!C125,'HARGA SATUAN'!$C$7:$C$1492,0),0)))</f>
        <v>Bh</v>
      </c>
      <c r="F125" s="502">
        <f>F114*4</f>
        <v>24</v>
      </c>
      <c r="G125" s="355">
        <f ca="1">IF(ISERROR(OFFSET('HARGA SATUAN'!$I$6,MATCH(RAB!C125,'HARGA SATUAN'!$C$7:$C$1492,0),0)),0,OFFSET('HARGA SATUAN'!$I$6,MATCH(RAB!C125,'HARGA SATUAN'!$C$7:$C$1492,0),0))</f>
        <v>380500</v>
      </c>
      <c r="H125" s="356">
        <f t="shared" ca="1" si="12"/>
        <v>0</v>
      </c>
      <c r="I125" s="356">
        <f t="shared" ca="1" si="13"/>
        <v>9132000</v>
      </c>
      <c r="J125" s="356">
        <f t="shared" ca="1" si="14"/>
        <v>0</v>
      </c>
      <c r="K125" s="357">
        <f t="shared" ca="1" si="15"/>
        <v>9132000</v>
      </c>
      <c r="L125" s="362"/>
      <c r="M125" s="362"/>
      <c r="N125" s="362"/>
      <c r="O125" s="358"/>
      <c r="P125" s="358"/>
      <c r="Q125" s="341"/>
      <c r="R125" s="333"/>
      <c r="S125" s="359"/>
      <c r="T125" s="338"/>
      <c r="U125" s="338"/>
      <c r="V125" s="338"/>
    </row>
    <row r="126" spans="1:22" s="363" customFormat="1">
      <c r="A126" s="333"/>
      <c r="B126" s="501">
        <v>12</v>
      </c>
      <c r="C126" s="499" t="s">
        <v>218</v>
      </c>
      <c r="D126" s="353" t="str">
        <f ca="1">IF(ISERROR(OFFSET('HARGA SATUAN'!$D$6,MATCH(RAB!C126,'HARGA SATUAN'!$C$7:$C$1492,0),0)),"",OFFSET('HARGA SATUAN'!$D$6,MATCH(RAB!C126,'HARGA SATUAN'!$C$7:$C$1492,0),0))</f>
        <v>HDW</v>
      </c>
      <c r="E126" s="354" t="str">
        <f ca="1">IF(B126="+","Unit",IF(ISERROR(OFFSET('HARGA SATUAN'!$E$6,MATCH(RAB!C126,'HARGA SATUAN'!$C$7:$C$1492,0),0)),"",OFFSET('HARGA SATUAN'!$E$6,MATCH(RAB!C126,'HARGA SATUAN'!$C$7:$C$1492,0),0)))</f>
        <v>Bh</v>
      </c>
      <c r="F126" s="502">
        <f>F114*4</f>
        <v>24</v>
      </c>
      <c r="G126" s="355">
        <f ca="1">IF(ISERROR(OFFSET('HARGA SATUAN'!$I$6,MATCH(RAB!C126,'HARGA SATUAN'!$C$7:$C$1492,0),0)),0,OFFSET('HARGA SATUAN'!$I$6,MATCH(RAB!C126,'HARGA SATUAN'!$C$7:$C$1492,0),0))</f>
        <v>29600</v>
      </c>
      <c r="H126" s="356">
        <f t="shared" ca="1" si="12"/>
        <v>0</v>
      </c>
      <c r="I126" s="356">
        <f t="shared" ca="1" si="13"/>
        <v>710400</v>
      </c>
      <c r="J126" s="356">
        <f t="shared" ca="1" si="14"/>
        <v>0</v>
      </c>
      <c r="K126" s="357">
        <f t="shared" ca="1" si="15"/>
        <v>710400</v>
      </c>
      <c r="L126" s="362"/>
      <c r="M126" s="362"/>
      <c r="N126" s="362"/>
      <c r="O126" s="358"/>
      <c r="P126" s="358"/>
      <c r="Q126" s="341"/>
      <c r="R126" s="333"/>
      <c r="S126" s="359"/>
      <c r="T126" s="338"/>
      <c r="U126" s="338"/>
      <c r="V126" s="338"/>
    </row>
    <row r="127" spans="1:22" s="363" customFormat="1">
      <c r="A127" s="333"/>
      <c r="B127" s="501">
        <v>13</v>
      </c>
      <c r="C127" s="499" t="s">
        <v>217</v>
      </c>
      <c r="D127" s="353" t="str">
        <f ca="1">IF(ISERROR(OFFSET('HARGA SATUAN'!$D$6,MATCH(RAB!C127,'HARGA SATUAN'!$C$7:$C$1492,0),0)),"",OFFSET('HARGA SATUAN'!$D$6,MATCH(RAB!C127,'HARGA SATUAN'!$C$7:$C$1492,0),0))</f>
        <v>HDW</v>
      </c>
      <c r="E127" s="354" t="str">
        <f ca="1">IF(B127="+","Unit",IF(ISERROR(OFFSET('HARGA SATUAN'!$E$6,MATCH(RAB!C127,'HARGA SATUAN'!$C$7:$C$1492,0),0)),"",OFFSET('HARGA SATUAN'!$E$6,MATCH(RAB!C127,'HARGA SATUAN'!$C$7:$C$1492,0),0)))</f>
        <v>Bh</v>
      </c>
      <c r="F127" s="502">
        <f>F114*9</f>
        <v>54</v>
      </c>
      <c r="G127" s="355">
        <f ca="1">IF(ISERROR(OFFSET('HARGA SATUAN'!$I$6,MATCH(RAB!C127,'HARGA SATUAN'!$C$7:$C$1492,0),0)),0,OFFSET('HARGA SATUAN'!$I$6,MATCH(RAB!C127,'HARGA SATUAN'!$C$7:$C$1492,0),0))</f>
        <v>11400</v>
      </c>
      <c r="H127" s="356">
        <f t="shared" ca="1" si="12"/>
        <v>0</v>
      </c>
      <c r="I127" s="356">
        <f t="shared" ca="1" si="13"/>
        <v>615600</v>
      </c>
      <c r="J127" s="356">
        <f t="shared" ca="1" si="14"/>
        <v>0</v>
      </c>
      <c r="K127" s="357">
        <f t="shared" ca="1" si="15"/>
        <v>615600</v>
      </c>
      <c r="L127" s="362"/>
      <c r="M127" s="362"/>
      <c r="N127" s="362"/>
      <c r="O127" s="358"/>
      <c r="P127" s="358"/>
      <c r="Q127" s="341"/>
      <c r="R127" s="333"/>
      <c r="S127" s="359"/>
      <c r="T127" s="338"/>
      <c r="U127" s="338"/>
      <c r="V127" s="338"/>
    </row>
    <row r="128" spans="1:22" s="363" customFormat="1">
      <c r="A128" s="333"/>
      <c r="B128" s="501">
        <v>14</v>
      </c>
      <c r="C128" s="499" t="s">
        <v>223</v>
      </c>
      <c r="D128" s="353" t="str">
        <f ca="1">IF(ISERROR(OFFSET('HARGA SATUAN'!$D$6,MATCH(RAB!C128,'HARGA SATUAN'!$C$7:$C$1492,0),0)),"",OFFSET('HARGA SATUAN'!$D$6,MATCH(RAB!C128,'HARGA SATUAN'!$C$7:$C$1492,0),0))</f>
        <v>HDW</v>
      </c>
      <c r="E128" s="354" t="str">
        <f ca="1">IF(B128="+","Unit",IF(ISERROR(OFFSET('HARGA SATUAN'!$E$6,MATCH(RAB!C128,'HARGA SATUAN'!$C$7:$C$1492,0),0)),"",OFFSET('HARGA SATUAN'!$E$6,MATCH(RAB!C128,'HARGA SATUAN'!$C$7:$C$1492,0),0)))</f>
        <v>Bh</v>
      </c>
      <c r="F128" s="502">
        <f>F114*2</f>
        <v>12</v>
      </c>
      <c r="G128" s="355">
        <f ca="1">IF(ISERROR(OFFSET('HARGA SATUAN'!$I$6,MATCH(RAB!C128,'HARGA SATUAN'!$C$7:$C$1492,0),0)),0,OFFSET('HARGA SATUAN'!$I$6,MATCH(RAB!C128,'HARGA SATUAN'!$C$7:$C$1492,0),0))</f>
        <v>27815</v>
      </c>
      <c r="H128" s="356">
        <f t="shared" ca="1" si="12"/>
        <v>0</v>
      </c>
      <c r="I128" s="356">
        <f t="shared" ca="1" si="13"/>
        <v>333780</v>
      </c>
      <c r="J128" s="356">
        <f t="shared" ca="1" si="14"/>
        <v>0</v>
      </c>
      <c r="K128" s="357">
        <f t="shared" ca="1" si="15"/>
        <v>333780</v>
      </c>
      <c r="L128" s="362"/>
      <c r="M128" s="362"/>
      <c r="N128" s="362"/>
      <c r="O128" s="358"/>
      <c r="P128" s="358"/>
      <c r="Q128" s="341"/>
      <c r="R128" s="333"/>
      <c r="S128" s="359"/>
      <c r="T128" s="338"/>
      <c r="U128" s="338"/>
      <c r="V128" s="338"/>
    </row>
    <row r="129" spans="1:22" s="363" customFormat="1">
      <c r="A129" s="333"/>
      <c r="B129" s="501">
        <v>15</v>
      </c>
      <c r="C129" s="499" t="s">
        <v>25</v>
      </c>
      <c r="D129" s="353" t="str">
        <f ca="1">IF(ISERROR(OFFSET('HARGA SATUAN'!$D$6,MATCH(RAB!C129,'HARGA SATUAN'!$C$7:$C$1492,0),0)),"",OFFSET('HARGA SATUAN'!$D$6,MATCH(RAB!C129,'HARGA SATUAN'!$C$7:$C$1492,0),0))</f>
        <v>HDW</v>
      </c>
      <c r="E129" s="354" t="str">
        <f ca="1">IF(B129="+","Unit",IF(ISERROR(OFFSET('HARGA SATUAN'!$E$6,MATCH(RAB!C129,'HARGA SATUAN'!$C$7:$C$1492,0),0)),"",OFFSET('HARGA SATUAN'!$E$6,MATCH(RAB!C129,'HARGA SATUAN'!$C$7:$C$1492,0),0)))</f>
        <v>Bh</v>
      </c>
      <c r="F129" s="502">
        <f>F114*6</f>
        <v>36</v>
      </c>
      <c r="G129" s="355">
        <f ca="1">IF(ISERROR(OFFSET('HARGA SATUAN'!$I$6,MATCH(RAB!C129,'HARGA SATUAN'!$C$7:$C$1492,0),0)),0,OFFSET('HARGA SATUAN'!$I$6,MATCH(RAB!C129,'HARGA SATUAN'!$C$7:$C$1492,0),0))</f>
        <v>23936</v>
      </c>
      <c r="H129" s="356">
        <f t="shared" ca="1" si="12"/>
        <v>0</v>
      </c>
      <c r="I129" s="356">
        <f t="shared" ca="1" si="13"/>
        <v>861696</v>
      </c>
      <c r="J129" s="356">
        <f t="shared" ca="1" si="14"/>
        <v>0</v>
      </c>
      <c r="K129" s="357">
        <f t="shared" ca="1" si="15"/>
        <v>861696</v>
      </c>
      <c r="L129" s="362"/>
      <c r="M129" s="362"/>
      <c r="N129" s="362"/>
      <c r="O129" s="358"/>
      <c r="P129" s="358"/>
      <c r="Q129" s="341"/>
      <c r="R129" s="333"/>
      <c r="S129" s="359"/>
      <c r="T129" s="338"/>
      <c r="U129" s="338"/>
      <c r="V129" s="338"/>
    </row>
    <row r="130" spans="1:22" s="363" customFormat="1">
      <c r="A130" s="333"/>
      <c r="B130" s="501">
        <v>16</v>
      </c>
      <c r="C130" s="499" t="s">
        <v>37</v>
      </c>
      <c r="D130" s="353" t="str">
        <f ca="1">IF(ISERROR(OFFSET('HARGA SATUAN'!$D$6,MATCH(RAB!C130,'HARGA SATUAN'!$C$7:$C$1492,0),0)),"",OFFSET('HARGA SATUAN'!$D$6,MATCH(RAB!C130,'HARGA SATUAN'!$C$7:$C$1492,0),0))</f>
        <v>HDW</v>
      </c>
      <c r="E130" s="354" t="str">
        <f ca="1">IF(B130="+","Unit",IF(ISERROR(OFFSET('HARGA SATUAN'!$E$6,MATCH(RAB!C130,'HARGA SATUAN'!$C$7:$C$1492,0),0)),"",OFFSET('HARGA SATUAN'!$E$6,MATCH(RAB!C130,'HARGA SATUAN'!$C$7:$C$1492,0),0)))</f>
        <v>Bh</v>
      </c>
      <c r="F130" s="502">
        <f>F114*3</f>
        <v>18</v>
      </c>
      <c r="G130" s="355">
        <f ca="1">IF(ISERROR(OFFSET('HARGA SATUAN'!$I$6,MATCH(RAB!C130,'HARGA SATUAN'!$C$7:$C$1492,0),0)),0,OFFSET('HARGA SATUAN'!$I$6,MATCH(RAB!C130,'HARGA SATUAN'!$C$7:$C$1492,0),0))</f>
        <v>63500</v>
      </c>
      <c r="H130" s="356">
        <f t="shared" ca="1" si="12"/>
        <v>0</v>
      </c>
      <c r="I130" s="356">
        <f t="shared" ca="1" si="13"/>
        <v>1143000</v>
      </c>
      <c r="J130" s="356">
        <f t="shared" ca="1" si="14"/>
        <v>0</v>
      </c>
      <c r="K130" s="357">
        <f t="shared" ca="1" si="15"/>
        <v>1143000</v>
      </c>
      <c r="L130" s="362"/>
      <c r="M130" s="362"/>
      <c r="N130" s="362"/>
      <c r="O130" s="358"/>
      <c r="P130" s="358"/>
      <c r="Q130" s="341"/>
      <c r="R130" s="333"/>
      <c r="S130" s="359"/>
      <c r="T130" s="338"/>
      <c r="U130" s="338"/>
      <c r="V130" s="338"/>
    </row>
    <row r="131" spans="1:22" s="363" customFormat="1">
      <c r="A131" s="333"/>
      <c r="B131" s="501">
        <v>17</v>
      </c>
      <c r="C131" s="499" t="s">
        <v>247</v>
      </c>
      <c r="D131" s="353" t="str">
        <f ca="1">IF(ISERROR(OFFSET('HARGA SATUAN'!$D$6,MATCH(RAB!C131,'HARGA SATUAN'!$C$7:$C$1492,0),0)),"",OFFSET('HARGA SATUAN'!$D$6,MATCH(RAB!C131,'HARGA SATUAN'!$C$7:$C$1492,0),0))</f>
        <v>HDW</v>
      </c>
      <c r="E131" s="354" t="str">
        <f ca="1">IF(B131="+","Unit",IF(ISERROR(OFFSET('HARGA SATUAN'!$E$6,MATCH(RAB!C131,'HARGA SATUAN'!$C$7:$C$1492,0),0)),"",OFFSET('HARGA SATUAN'!$E$6,MATCH(RAB!C131,'HARGA SATUAN'!$C$7:$C$1492,0),0)))</f>
        <v>Bh</v>
      </c>
      <c r="F131" s="502">
        <f>F114*3</f>
        <v>18</v>
      </c>
      <c r="G131" s="355">
        <f ca="1">IF(ISERROR(OFFSET('HARGA SATUAN'!$I$6,MATCH(RAB!C131,'HARGA SATUAN'!$C$7:$C$1492,0),0)),0,OFFSET('HARGA SATUAN'!$I$6,MATCH(RAB!C131,'HARGA SATUAN'!$C$7:$C$1492,0),0))</f>
        <v>57690</v>
      </c>
      <c r="H131" s="356">
        <f t="shared" ca="1" si="12"/>
        <v>0</v>
      </c>
      <c r="I131" s="356">
        <f t="shared" ca="1" si="13"/>
        <v>1038420</v>
      </c>
      <c r="J131" s="356">
        <f t="shared" ca="1" si="14"/>
        <v>0</v>
      </c>
      <c r="K131" s="357">
        <f t="shared" ca="1" si="15"/>
        <v>1038420</v>
      </c>
      <c r="L131" s="362"/>
      <c r="M131" s="362"/>
      <c r="N131" s="362"/>
      <c r="O131" s="358"/>
      <c r="P131" s="358"/>
      <c r="Q131" s="341"/>
      <c r="R131" s="333"/>
      <c r="S131" s="359"/>
      <c r="T131" s="338"/>
      <c r="U131" s="338"/>
      <c r="V131" s="338"/>
    </row>
    <row r="132" spans="1:22" s="363" customFormat="1">
      <c r="A132" s="333"/>
      <c r="B132" s="501">
        <v>18</v>
      </c>
      <c r="C132" s="499" t="s">
        <v>27</v>
      </c>
      <c r="D132" s="353" t="str">
        <f ca="1">IF(ISERROR(OFFSET('HARGA SATUAN'!$D$6,MATCH(RAB!C132,'HARGA SATUAN'!$C$7:$C$1492,0),0)),"",OFFSET('HARGA SATUAN'!$D$6,MATCH(RAB!C132,'HARGA SATUAN'!$C$7:$C$1492,0),0))</f>
        <v>HDW</v>
      </c>
      <c r="E132" s="354" t="str">
        <f ca="1">IF(B132="+","Unit",IF(ISERROR(OFFSET('HARGA SATUAN'!$E$6,MATCH(RAB!C132,'HARGA SATUAN'!$C$7:$C$1492,0),0)),"",OFFSET('HARGA SATUAN'!$E$6,MATCH(RAB!C132,'HARGA SATUAN'!$C$7:$C$1492,0),0)))</f>
        <v>Bh</v>
      </c>
      <c r="F132" s="502">
        <f>F114*6</f>
        <v>36</v>
      </c>
      <c r="G132" s="355">
        <f ca="1">IF(ISERROR(OFFSET('HARGA SATUAN'!$I$6,MATCH(RAB!C132,'HARGA SATUAN'!$C$7:$C$1492,0),0)),0,OFFSET('HARGA SATUAN'!$I$6,MATCH(RAB!C132,'HARGA SATUAN'!$C$7:$C$1492,0),0))</f>
        <v>16000</v>
      </c>
      <c r="H132" s="356">
        <f t="shared" ca="1" si="12"/>
        <v>0</v>
      </c>
      <c r="I132" s="356">
        <f t="shared" ca="1" si="13"/>
        <v>576000</v>
      </c>
      <c r="J132" s="356">
        <f t="shared" ca="1" si="14"/>
        <v>0</v>
      </c>
      <c r="K132" s="357">
        <f t="shared" ca="1" si="15"/>
        <v>576000</v>
      </c>
      <c r="L132" s="362"/>
      <c r="M132" s="362"/>
      <c r="N132" s="362"/>
      <c r="O132" s="358"/>
      <c r="P132" s="358"/>
      <c r="Q132" s="341"/>
      <c r="R132" s="333"/>
      <c r="S132" s="359"/>
      <c r="T132" s="338"/>
      <c r="U132" s="338"/>
      <c r="V132" s="338"/>
    </row>
    <row r="133" spans="1:22" s="363" customFormat="1">
      <c r="A133" s="333"/>
      <c r="B133" s="501">
        <v>19</v>
      </c>
      <c r="C133" s="499" t="s">
        <v>265</v>
      </c>
      <c r="D133" s="353" t="str">
        <f ca="1">IF(ISERROR(OFFSET('HARGA SATUAN'!$D$6,MATCH(RAB!C133,'HARGA SATUAN'!$C$7:$C$1492,0),0)),"",OFFSET('HARGA SATUAN'!$D$6,MATCH(RAB!C133,'HARGA SATUAN'!$C$7:$C$1492,0),0))</f>
        <v>HDW</v>
      </c>
      <c r="E133" s="354" t="str">
        <f ca="1">IF(B133="+","Unit",IF(ISERROR(OFFSET('HARGA SATUAN'!$E$6,MATCH(RAB!C133,'HARGA SATUAN'!$C$7:$C$1492,0),0)),"",OFFSET('HARGA SATUAN'!$E$6,MATCH(RAB!C133,'HARGA SATUAN'!$C$7:$C$1492,0),0)))</f>
        <v>Bh</v>
      </c>
      <c r="F133" s="502">
        <f>F114*2</f>
        <v>12</v>
      </c>
      <c r="G133" s="355">
        <f ca="1">IF(ISERROR(OFFSET('HARGA SATUAN'!$I$6,MATCH(RAB!C133,'HARGA SATUAN'!$C$7:$C$1492,0),0)),0,OFFSET('HARGA SATUAN'!$I$6,MATCH(RAB!C133,'HARGA SATUAN'!$C$7:$C$1492,0),0))</f>
        <v>33501.866666666669</v>
      </c>
      <c r="H133" s="356">
        <f t="shared" ca="1" si="12"/>
        <v>0</v>
      </c>
      <c r="I133" s="356">
        <f t="shared" ca="1" si="13"/>
        <v>402022.40000000002</v>
      </c>
      <c r="J133" s="356">
        <f t="shared" ca="1" si="14"/>
        <v>0</v>
      </c>
      <c r="K133" s="357">
        <f t="shared" ca="1" si="15"/>
        <v>402022.40000000002</v>
      </c>
      <c r="L133" s="362"/>
      <c r="M133" s="362"/>
      <c r="N133" s="362"/>
      <c r="O133" s="358"/>
      <c r="P133" s="358"/>
      <c r="Q133" s="341"/>
      <c r="R133" s="333"/>
      <c r="S133" s="359"/>
      <c r="T133" s="338"/>
      <c r="U133" s="338"/>
      <c r="V133" s="338"/>
    </row>
    <row r="134" spans="1:22" s="363" customFormat="1">
      <c r="A134" s="333"/>
      <c r="B134" s="501">
        <v>20</v>
      </c>
      <c r="C134" s="499" t="s">
        <v>38</v>
      </c>
      <c r="D134" s="353" t="str">
        <f ca="1">IF(ISERROR(OFFSET('HARGA SATUAN'!$D$6,MATCH(RAB!C134,'HARGA SATUAN'!$C$7:$C$1492,0),0)),"",OFFSET('HARGA SATUAN'!$D$6,MATCH(RAB!C134,'HARGA SATUAN'!$C$7:$C$1492,0),0))</f>
        <v>HDW</v>
      </c>
      <c r="E134" s="354" t="str">
        <f ca="1">IF(B134="+","Unit",IF(ISERROR(OFFSET('HARGA SATUAN'!$E$6,MATCH(RAB!C134,'HARGA SATUAN'!$C$7:$C$1492,0),0)),"",OFFSET('HARGA SATUAN'!$E$6,MATCH(RAB!C134,'HARGA SATUAN'!$C$7:$C$1492,0),0)))</f>
        <v>Mtr</v>
      </c>
      <c r="F134" s="502">
        <f>3.6*F114</f>
        <v>21.6</v>
      </c>
      <c r="G134" s="355">
        <f ca="1">IF(ISERROR(OFFSET('HARGA SATUAN'!$I$6,MATCH(RAB!C134,'HARGA SATUAN'!$C$7:$C$1492,0),0)),0,OFFSET('HARGA SATUAN'!$I$6,MATCH(RAB!C134,'HARGA SATUAN'!$C$7:$C$1492,0),0))</f>
        <v>8550</v>
      </c>
      <c r="H134" s="356">
        <f t="shared" ca="1" si="12"/>
        <v>0</v>
      </c>
      <c r="I134" s="356">
        <f t="shared" ca="1" si="13"/>
        <v>184680</v>
      </c>
      <c r="J134" s="356">
        <f t="shared" ca="1" si="14"/>
        <v>0</v>
      </c>
      <c r="K134" s="357">
        <f t="shared" ca="1" si="15"/>
        <v>184680</v>
      </c>
      <c r="L134" s="362"/>
      <c r="M134" s="362"/>
      <c r="N134" s="362"/>
      <c r="O134" s="358"/>
      <c r="P134" s="358"/>
      <c r="Q134" s="341"/>
      <c r="R134" s="333"/>
      <c r="S134" s="359"/>
      <c r="T134" s="338"/>
      <c r="U134" s="338"/>
      <c r="V134" s="338"/>
    </row>
    <row r="135" spans="1:22" s="363" customFormat="1">
      <c r="A135" s="333"/>
      <c r="B135" s="501">
        <v>21</v>
      </c>
      <c r="C135" s="499" t="s">
        <v>26</v>
      </c>
      <c r="D135" s="353" t="str">
        <f ca="1">IF(ISERROR(OFFSET('HARGA SATUAN'!$D$6,MATCH(RAB!C135,'HARGA SATUAN'!$C$7:$C$1492,0),0)),"",OFFSET('HARGA SATUAN'!$D$6,MATCH(RAB!C135,'HARGA SATUAN'!$C$7:$C$1492,0),0))</f>
        <v>HDW</v>
      </c>
      <c r="E135" s="354" t="str">
        <f ca="1">IF(B135="+","Unit",IF(ISERROR(OFFSET('HARGA SATUAN'!$E$6,MATCH(RAB!C135,'HARGA SATUAN'!$C$7:$C$1492,0),0)),"",OFFSET('HARGA SATUAN'!$E$6,MATCH(RAB!C135,'HARGA SATUAN'!$C$7:$C$1492,0),0)))</f>
        <v>Bh</v>
      </c>
      <c r="F135" s="502">
        <f>F114*22</f>
        <v>132</v>
      </c>
      <c r="G135" s="355">
        <f ca="1">IF(ISERROR(OFFSET('HARGA SATUAN'!$I$6,MATCH(RAB!C135,'HARGA SATUAN'!$C$7:$C$1492,0),0)),0,OFFSET('HARGA SATUAN'!$I$6,MATCH(RAB!C135,'HARGA SATUAN'!$C$7:$C$1492,0),0))</f>
        <v>2500</v>
      </c>
      <c r="H135" s="356">
        <f t="shared" ca="1" si="12"/>
        <v>0</v>
      </c>
      <c r="I135" s="356">
        <f t="shared" ca="1" si="13"/>
        <v>330000</v>
      </c>
      <c r="J135" s="356">
        <f t="shared" ca="1" si="14"/>
        <v>0</v>
      </c>
      <c r="K135" s="357">
        <f t="shared" ca="1" si="15"/>
        <v>330000</v>
      </c>
      <c r="L135" s="362"/>
      <c r="M135" s="362"/>
      <c r="N135" s="362"/>
      <c r="O135" s="358"/>
      <c r="P135" s="358"/>
      <c r="Q135" s="341"/>
      <c r="R135" s="333"/>
      <c r="S135" s="359"/>
      <c r="T135" s="338"/>
      <c r="U135" s="338"/>
      <c r="V135" s="338"/>
    </row>
    <row r="136" spans="1:22" s="363" customFormat="1">
      <c r="A136" s="333"/>
      <c r="B136" s="501">
        <v>22</v>
      </c>
      <c r="C136" s="497" t="s">
        <v>709</v>
      </c>
      <c r="D136" s="353" t="str">
        <f ca="1">IF(ISERROR(OFFSET('HARGA SATUAN'!$D$6,MATCH(RAB!C136,'HARGA SATUAN'!$C$7:$C$1492,0),0)),"",OFFSET('HARGA SATUAN'!$D$6,MATCH(RAB!C136,'HARGA SATUAN'!$C$7:$C$1492,0),0))</f>
        <v>JASA</v>
      </c>
      <c r="E136" s="354" t="str">
        <f ca="1">IF(B136="+","Unit",IF(ISERROR(OFFSET('HARGA SATUAN'!$E$6,MATCH(RAB!C136,'HARGA SATUAN'!$C$7:$C$1492,0),0)),"",OFFSET('HARGA SATUAN'!$E$6,MATCH(RAB!C136,'HARGA SATUAN'!$C$7:$C$1492,0),0)))</f>
        <v>Unit</v>
      </c>
      <c r="F136" s="502">
        <f>F114*1</f>
        <v>6</v>
      </c>
      <c r="G136" s="355">
        <f ca="1">IF(ISERROR(OFFSET('HARGA SATUAN'!$I$6,MATCH(RAB!C136,'HARGA SATUAN'!$C$7:$C$1492,0),0)),0,OFFSET('HARGA SATUAN'!$I$6,MATCH(RAB!C136,'HARGA SATUAN'!$C$7:$C$1492,0),0))</f>
        <v>197500</v>
      </c>
      <c r="H136" s="356">
        <f t="shared" ca="1" si="12"/>
        <v>0</v>
      </c>
      <c r="I136" s="356">
        <f t="shared" ca="1" si="13"/>
        <v>0</v>
      </c>
      <c r="J136" s="356">
        <f t="shared" ca="1" si="14"/>
        <v>1185000</v>
      </c>
      <c r="K136" s="357">
        <f t="shared" ca="1" si="15"/>
        <v>1185000</v>
      </c>
      <c r="L136" s="362"/>
      <c r="M136" s="362"/>
      <c r="N136" s="362"/>
      <c r="O136" s="358"/>
      <c r="P136" s="358"/>
      <c r="Q136" s="341"/>
      <c r="R136" s="333"/>
      <c r="S136" s="359"/>
      <c r="T136" s="338"/>
      <c r="U136" s="338"/>
      <c r="V136" s="338"/>
    </row>
    <row r="137" spans="1:22" s="363" customFormat="1">
      <c r="A137" s="333"/>
      <c r="B137" s="483"/>
      <c r="C137" s="109"/>
      <c r="D137" s="353" t="str">
        <f ca="1">IF(ISERROR(OFFSET('HARGA SATUAN'!$D$6,MATCH(RAB!C137,'HARGA SATUAN'!$C$7:$C$1492,0),0)),"",OFFSET('HARGA SATUAN'!$D$6,MATCH(RAB!C137,'HARGA SATUAN'!$C$7:$C$1492,0),0))</f>
        <v/>
      </c>
      <c r="E137" s="354" t="str">
        <f ca="1">IF(B137="+","Unit",IF(ISERROR(OFFSET('HARGA SATUAN'!$E$6,MATCH(RAB!C137,'HARGA SATUAN'!$C$7:$C$1492,0),0)),"",OFFSET('HARGA SATUAN'!$E$6,MATCH(RAB!C137,'HARGA SATUAN'!$C$7:$C$1492,0),0)))</f>
        <v/>
      </c>
      <c r="F137" s="361"/>
      <c r="G137" s="355">
        <f ca="1">IF(ISERROR(OFFSET('HARGA SATUAN'!$I$6,MATCH(RAB!C137,'HARGA SATUAN'!$C$7:$C$1492,0),0)),0,OFFSET('HARGA SATUAN'!$I$6,MATCH(RAB!C137,'HARGA SATUAN'!$C$7:$C$1492,0),0))</f>
        <v>0</v>
      </c>
      <c r="H137" s="356">
        <f t="shared" ca="1" si="12"/>
        <v>0</v>
      </c>
      <c r="I137" s="356">
        <f t="shared" ca="1" si="13"/>
        <v>0</v>
      </c>
      <c r="J137" s="356">
        <f t="shared" ca="1" si="14"/>
        <v>0</v>
      </c>
      <c r="K137" s="357">
        <f t="shared" ca="1" si="15"/>
        <v>0</v>
      </c>
      <c r="L137" s="362"/>
      <c r="M137" s="362"/>
      <c r="N137" s="362"/>
      <c r="O137" s="358"/>
      <c r="P137" s="358"/>
      <c r="Q137" s="341"/>
      <c r="R137" s="333"/>
      <c r="S137" s="359"/>
      <c r="T137" s="338"/>
      <c r="U137" s="338"/>
      <c r="V137" s="338"/>
    </row>
    <row r="138" spans="1:22" s="363" customFormat="1">
      <c r="A138" s="333"/>
      <c r="B138" s="496" t="s">
        <v>1035</v>
      </c>
      <c r="C138" s="499" t="s">
        <v>1627</v>
      </c>
      <c r="D138" s="353" t="str">
        <f ca="1">IF(ISERROR(OFFSET('HARGA SATUAN'!$D$6,MATCH(RAB!C138,'HARGA SATUAN'!$C$7:$C$1492,0),0)),"",OFFSET('HARGA SATUAN'!$D$6,MATCH(RAB!C138,'HARGA SATUAN'!$C$7:$C$1492,0),0))</f>
        <v/>
      </c>
      <c r="E138" s="354" t="str">
        <f ca="1">IF(B138="+","Unit",IF(ISERROR(OFFSET('HARGA SATUAN'!$E$6,MATCH(RAB!C138,'HARGA SATUAN'!$C$7:$C$1492,0),0)),"",OFFSET('HARGA SATUAN'!$E$6,MATCH(RAB!C138,'HARGA SATUAN'!$C$7:$C$1492,0),0)))</f>
        <v>Unit</v>
      </c>
      <c r="F138" s="502">
        <v>7</v>
      </c>
      <c r="G138" s="355">
        <f ca="1">IF(ISERROR(OFFSET('HARGA SATUAN'!$I$6,MATCH(RAB!C138,'HARGA SATUAN'!$C$7:$C$1492,0),0)),0,OFFSET('HARGA SATUAN'!$I$6,MATCH(RAB!C138,'HARGA SATUAN'!$C$7:$C$1492,0),0))</f>
        <v>0</v>
      </c>
      <c r="H138" s="356">
        <f t="shared" ca="1" si="12"/>
        <v>0</v>
      </c>
      <c r="I138" s="356">
        <f t="shared" ca="1" si="13"/>
        <v>0</v>
      </c>
      <c r="J138" s="356">
        <f t="shared" ca="1" si="14"/>
        <v>0</v>
      </c>
      <c r="K138" s="357">
        <f t="shared" ca="1" si="15"/>
        <v>0</v>
      </c>
      <c r="L138" s="362"/>
      <c r="M138" s="362"/>
      <c r="N138" s="362"/>
      <c r="O138" s="358"/>
      <c r="P138" s="358"/>
      <c r="Q138" s="341"/>
      <c r="R138" s="333"/>
      <c r="S138" s="359"/>
      <c r="T138" s="338"/>
      <c r="U138" s="338"/>
      <c r="V138" s="338"/>
    </row>
    <row r="139" spans="1:22" s="363" customFormat="1">
      <c r="A139" s="333"/>
      <c r="B139" s="501">
        <v>1</v>
      </c>
      <c r="C139" s="109" t="s">
        <v>1564</v>
      </c>
      <c r="D139" s="353" t="str">
        <f ca="1">IF(ISERROR(OFFSET('HARGA SATUAN'!$D$6,MATCH(RAB!C139,'HARGA SATUAN'!$C$7:$C$1492,0),0)),"",OFFSET('HARGA SATUAN'!$D$6,MATCH(RAB!C139,'HARGA SATUAN'!$C$7:$C$1492,0),0))</f>
        <v>MDU-KD</v>
      </c>
      <c r="E139" s="354" t="str">
        <f ca="1">IF(B139="+","Unit",IF(ISERROR(OFFSET('HARGA SATUAN'!$E$6,MATCH(RAB!C139,'HARGA SATUAN'!$C$7:$C$1492,0),0)),"",OFFSET('HARGA SATUAN'!$E$6,MATCH(RAB!C139,'HARGA SATUAN'!$C$7:$C$1492,0),0)))</f>
        <v>Bh</v>
      </c>
      <c r="F139" s="502">
        <f>F138*3</f>
        <v>21</v>
      </c>
      <c r="G139" s="355">
        <f ca="1">IF(ISERROR(OFFSET('HARGA SATUAN'!$I$6,MATCH(RAB!C139,'HARGA SATUAN'!$C$7:$C$1492,0),0)),0,OFFSET('HARGA SATUAN'!$I$6,MATCH(RAB!C139,'HARGA SATUAN'!$C$7:$C$1492,0),0))</f>
        <v>235900</v>
      </c>
      <c r="H139" s="356">
        <f ca="1">IF(OR(D139="MDU",D139="MDU-KD"),(IF($O$3="RAB NON MDU","PLN KD",G139*F139)),0)</f>
        <v>4953900</v>
      </c>
      <c r="I139" s="356">
        <f t="shared" ca="1" si="13"/>
        <v>0</v>
      </c>
      <c r="J139" s="356">
        <f t="shared" ca="1" si="14"/>
        <v>0</v>
      </c>
      <c r="K139" s="357">
        <f t="shared" ca="1" si="15"/>
        <v>4953900</v>
      </c>
      <c r="L139" s="362"/>
      <c r="M139" s="362"/>
      <c r="N139" s="362"/>
      <c r="O139" s="358"/>
      <c r="P139" s="358"/>
      <c r="Q139" s="341"/>
      <c r="R139" s="333"/>
      <c r="S139" s="359"/>
      <c r="T139" s="338"/>
      <c r="U139" s="338"/>
      <c r="V139" s="338"/>
    </row>
    <row r="140" spans="1:22" s="363" customFormat="1">
      <c r="A140" s="333"/>
      <c r="B140" s="501">
        <v>2</v>
      </c>
      <c r="C140" s="499" t="s">
        <v>170</v>
      </c>
      <c r="D140" s="353" t="str">
        <f ca="1">IF(ISERROR(OFFSET('HARGA SATUAN'!$D$6,MATCH(RAB!C140,'HARGA SATUAN'!$C$7:$C$1492,0),0)),"",OFFSET('HARGA SATUAN'!$D$6,MATCH(RAB!C140,'HARGA SATUAN'!$C$7:$C$1492,0),0))</f>
        <v>HDW</v>
      </c>
      <c r="E140" s="354" t="str">
        <f ca="1">IF(B140="+","Unit",IF(ISERROR(OFFSET('HARGA SATUAN'!$E$6,MATCH(RAB!C140,'HARGA SATUAN'!$C$7:$C$1492,0),0)),"",OFFSET('HARGA SATUAN'!$E$6,MATCH(RAB!C140,'HARGA SATUAN'!$C$7:$C$1492,0),0)))</f>
        <v>Bh</v>
      </c>
      <c r="F140" s="502">
        <f>F138*1</f>
        <v>7</v>
      </c>
      <c r="G140" s="355">
        <f ca="1">IF(ISERROR(OFFSET('HARGA SATUAN'!$I$6,MATCH(RAB!C140,'HARGA SATUAN'!$C$7:$C$1492,0),0)),0,OFFSET('HARGA SATUAN'!$I$6,MATCH(RAB!C140,'HARGA SATUAN'!$C$7:$C$1492,0),0))</f>
        <v>33600</v>
      </c>
      <c r="H140" s="356">
        <f t="shared" ca="1" si="12"/>
        <v>0</v>
      </c>
      <c r="I140" s="356">
        <f t="shared" ca="1" si="13"/>
        <v>235200</v>
      </c>
      <c r="J140" s="356">
        <f t="shared" ca="1" si="14"/>
        <v>0</v>
      </c>
      <c r="K140" s="357">
        <f t="shared" ca="1" si="15"/>
        <v>235200</v>
      </c>
      <c r="L140" s="362"/>
      <c r="M140" s="362"/>
      <c r="N140" s="362"/>
      <c r="O140" s="358"/>
      <c r="P140" s="358"/>
      <c r="Q140" s="341"/>
      <c r="R140" s="333"/>
      <c r="S140" s="359"/>
      <c r="T140" s="338"/>
      <c r="U140" s="338"/>
      <c r="V140" s="338"/>
    </row>
    <row r="141" spans="1:22" s="363" customFormat="1">
      <c r="A141" s="333"/>
      <c r="B141" s="501">
        <v>3</v>
      </c>
      <c r="C141" s="499" t="s">
        <v>163</v>
      </c>
      <c r="D141" s="353" t="str">
        <f ca="1">IF(ISERROR(OFFSET('HARGA SATUAN'!$D$6,MATCH(RAB!C141,'HARGA SATUAN'!$C$7:$C$1492,0),0)),"",OFFSET('HARGA SATUAN'!$D$6,MATCH(RAB!C141,'HARGA SATUAN'!$C$7:$C$1492,0),0))</f>
        <v>HDW</v>
      </c>
      <c r="E141" s="354" t="str">
        <f ca="1">IF(B141="+","Unit",IF(ISERROR(OFFSET('HARGA SATUAN'!$E$6,MATCH(RAB!C141,'HARGA SATUAN'!$C$7:$C$1492,0),0)),"",OFFSET('HARGA SATUAN'!$E$6,MATCH(RAB!C141,'HARGA SATUAN'!$C$7:$C$1492,0),0)))</f>
        <v>Bh</v>
      </c>
      <c r="F141" s="502">
        <f>F138*1</f>
        <v>7</v>
      </c>
      <c r="G141" s="355">
        <f ca="1">IF(ISERROR(OFFSET('HARGA SATUAN'!$I$6,MATCH(RAB!C141,'HARGA SATUAN'!$C$7:$C$1492,0),0)),0,OFFSET('HARGA SATUAN'!$I$6,MATCH(RAB!C141,'HARGA SATUAN'!$C$7:$C$1492,0),0))</f>
        <v>7938</v>
      </c>
      <c r="H141" s="356">
        <f t="shared" ca="1" si="12"/>
        <v>0</v>
      </c>
      <c r="I141" s="356">
        <f t="shared" ca="1" si="13"/>
        <v>55566</v>
      </c>
      <c r="J141" s="356">
        <f t="shared" ca="1" si="14"/>
        <v>0</v>
      </c>
      <c r="K141" s="357">
        <f t="shared" ca="1" si="15"/>
        <v>55566</v>
      </c>
      <c r="L141" s="362"/>
      <c r="M141" s="362"/>
      <c r="N141" s="362"/>
      <c r="O141" s="358"/>
      <c r="P141" s="358"/>
      <c r="Q141" s="341"/>
      <c r="R141" s="333"/>
      <c r="S141" s="359"/>
      <c r="T141" s="338"/>
      <c r="U141" s="338"/>
      <c r="V141" s="338"/>
    </row>
    <row r="142" spans="1:22" s="363" customFormat="1">
      <c r="A142" s="333"/>
      <c r="B142" s="501">
        <v>4</v>
      </c>
      <c r="C142" s="499" t="s">
        <v>28</v>
      </c>
      <c r="D142" s="353" t="str">
        <f ca="1">IF(ISERROR(OFFSET('HARGA SATUAN'!$D$6,MATCH(RAB!C142,'HARGA SATUAN'!$C$7:$C$1492,0),0)),"",OFFSET('HARGA SATUAN'!$D$6,MATCH(RAB!C142,'HARGA SATUAN'!$C$7:$C$1492,0),0))</f>
        <v>HDW</v>
      </c>
      <c r="E142" s="354" t="str">
        <f ca="1">IF(B142="+","Unit",IF(ISERROR(OFFSET('HARGA SATUAN'!$E$6,MATCH(RAB!C142,'HARGA SATUAN'!$C$7:$C$1492,0),0)),"",OFFSET('HARGA SATUAN'!$E$6,MATCH(RAB!C142,'HARGA SATUAN'!$C$7:$C$1492,0),0)))</f>
        <v>Bh</v>
      </c>
      <c r="F142" s="502">
        <f>F138*1</f>
        <v>7</v>
      </c>
      <c r="G142" s="355">
        <f ca="1">IF(ISERROR(OFFSET('HARGA SATUAN'!$I$6,MATCH(RAB!C142,'HARGA SATUAN'!$C$7:$C$1492,0),0)),0,OFFSET('HARGA SATUAN'!$I$6,MATCH(RAB!C142,'HARGA SATUAN'!$C$7:$C$1492,0),0))</f>
        <v>26500</v>
      </c>
      <c r="H142" s="356">
        <f t="shared" ca="1" si="12"/>
        <v>0</v>
      </c>
      <c r="I142" s="356">
        <f t="shared" ca="1" si="13"/>
        <v>185500</v>
      </c>
      <c r="J142" s="356">
        <f t="shared" ca="1" si="14"/>
        <v>0</v>
      </c>
      <c r="K142" s="357">
        <f t="shared" ca="1" si="15"/>
        <v>185500</v>
      </c>
      <c r="L142" s="362"/>
      <c r="M142" s="362"/>
      <c r="N142" s="362"/>
      <c r="O142" s="358"/>
      <c r="P142" s="358"/>
      <c r="Q142" s="341"/>
      <c r="R142" s="333"/>
      <c r="S142" s="359"/>
      <c r="T142" s="338"/>
      <c r="U142" s="338"/>
      <c r="V142" s="338"/>
    </row>
    <row r="143" spans="1:22" s="363" customFormat="1">
      <c r="A143" s="333"/>
      <c r="B143" s="501">
        <v>5</v>
      </c>
      <c r="C143" s="499" t="s">
        <v>175</v>
      </c>
      <c r="D143" s="353" t="str">
        <f ca="1">IF(ISERROR(OFFSET('HARGA SATUAN'!$D$6,MATCH(RAB!C143,'HARGA SATUAN'!$C$7:$C$1492,0),0)),"",OFFSET('HARGA SATUAN'!$D$6,MATCH(RAB!C143,'HARGA SATUAN'!$C$7:$C$1492,0),0))</f>
        <v>HDW</v>
      </c>
      <c r="E143" s="354" t="str">
        <f ca="1">IF(B143="+","Unit",IF(ISERROR(OFFSET('HARGA SATUAN'!$E$6,MATCH(RAB!C143,'HARGA SATUAN'!$C$7:$C$1492,0),0)),"",OFFSET('HARGA SATUAN'!$E$6,MATCH(RAB!C143,'HARGA SATUAN'!$C$7:$C$1492,0),0)))</f>
        <v>Bh</v>
      </c>
      <c r="F143" s="502">
        <f>F138*1</f>
        <v>7</v>
      </c>
      <c r="G143" s="355">
        <f ca="1">IF(ISERROR(OFFSET('HARGA SATUAN'!$I$6,MATCH(RAB!C143,'HARGA SATUAN'!$C$7:$C$1492,0),0)),0,OFFSET('HARGA SATUAN'!$I$6,MATCH(RAB!C143,'HARGA SATUAN'!$C$7:$C$1492,0),0))</f>
        <v>13100</v>
      </c>
      <c r="H143" s="356">
        <f t="shared" ca="1" si="12"/>
        <v>0</v>
      </c>
      <c r="I143" s="356">
        <f t="shared" ca="1" si="13"/>
        <v>91700</v>
      </c>
      <c r="J143" s="356">
        <f t="shared" ca="1" si="14"/>
        <v>0</v>
      </c>
      <c r="K143" s="357">
        <f t="shared" ca="1" si="15"/>
        <v>91700</v>
      </c>
      <c r="L143" s="362"/>
      <c r="M143" s="362"/>
      <c r="N143" s="362"/>
      <c r="O143" s="358"/>
      <c r="P143" s="358"/>
      <c r="Q143" s="341"/>
      <c r="R143" s="333"/>
      <c r="S143" s="359"/>
      <c r="T143" s="338"/>
      <c r="U143" s="338"/>
      <c r="V143" s="338"/>
    </row>
    <row r="144" spans="1:22" s="363" customFormat="1">
      <c r="A144" s="333"/>
      <c r="B144" s="501">
        <v>6</v>
      </c>
      <c r="C144" s="499" t="s">
        <v>594</v>
      </c>
      <c r="D144" s="353" t="str">
        <f ca="1">IF(ISERROR(OFFSET('HARGA SATUAN'!$D$6,MATCH(RAB!C144,'HARGA SATUAN'!$C$7:$C$1492,0),0)),"",OFFSET('HARGA SATUAN'!$D$6,MATCH(RAB!C144,'HARGA SATUAN'!$C$7:$C$1492,0),0))</f>
        <v>HDW</v>
      </c>
      <c r="E144" s="354" t="str">
        <f ca="1">IF(B144="+","Unit",IF(ISERROR(OFFSET('HARGA SATUAN'!$E$6,MATCH(RAB!C144,'HARGA SATUAN'!$C$7:$C$1492,0),0)),"",OFFSET('HARGA SATUAN'!$E$6,MATCH(RAB!C144,'HARGA SATUAN'!$C$7:$C$1492,0),0)))</f>
        <v>Bh</v>
      </c>
      <c r="F144" s="502">
        <f>F138*1</f>
        <v>7</v>
      </c>
      <c r="G144" s="355">
        <f ca="1">IF(ISERROR(OFFSET('HARGA SATUAN'!$I$6,MATCH(RAB!C144,'HARGA SATUAN'!$C$7:$C$1492,0),0)),0,OFFSET('HARGA SATUAN'!$I$6,MATCH(RAB!C144,'HARGA SATUAN'!$C$7:$C$1492,0),0))</f>
        <v>559200</v>
      </c>
      <c r="H144" s="356">
        <f t="shared" ca="1" si="12"/>
        <v>0</v>
      </c>
      <c r="I144" s="356">
        <f t="shared" ca="1" si="13"/>
        <v>3914400</v>
      </c>
      <c r="J144" s="356">
        <f t="shared" ca="1" si="14"/>
        <v>0</v>
      </c>
      <c r="K144" s="357">
        <f t="shared" ca="1" si="15"/>
        <v>3914400</v>
      </c>
      <c r="L144" s="362"/>
      <c r="M144" s="362"/>
      <c r="N144" s="362"/>
      <c r="O144" s="358"/>
      <c r="P144" s="358"/>
      <c r="Q144" s="341"/>
      <c r="R144" s="333"/>
      <c r="S144" s="359"/>
      <c r="T144" s="338"/>
      <c r="U144" s="338"/>
      <c r="V144" s="338"/>
    </row>
    <row r="145" spans="1:22" s="363" customFormat="1">
      <c r="A145" s="333"/>
      <c r="B145" s="501">
        <v>7</v>
      </c>
      <c r="C145" s="499" t="s">
        <v>217</v>
      </c>
      <c r="D145" s="353" t="str">
        <f ca="1">IF(ISERROR(OFFSET('HARGA SATUAN'!$D$6,MATCH(RAB!C145,'HARGA SATUAN'!$C$7:$C$1492,0),0)),"",OFFSET('HARGA SATUAN'!$D$6,MATCH(RAB!C145,'HARGA SATUAN'!$C$7:$C$1492,0),0))</f>
        <v>HDW</v>
      </c>
      <c r="E145" s="354" t="str">
        <f ca="1">IF(B145="+","Unit",IF(ISERROR(OFFSET('HARGA SATUAN'!$E$6,MATCH(RAB!C145,'HARGA SATUAN'!$C$7:$C$1492,0),0)),"",OFFSET('HARGA SATUAN'!$E$6,MATCH(RAB!C145,'HARGA SATUAN'!$C$7:$C$1492,0),0)))</f>
        <v>Bh</v>
      </c>
      <c r="F145" s="502">
        <f>F138*1</f>
        <v>7</v>
      </c>
      <c r="G145" s="355">
        <f ca="1">IF(ISERROR(OFFSET('HARGA SATUAN'!$I$6,MATCH(RAB!C145,'HARGA SATUAN'!$C$7:$C$1492,0),0)),0,OFFSET('HARGA SATUAN'!$I$6,MATCH(RAB!C145,'HARGA SATUAN'!$C$7:$C$1492,0),0))</f>
        <v>11400</v>
      </c>
      <c r="H145" s="356">
        <f t="shared" ca="1" si="12"/>
        <v>0</v>
      </c>
      <c r="I145" s="356">
        <f t="shared" ca="1" si="13"/>
        <v>79800</v>
      </c>
      <c r="J145" s="356">
        <f t="shared" ca="1" si="14"/>
        <v>0</v>
      </c>
      <c r="K145" s="357">
        <f t="shared" ca="1" si="15"/>
        <v>79800</v>
      </c>
      <c r="L145" s="362"/>
      <c r="M145" s="362"/>
      <c r="N145" s="362"/>
      <c r="O145" s="358"/>
      <c r="P145" s="358"/>
      <c r="Q145" s="341"/>
      <c r="R145" s="333"/>
      <c r="S145" s="359"/>
      <c r="T145" s="338"/>
      <c r="U145" s="338"/>
      <c r="V145" s="338"/>
    </row>
    <row r="146" spans="1:22" s="363" customFormat="1">
      <c r="A146" s="333"/>
      <c r="B146" s="501">
        <v>8</v>
      </c>
      <c r="C146" s="499" t="s">
        <v>247</v>
      </c>
      <c r="D146" s="353" t="str">
        <f ca="1">IF(ISERROR(OFFSET('HARGA SATUAN'!$D$6,MATCH(RAB!C146,'HARGA SATUAN'!$C$7:$C$1492,0),0)),"",OFFSET('HARGA SATUAN'!$D$6,MATCH(RAB!C146,'HARGA SATUAN'!$C$7:$C$1492,0),0))</f>
        <v>HDW</v>
      </c>
      <c r="E146" s="354" t="str">
        <f ca="1">IF(B146="+","Unit",IF(ISERROR(OFFSET('HARGA SATUAN'!$E$6,MATCH(RAB!C146,'HARGA SATUAN'!$C$7:$C$1492,0),0)),"",OFFSET('HARGA SATUAN'!$E$6,MATCH(RAB!C146,'HARGA SATUAN'!$C$7:$C$1492,0),0)))</f>
        <v>Bh</v>
      </c>
      <c r="F146" s="502">
        <f>F138*2</f>
        <v>14</v>
      </c>
      <c r="G146" s="355">
        <f ca="1">IF(ISERROR(OFFSET('HARGA SATUAN'!$I$6,MATCH(RAB!C146,'HARGA SATUAN'!$C$7:$C$1492,0),0)),0,OFFSET('HARGA SATUAN'!$I$6,MATCH(RAB!C146,'HARGA SATUAN'!$C$7:$C$1492,0),0))</f>
        <v>57690</v>
      </c>
      <c r="H146" s="356">
        <f t="shared" ca="1" si="12"/>
        <v>0</v>
      </c>
      <c r="I146" s="356">
        <f t="shared" ca="1" si="13"/>
        <v>807660</v>
      </c>
      <c r="J146" s="356">
        <f t="shared" ca="1" si="14"/>
        <v>0</v>
      </c>
      <c r="K146" s="357">
        <f t="shared" ca="1" si="15"/>
        <v>807660</v>
      </c>
      <c r="L146" s="362"/>
      <c r="M146" s="362"/>
      <c r="N146" s="362"/>
      <c r="O146" s="358"/>
      <c r="P146" s="358"/>
      <c r="Q146" s="341"/>
      <c r="R146" s="333"/>
      <c r="S146" s="359"/>
      <c r="T146" s="338"/>
      <c r="U146" s="338"/>
      <c r="V146" s="338"/>
    </row>
    <row r="147" spans="1:22" s="363" customFormat="1">
      <c r="A147" s="333"/>
      <c r="B147" s="501">
        <v>9</v>
      </c>
      <c r="C147" s="499" t="s">
        <v>264</v>
      </c>
      <c r="D147" s="353" t="str">
        <f ca="1">IF(ISERROR(OFFSET('HARGA SATUAN'!$D$6,MATCH(RAB!C147,'HARGA SATUAN'!$C$7:$C$1492,0),0)),"",OFFSET('HARGA SATUAN'!$D$6,MATCH(RAB!C147,'HARGA SATUAN'!$C$7:$C$1492,0),0))</f>
        <v>HDW</v>
      </c>
      <c r="E147" s="354" t="str">
        <f ca="1">IF(B147="+","Unit",IF(ISERROR(OFFSET('HARGA SATUAN'!$E$6,MATCH(RAB!C147,'HARGA SATUAN'!$C$7:$C$1492,0),0)),"",OFFSET('HARGA SATUAN'!$E$6,MATCH(RAB!C147,'HARGA SATUAN'!$C$7:$C$1492,0),0)))</f>
        <v>Bh</v>
      </c>
      <c r="F147" s="502">
        <f>F138*1</f>
        <v>7</v>
      </c>
      <c r="G147" s="355">
        <f ca="1">IF(ISERROR(OFFSET('HARGA SATUAN'!$I$6,MATCH(RAB!C147,'HARGA SATUAN'!$C$7:$C$1492,0),0)),0,OFFSET('HARGA SATUAN'!$I$6,MATCH(RAB!C147,'HARGA SATUAN'!$C$7:$C$1492,0),0))</f>
        <v>28000</v>
      </c>
      <c r="H147" s="356">
        <f t="shared" ca="1" si="12"/>
        <v>0</v>
      </c>
      <c r="I147" s="356">
        <f t="shared" ca="1" si="13"/>
        <v>196000</v>
      </c>
      <c r="J147" s="356">
        <f t="shared" ca="1" si="14"/>
        <v>0</v>
      </c>
      <c r="K147" s="357">
        <f t="shared" ca="1" si="15"/>
        <v>196000</v>
      </c>
      <c r="L147" s="362"/>
      <c r="M147" s="362"/>
      <c r="N147" s="362"/>
      <c r="O147" s="358"/>
      <c r="P147" s="358"/>
      <c r="Q147" s="341"/>
      <c r="R147" s="333"/>
      <c r="S147" s="359"/>
      <c r="T147" s="338"/>
      <c r="U147" s="338"/>
      <c r="V147" s="338"/>
    </row>
    <row r="148" spans="1:22" s="363" customFormat="1">
      <c r="A148" s="333"/>
      <c r="B148" s="501">
        <v>10</v>
      </c>
      <c r="C148" s="499" t="s">
        <v>607</v>
      </c>
      <c r="D148" s="353" t="str">
        <f ca="1">IF(ISERROR(OFFSET('HARGA SATUAN'!$D$6,MATCH(RAB!C148,'HARGA SATUAN'!$C$7:$C$1492,0),0)),"",OFFSET('HARGA SATUAN'!$D$6,MATCH(RAB!C148,'HARGA SATUAN'!$C$7:$C$1492,0),0))</f>
        <v>HDW</v>
      </c>
      <c r="E148" s="354" t="str">
        <f ca="1">IF(B148="+","Unit",IF(ISERROR(OFFSET('HARGA SATUAN'!$E$6,MATCH(RAB!C148,'HARGA SATUAN'!$C$7:$C$1492,0),0)),"",OFFSET('HARGA SATUAN'!$E$6,MATCH(RAB!C148,'HARGA SATUAN'!$C$7:$C$1492,0),0)))</f>
        <v>Bh</v>
      </c>
      <c r="F148" s="502">
        <f>F138*1</f>
        <v>7</v>
      </c>
      <c r="G148" s="355">
        <f ca="1">IF(ISERROR(OFFSET('HARGA SATUAN'!$I$6,MATCH(RAB!C148,'HARGA SATUAN'!$C$7:$C$1492,0),0)),0,OFFSET('HARGA SATUAN'!$I$6,MATCH(RAB!C148,'HARGA SATUAN'!$C$7:$C$1492,0),0))</f>
        <v>250000</v>
      </c>
      <c r="H148" s="356">
        <f t="shared" ca="1" si="12"/>
        <v>0</v>
      </c>
      <c r="I148" s="356">
        <f t="shared" ca="1" si="13"/>
        <v>1750000</v>
      </c>
      <c r="J148" s="356">
        <f t="shared" ca="1" si="14"/>
        <v>0</v>
      </c>
      <c r="K148" s="357">
        <f t="shared" ca="1" si="15"/>
        <v>1750000</v>
      </c>
      <c r="L148" s="362"/>
      <c r="M148" s="362"/>
      <c r="N148" s="362"/>
      <c r="O148" s="358"/>
      <c r="P148" s="358"/>
      <c r="Q148" s="341"/>
      <c r="R148" s="333"/>
      <c r="S148" s="359"/>
      <c r="T148" s="338"/>
      <c r="U148" s="338"/>
      <c r="V148" s="338"/>
    </row>
    <row r="149" spans="1:22" s="363" customFormat="1">
      <c r="A149" s="333"/>
      <c r="B149" s="501">
        <v>11</v>
      </c>
      <c r="C149" s="499" t="s">
        <v>38</v>
      </c>
      <c r="D149" s="353" t="str">
        <f ca="1">IF(ISERROR(OFFSET('HARGA SATUAN'!$D$6,MATCH(RAB!C149,'HARGA SATUAN'!$C$7:$C$1492,0),0)),"",OFFSET('HARGA SATUAN'!$D$6,MATCH(RAB!C149,'HARGA SATUAN'!$C$7:$C$1492,0),0))</f>
        <v>HDW</v>
      </c>
      <c r="E149" s="354" t="str">
        <f ca="1">IF(B149="+","Unit",IF(ISERROR(OFFSET('HARGA SATUAN'!$E$6,MATCH(RAB!C149,'HARGA SATUAN'!$C$7:$C$1492,0),0)),"",OFFSET('HARGA SATUAN'!$E$6,MATCH(RAB!C149,'HARGA SATUAN'!$C$7:$C$1492,0),0)))</f>
        <v>Mtr</v>
      </c>
      <c r="F149" s="502">
        <f>6.2*F138</f>
        <v>43.4</v>
      </c>
      <c r="G149" s="355">
        <f ca="1">IF(ISERROR(OFFSET('HARGA SATUAN'!$I$6,MATCH(RAB!C149,'HARGA SATUAN'!$C$7:$C$1492,0),0)),0,OFFSET('HARGA SATUAN'!$I$6,MATCH(RAB!C149,'HARGA SATUAN'!$C$7:$C$1492,0),0))</f>
        <v>8550</v>
      </c>
      <c r="H149" s="356">
        <f t="shared" ca="1" si="12"/>
        <v>0</v>
      </c>
      <c r="I149" s="356">
        <f t="shared" ca="1" si="13"/>
        <v>371070</v>
      </c>
      <c r="J149" s="356">
        <f t="shared" ca="1" si="14"/>
        <v>0</v>
      </c>
      <c r="K149" s="357">
        <f t="shared" ca="1" si="15"/>
        <v>371070</v>
      </c>
      <c r="L149" s="362"/>
      <c r="M149" s="362"/>
      <c r="N149" s="362"/>
      <c r="O149" s="358"/>
      <c r="P149" s="358"/>
      <c r="Q149" s="341"/>
      <c r="R149" s="333"/>
      <c r="S149" s="359"/>
      <c r="T149" s="338"/>
      <c r="U149" s="338"/>
      <c r="V149" s="338"/>
    </row>
    <row r="150" spans="1:22" s="363" customFormat="1">
      <c r="A150" s="333"/>
      <c r="B150" s="501">
        <v>12</v>
      </c>
      <c r="C150" s="499" t="s">
        <v>26</v>
      </c>
      <c r="D150" s="353" t="str">
        <f ca="1">IF(ISERROR(OFFSET('HARGA SATUAN'!$D$6,MATCH(RAB!C150,'HARGA SATUAN'!$C$7:$C$1492,0),0)),"",OFFSET('HARGA SATUAN'!$D$6,MATCH(RAB!C150,'HARGA SATUAN'!$C$7:$C$1492,0),0))</f>
        <v>HDW</v>
      </c>
      <c r="E150" s="354" t="str">
        <f ca="1">IF(B150="+","Unit",IF(ISERROR(OFFSET('HARGA SATUAN'!$E$6,MATCH(RAB!C150,'HARGA SATUAN'!$C$7:$C$1492,0),0)),"",OFFSET('HARGA SATUAN'!$E$6,MATCH(RAB!C150,'HARGA SATUAN'!$C$7:$C$1492,0),0)))</f>
        <v>Bh</v>
      </c>
      <c r="F150" s="502">
        <f>F138*2</f>
        <v>14</v>
      </c>
      <c r="G150" s="355">
        <f ca="1">IF(ISERROR(OFFSET('HARGA SATUAN'!$I$6,MATCH(RAB!C150,'HARGA SATUAN'!$C$7:$C$1492,0),0)),0,OFFSET('HARGA SATUAN'!$I$6,MATCH(RAB!C150,'HARGA SATUAN'!$C$7:$C$1492,0),0))</f>
        <v>2500</v>
      </c>
      <c r="H150" s="356">
        <f t="shared" ca="1" si="12"/>
        <v>0</v>
      </c>
      <c r="I150" s="356">
        <f t="shared" ca="1" si="13"/>
        <v>35000</v>
      </c>
      <c r="J150" s="356">
        <f t="shared" ca="1" si="14"/>
        <v>0</v>
      </c>
      <c r="K150" s="357">
        <f t="shared" ca="1" si="15"/>
        <v>35000</v>
      </c>
      <c r="L150" s="362"/>
      <c r="M150" s="362"/>
      <c r="N150" s="362"/>
      <c r="O150" s="358"/>
      <c r="P150" s="358"/>
      <c r="Q150" s="341"/>
      <c r="R150" s="333"/>
      <c r="S150" s="359"/>
      <c r="T150" s="338"/>
      <c r="U150" s="338"/>
      <c r="V150" s="338"/>
    </row>
    <row r="151" spans="1:22" s="363" customFormat="1">
      <c r="A151" s="333"/>
      <c r="B151" s="501">
        <v>13</v>
      </c>
      <c r="C151" s="497" t="s">
        <v>716</v>
      </c>
      <c r="D151" s="353" t="str">
        <f ca="1">IF(ISERROR(OFFSET('HARGA SATUAN'!$D$6,MATCH(RAB!C151,'HARGA SATUAN'!$C$7:$C$1492,0),0)),"",OFFSET('HARGA SATUAN'!$D$6,MATCH(RAB!C151,'HARGA SATUAN'!$C$7:$C$1492,0),0))</f>
        <v>JASA</v>
      </c>
      <c r="E151" s="354" t="str">
        <f ca="1">IF(B151="+","Unit",IF(ISERROR(OFFSET('HARGA SATUAN'!$E$6,MATCH(RAB!C151,'HARGA SATUAN'!$C$7:$C$1492,0),0)),"",OFFSET('HARGA SATUAN'!$E$6,MATCH(RAB!C151,'HARGA SATUAN'!$C$7:$C$1492,0),0)))</f>
        <v>Unit</v>
      </c>
      <c r="F151" s="502">
        <f>F138*1</f>
        <v>7</v>
      </c>
      <c r="G151" s="355">
        <f ca="1">IF(ISERROR(OFFSET('HARGA SATUAN'!$I$6,MATCH(RAB!C151,'HARGA SATUAN'!$C$7:$C$1492,0),0)),0,OFFSET('HARGA SATUAN'!$I$6,MATCH(RAB!C151,'HARGA SATUAN'!$C$7:$C$1492,0),0))</f>
        <v>134800</v>
      </c>
      <c r="H151" s="356">
        <f t="shared" ca="1" si="12"/>
        <v>0</v>
      </c>
      <c r="I151" s="356">
        <f t="shared" ca="1" si="13"/>
        <v>0</v>
      </c>
      <c r="J151" s="356">
        <f t="shared" ca="1" si="14"/>
        <v>943600</v>
      </c>
      <c r="K151" s="357">
        <f t="shared" ca="1" si="15"/>
        <v>943600</v>
      </c>
      <c r="L151" s="362"/>
      <c r="M151" s="362"/>
      <c r="N151" s="362"/>
      <c r="O151" s="358"/>
      <c r="P151" s="358"/>
      <c r="Q151" s="341"/>
      <c r="R151" s="333"/>
      <c r="S151" s="359"/>
      <c r="T151" s="338"/>
      <c r="U151" s="338"/>
      <c r="V151" s="338"/>
    </row>
    <row r="152" spans="1:22" s="363" customFormat="1">
      <c r="A152" s="333"/>
      <c r="B152" s="483"/>
      <c r="C152" s="109"/>
      <c r="D152" s="353" t="str">
        <f ca="1">IF(ISERROR(OFFSET('HARGA SATUAN'!$D$6,MATCH(RAB!C152,'HARGA SATUAN'!$C$7:$C$1492,0),0)),"",OFFSET('HARGA SATUAN'!$D$6,MATCH(RAB!C152,'HARGA SATUAN'!$C$7:$C$1492,0),0))</f>
        <v/>
      </c>
      <c r="E152" s="354" t="str">
        <f ca="1">IF(B152="+","Unit",IF(ISERROR(OFFSET('HARGA SATUAN'!$E$6,MATCH(RAB!C152,'HARGA SATUAN'!$C$7:$C$1492,0),0)),"",OFFSET('HARGA SATUAN'!$E$6,MATCH(RAB!C152,'HARGA SATUAN'!$C$7:$C$1492,0),0)))</f>
        <v/>
      </c>
      <c r="F152" s="361"/>
      <c r="G152" s="355">
        <f ca="1">IF(ISERROR(OFFSET('HARGA SATUAN'!$I$6,MATCH(RAB!C152,'HARGA SATUAN'!$C$7:$C$1492,0),0)),0,OFFSET('HARGA SATUAN'!$I$6,MATCH(RAB!C152,'HARGA SATUAN'!$C$7:$C$1492,0),0))</f>
        <v>0</v>
      </c>
      <c r="H152" s="356">
        <f t="shared" ca="1" si="12"/>
        <v>0</v>
      </c>
      <c r="I152" s="356">
        <f t="shared" ca="1" si="13"/>
        <v>0</v>
      </c>
      <c r="J152" s="356">
        <f t="shared" ca="1" si="14"/>
        <v>0</v>
      </c>
      <c r="K152" s="357">
        <f t="shared" ca="1" si="15"/>
        <v>0</v>
      </c>
      <c r="L152" s="362"/>
      <c r="M152" s="362"/>
      <c r="N152" s="362"/>
      <c r="O152" s="358"/>
      <c r="P152" s="358"/>
      <c r="Q152" s="341"/>
      <c r="R152" s="333"/>
      <c r="S152" s="359"/>
      <c r="T152" s="338"/>
      <c r="U152" s="338"/>
      <c r="V152" s="338"/>
    </row>
    <row r="153" spans="1:22" s="363" customFormat="1">
      <c r="A153" s="333"/>
      <c r="B153" s="496" t="s">
        <v>1035</v>
      </c>
      <c r="C153" s="497" t="s">
        <v>1638</v>
      </c>
      <c r="D153" s="353" t="str">
        <f ca="1">IF(ISERROR(OFFSET('HARGA SATUAN'!$D$6,MATCH(RAB!C153,'HARGA SATUAN'!$C$7:$C$1492,0),0)),"",OFFSET('HARGA SATUAN'!$D$6,MATCH(RAB!C153,'HARGA SATUAN'!$C$7:$C$1492,0),0))</f>
        <v/>
      </c>
      <c r="E153" s="354" t="str">
        <f ca="1">IF(B153="+","Unit",IF(ISERROR(OFFSET('HARGA SATUAN'!$E$6,MATCH(RAB!C153,'HARGA SATUAN'!$C$7:$C$1492,0),0)),"",OFFSET('HARGA SATUAN'!$E$6,MATCH(RAB!C153,'HARGA SATUAN'!$C$7:$C$1492,0),0)))</f>
        <v>Unit</v>
      </c>
      <c r="F153" s="489">
        <v>29</v>
      </c>
      <c r="G153" s="355">
        <f ca="1">IF(ISERROR(OFFSET('HARGA SATUAN'!$I$6,MATCH(RAB!C153,'HARGA SATUAN'!$C$7:$C$1492,0),0)),0,OFFSET('HARGA SATUAN'!$I$6,MATCH(RAB!C153,'HARGA SATUAN'!$C$7:$C$1492,0),0))</f>
        <v>0</v>
      </c>
      <c r="H153" s="356">
        <f t="shared" ca="1" si="12"/>
        <v>0</v>
      </c>
      <c r="I153" s="356">
        <f t="shared" ca="1" si="13"/>
        <v>0</v>
      </c>
      <c r="J153" s="356">
        <f t="shared" ca="1" si="14"/>
        <v>0</v>
      </c>
      <c r="K153" s="357">
        <f t="shared" ca="1" si="15"/>
        <v>0</v>
      </c>
      <c r="L153" s="362"/>
      <c r="M153" s="362"/>
      <c r="N153" s="362"/>
      <c r="O153" s="358"/>
      <c r="P153" s="358"/>
      <c r="Q153" s="341"/>
      <c r="R153" s="333"/>
      <c r="S153" s="359"/>
      <c r="T153" s="338"/>
      <c r="U153" s="338"/>
      <c r="V153" s="338"/>
    </row>
    <row r="154" spans="1:22" s="363" customFormat="1">
      <c r="A154" s="333"/>
      <c r="B154" s="496">
        <v>1</v>
      </c>
      <c r="C154" s="497" t="s">
        <v>593</v>
      </c>
      <c r="D154" s="353" t="str">
        <f ca="1">IF(ISERROR(OFFSET('HARGA SATUAN'!$D$6,MATCH(RAB!C154,'HARGA SATUAN'!$C$7:$C$1492,0),0)),"",OFFSET('HARGA SATUAN'!$D$6,MATCH(RAB!C154,'HARGA SATUAN'!$C$7:$C$1492,0),0))</f>
        <v>HDW</v>
      </c>
      <c r="E154" s="354" t="str">
        <f ca="1">IF(B154="+","Unit",IF(ISERROR(OFFSET('HARGA SATUAN'!$E$6,MATCH(RAB!C154,'HARGA SATUAN'!$C$7:$C$1492,0),0)),"",OFFSET('HARGA SATUAN'!$E$6,MATCH(RAB!C154,'HARGA SATUAN'!$C$7:$C$1492,0),0)))</f>
        <v>Bh</v>
      </c>
      <c r="F154" s="489">
        <f>F153*2</f>
        <v>58</v>
      </c>
      <c r="G154" s="355">
        <f ca="1">IF(ISERROR(OFFSET('HARGA SATUAN'!$I$6,MATCH(RAB!C154,'HARGA SATUAN'!$C$7:$C$1492,0),0)),0,OFFSET('HARGA SATUAN'!$I$6,MATCH(RAB!C154,'HARGA SATUAN'!$C$7:$C$1492,0),0))</f>
        <v>380500</v>
      </c>
      <c r="H154" s="356">
        <f t="shared" ca="1" si="12"/>
        <v>0</v>
      </c>
      <c r="I154" s="356">
        <f t="shared" ca="1" si="13"/>
        <v>22069000</v>
      </c>
      <c r="J154" s="356">
        <f t="shared" ca="1" si="14"/>
        <v>0</v>
      </c>
      <c r="K154" s="357">
        <f t="shared" ca="1" si="15"/>
        <v>22069000</v>
      </c>
      <c r="L154" s="362"/>
      <c r="M154" s="362"/>
      <c r="N154" s="362"/>
      <c r="O154" s="358"/>
      <c r="P154" s="358"/>
      <c r="Q154" s="341"/>
      <c r="R154" s="333"/>
      <c r="S154" s="359"/>
      <c r="T154" s="338"/>
      <c r="U154" s="338"/>
      <c r="V154" s="338"/>
    </row>
    <row r="155" spans="1:22" s="363" customFormat="1">
      <c r="A155" s="333"/>
      <c r="B155" s="496">
        <v>2</v>
      </c>
      <c r="C155" s="497" t="s">
        <v>28</v>
      </c>
      <c r="D155" s="353" t="str">
        <f ca="1">IF(ISERROR(OFFSET('HARGA SATUAN'!$D$6,MATCH(RAB!C155,'HARGA SATUAN'!$C$7:$C$1492,0),0)),"",OFFSET('HARGA SATUAN'!$D$6,MATCH(RAB!C155,'HARGA SATUAN'!$C$7:$C$1492,0),0))</f>
        <v>HDW</v>
      </c>
      <c r="E155" s="354" t="str">
        <f ca="1">IF(B155="+","Unit",IF(ISERROR(OFFSET('HARGA SATUAN'!$E$6,MATCH(RAB!C155,'HARGA SATUAN'!$C$7:$C$1492,0),0)),"",OFFSET('HARGA SATUAN'!$E$6,MATCH(RAB!C155,'HARGA SATUAN'!$C$7:$C$1492,0),0)))</f>
        <v>Bh</v>
      </c>
      <c r="F155" s="489">
        <f>F153*2</f>
        <v>58</v>
      </c>
      <c r="G155" s="355">
        <f ca="1">IF(ISERROR(OFFSET('HARGA SATUAN'!$I$6,MATCH(RAB!C155,'HARGA SATUAN'!$C$7:$C$1492,0),0)),0,OFFSET('HARGA SATUAN'!$I$6,MATCH(RAB!C155,'HARGA SATUAN'!$C$7:$C$1492,0),0))</f>
        <v>26500</v>
      </c>
      <c r="H155" s="356">
        <f t="shared" ca="1" si="12"/>
        <v>0</v>
      </c>
      <c r="I155" s="356">
        <f t="shared" ca="1" si="13"/>
        <v>1537000</v>
      </c>
      <c r="J155" s="356">
        <f t="shared" ca="1" si="14"/>
        <v>0</v>
      </c>
      <c r="K155" s="357">
        <f t="shared" ca="1" si="15"/>
        <v>1537000</v>
      </c>
      <c r="L155" s="362"/>
      <c r="M155" s="362"/>
      <c r="N155" s="362"/>
      <c r="O155" s="358"/>
      <c r="P155" s="358"/>
      <c r="Q155" s="341"/>
      <c r="R155" s="333"/>
      <c r="S155" s="359"/>
      <c r="T155" s="338"/>
      <c r="U155" s="338"/>
      <c r="V155" s="338"/>
    </row>
    <row r="156" spans="1:22" s="363" customFormat="1">
      <c r="A156" s="333"/>
      <c r="B156" s="496">
        <v>3</v>
      </c>
      <c r="C156" s="497" t="s">
        <v>26</v>
      </c>
      <c r="D156" s="353" t="str">
        <f ca="1">IF(ISERROR(OFFSET('HARGA SATUAN'!$D$6,MATCH(RAB!C156,'HARGA SATUAN'!$C$7:$C$1492,0),0)),"",OFFSET('HARGA SATUAN'!$D$6,MATCH(RAB!C156,'HARGA SATUAN'!$C$7:$C$1492,0),0))</f>
        <v>HDW</v>
      </c>
      <c r="E156" s="354" t="str">
        <f ca="1">IF(B156="+","Unit",IF(ISERROR(OFFSET('HARGA SATUAN'!$E$6,MATCH(RAB!C156,'HARGA SATUAN'!$C$7:$C$1492,0),0)),"",OFFSET('HARGA SATUAN'!$E$6,MATCH(RAB!C156,'HARGA SATUAN'!$C$7:$C$1492,0),0)))</f>
        <v>Bh</v>
      </c>
      <c r="F156" s="489">
        <f>F153*2</f>
        <v>58</v>
      </c>
      <c r="G156" s="355">
        <f ca="1">IF(ISERROR(OFFSET('HARGA SATUAN'!$I$6,MATCH(RAB!C156,'HARGA SATUAN'!$C$7:$C$1492,0),0)),0,OFFSET('HARGA SATUAN'!$I$6,MATCH(RAB!C156,'HARGA SATUAN'!$C$7:$C$1492,0),0))</f>
        <v>2500</v>
      </c>
      <c r="H156" s="356">
        <f t="shared" ca="1" si="12"/>
        <v>0</v>
      </c>
      <c r="I156" s="356">
        <f t="shared" ca="1" si="13"/>
        <v>145000</v>
      </c>
      <c r="J156" s="356">
        <f t="shared" ca="1" si="14"/>
        <v>0</v>
      </c>
      <c r="K156" s="357">
        <f t="shared" ca="1" si="15"/>
        <v>145000</v>
      </c>
      <c r="L156" s="362"/>
      <c r="M156" s="362"/>
      <c r="N156" s="362"/>
      <c r="O156" s="358"/>
      <c r="P156" s="358"/>
      <c r="Q156" s="341"/>
      <c r="R156" s="333"/>
      <c r="S156" s="359"/>
      <c r="T156" s="338"/>
      <c r="U156" s="338"/>
      <c r="V156" s="338"/>
    </row>
    <row r="157" spans="1:22" s="363" customFormat="1">
      <c r="A157" s="333"/>
      <c r="B157" s="496">
        <v>4</v>
      </c>
      <c r="C157" s="497" t="s">
        <v>157</v>
      </c>
      <c r="D157" s="353" t="str">
        <f ca="1">IF(ISERROR(OFFSET('HARGA SATUAN'!$D$6,MATCH(RAB!C157,'HARGA SATUAN'!$C$7:$C$1492,0),0)),"",OFFSET('HARGA SATUAN'!$D$6,MATCH(RAB!C157,'HARGA SATUAN'!$C$7:$C$1492,0),0))</f>
        <v>HDW</v>
      </c>
      <c r="E157" s="354" t="str">
        <f ca="1">IF(B157="+","Unit",IF(ISERROR(OFFSET('HARGA SATUAN'!$E$6,MATCH(RAB!C157,'HARGA SATUAN'!$C$7:$C$1492,0),0)),"",OFFSET('HARGA SATUAN'!$E$6,MATCH(RAB!C157,'HARGA SATUAN'!$C$7:$C$1492,0),0)))</f>
        <v>Bh</v>
      </c>
      <c r="F157" s="489">
        <f>F153*2</f>
        <v>58</v>
      </c>
      <c r="G157" s="355">
        <f ca="1">IF(ISERROR(OFFSET('HARGA SATUAN'!$I$6,MATCH(RAB!C157,'HARGA SATUAN'!$C$7:$C$1492,0),0)),0,OFFSET('HARGA SATUAN'!$I$6,MATCH(RAB!C157,'HARGA SATUAN'!$C$7:$C$1492,0),0))</f>
        <v>40000</v>
      </c>
      <c r="H157" s="356">
        <f t="shared" ref="H157:H228" ca="1" si="16">IF(OR(D157="MDU",D157="MDU-KD"),(IF($O$3="RAB NON MDU","PLN KD",G157*F157)),0)</f>
        <v>0</v>
      </c>
      <c r="I157" s="356">
        <f t="shared" ref="I157:I228" ca="1" si="17">IF(D157="HDW",G157*F157,0)</f>
        <v>2320000</v>
      </c>
      <c r="J157" s="356">
        <f t="shared" ref="J157:J228" ca="1" si="18">IF(D157="JASA",G157*F157,0)</f>
        <v>0</v>
      </c>
      <c r="K157" s="357">
        <f t="shared" ref="K157:K228" ca="1" si="19">SUM(H157:J157)</f>
        <v>2320000</v>
      </c>
      <c r="L157" s="362"/>
      <c r="M157" s="362"/>
      <c r="N157" s="362"/>
      <c r="O157" s="358"/>
      <c r="P157" s="358"/>
      <c r="Q157" s="341"/>
      <c r="R157" s="333"/>
      <c r="S157" s="359"/>
      <c r="T157" s="338"/>
      <c r="U157" s="338"/>
      <c r="V157" s="338"/>
    </row>
    <row r="158" spans="1:22" s="363" customFormat="1">
      <c r="A158" s="333"/>
      <c r="B158" s="496">
        <v>5</v>
      </c>
      <c r="C158" s="497" t="s">
        <v>755</v>
      </c>
      <c r="D158" s="353" t="str">
        <f ca="1">IF(ISERROR(OFFSET('HARGA SATUAN'!$D$6,MATCH(RAB!C158,'HARGA SATUAN'!$C$7:$C$1492,0),0)),"",OFFSET('HARGA SATUAN'!$D$6,MATCH(RAB!C158,'HARGA SATUAN'!$C$7:$C$1492,0),0))</f>
        <v>JASA</v>
      </c>
      <c r="E158" s="354" t="str">
        <f ca="1">IF(B158="+","Unit",IF(ISERROR(OFFSET('HARGA SATUAN'!$E$6,MATCH(RAB!C158,'HARGA SATUAN'!$C$7:$C$1492,0),0)),"",OFFSET('HARGA SATUAN'!$E$6,MATCH(RAB!C158,'HARGA SATUAN'!$C$7:$C$1492,0),0)))</f>
        <v>Unit</v>
      </c>
      <c r="F158" s="489">
        <f>F153*1</f>
        <v>29</v>
      </c>
      <c r="G158" s="355">
        <f ca="1">IF(ISERROR(OFFSET('HARGA SATUAN'!$I$6,MATCH(RAB!C158,'HARGA SATUAN'!$C$7:$C$1492,0),0)),0,OFFSET('HARGA SATUAN'!$I$6,MATCH(RAB!C158,'HARGA SATUAN'!$C$7:$C$1492,0),0))</f>
        <v>69000</v>
      </c>
      <c r="H158" s="356">
        <f t="shared" ca="1" si="16"/>
        <v>0</v>
      </c>
      <c r="I158" s="356">
        <f t="shared" ca="1" si="17"/>
        <v>0</v>
      </c>
      <c r="J158" s="356">
        <f t="shared" ca="1" si="18"/>
        <v>2001000</v>
      </c>
      <c r="K158" s="357">
        <f t="shared" ca="1" si="19"/>
        <v>2001000</v>
      </c>
      <c r="L158" s="362"/>
      <c r="M158" s="362"/>
      <c r="N158" s="362"/>
      <c r="O158" s="358"/>
      <c r="P158" s="358"/>
      <c r="Q158" s="341"/>
      <c r="R158" s="333"/>
      <c r="S158" s="359"/>
      <c r="T158" s="338"/>
      <c r="U158" s="338"/>
      <c r="V158" s="338"/>
    </row>
    <row r="159" spans="1:22" s="363" customFormat="1">
      <c r="A159" s="333"/>
      <c r="B159" s="483"/>
      <c r="C159" s="109"/>
      <c r="D159" s="353" t="str">
        <f ca="1">IF(ISERROR(OFFSET('HARGA SATUAN'!$D$6,MATCH(RAB!C159,'HARGA SATUAN'!$C$7:$C$1492,0),0)),"",OFFSET('HARGA SATUAN'!$D$6,MATCH(RAB!C159,'HARGA SATUAN'!$C$7:$C$1492,0),0))</f>
        <v/>
      </c>
      <c r="E159" s="354" t="str">
        <f ca="1">IF(B159="+","Unit",IF(ISERROR(OFFSET('HARGA SATUAN'!$E$6,MATCH(RAB!C159,'HARGA SATUAN'!$C$7:$C$1492,0),0)),"",OFFSET('HARGA SATUAN'!$E$6,MATCH(RAB!C159,'HARGA SATUAN'!$C$7:$C$1492,0),0)))</f>
        <v/>
      </c>
      <c r="F159" s="361"/>
      <c r="G159" s="355">
        <f ca="1">IF(ISERROR(OFFSET('HARGA SATUAN'!$I$6,MATCH(RAB!C159,'HARGA SATUAN'!$C$7:$C$1492,0),0)),0,OFFSET('HARGA SATUAN'!$I$6,MATCH(RAB!C159,'HARGA SATUAN'!$C$7:$C$1492,0),0))</f>
        <v>0</v>
      </c>
      <c r="H159" s="356">
        <f t="shared" ca="1" si="16"/>
        <v>0</v>
      </c>
      <c r="I159" s="356">
        <f t="shared" ca="1" si="17"/>
        <v>0</v>
      </c>
      <c r="J159" s="356">
        <f t="shared" ca="1" si="18"/>
        <v>0</v>
      </c>
      <c r="K159" s="357">
        <f t="shared" ca="1" si="19"/>
        <v>0</v>
      </c>
      <c r="L159" s="362"/>
      <c r="M159" s="362"/>
      <c r="N159" s="362"/>
      <c r="O159" s="358"/>
      <c r="P159" s="358"/>
      <c r="Q159" s="341"/>
      <c r="R159" s="333"/>
      <c r="S159" s="359"/>
      <c r="T159" s="338"/>
      <c r="U159" s="338"/>
      <c r="V159" s="338"/>
    </row>
    <row r="160" spans="1:22" s="363" customFormat="1">
      <c r="A160" s="333"/>
      <c r="B160" s="496" t="s">
        <v>1035</v>
      </c>
      <c r="C160" s="497" t="s">
        <v>1657</v>
      </c>
      <c r="D160" s="353" t="str">
        <f ca="1">IF(ISERROR(OFFSET('HARGA SATUAN'!$D$6,MATCH(RAB!C160,'HARGA SATUAN'!$C$7:$C$1492,0),0)),"",OFFSET('HARGA SATUAN'!$D$6,MATCH(RAB!C160,'HARGA SATUAN'!$C$7:$C$1492,0),0))</f>
        <v/>
      </c>
      <c r="E160" s="354" t="str">
        <f ca="1">IF(B160="+","Unit",IF(ISERROR(OFFSET('HARGA SATUAN'!$E$6,MATCH(RAB!C160,'HARGA SATUAN'!$C$7:$C$1492,0),0)),"",OFFSET('HARGA SATUAN'!$E$6,MATCH(RAB!C160,'HARGA SATUAN'!$C$7:$C$1492,0),0)))</f>
        <v>Unit</v>
      </c>
      <c r="F160" s="489">
        <v>1</v>
      </c>
      <c r="G160" s="355">
        <f ca="1">IF(ISERROR(OFFSET('HARGA SATUAN'!$I$6,MATCH(RAB!C160,'HARGA SATUAN'!$C$7:$C$1492,0),0)),0,OFFSET('HARGA SATUAN'!$I$6,MATCH(RAB!C160,'HARGA SATUAN'!$C$7:$C$1492,0),0))</f>
        <v>0</v>
      </c>
      <c r="H160" s="356">
        <f t="shared" ca="1" si="16"/>
        <v>0</v>
      </c>
      <c r="I160" s="356">
        <f t="shared" ca="1" si="17"/>
        <v>0</v>
      </c>
      <c r="J160" s="356">
        <f t="shared" ca="1" si="18"/>
        <v>0</v>
      </c>
      <c r="K160" s="357">
        <f t="shared" ca="1" si="19"/>
        <v>0</v>
      </c>
      <c r="L160" s="362"/>
      <c r="M160" s="362"/>
      <c r="N160" s="362"/>
      <c r="O160" s="358"/>
      <c r="P160" s="358"/>
      <c r="Q160" s="341"/>
      <c r="R160" s="333"/>
      <c r="S160" s="359"/>
      <c r="T160" s="338"/>
      <c r="U160" s="338"/>
      <c r="V160" s="338"/>
    </row>
    <row r="161" spans="1:22" s="363" customFormat="1">
      <c r="A161" s="333"/>
      <c r="B161" s="496">
        <v>1</v>
      </c>
      <c r="C161" s="497" t="s">
        <v>593</v>
      </c>
      <c r="D161" s="353" t="str">
        <f ca="1">IF(ISERROR(OFFSET('HARGA SATUAN'!$D$6,MATCH(RAB!C161,'HARGA SATUAN'!$C$7:$C$1492,0),0)),"",OFFSET('HARGA SATUAN'!$D$6,MATCH(RAB!C161,'HARGA SATUAN'!$C$7:$C$1492,0),0))</f>
        <v>HDW</v>
      </c>
      <c r="E161" s="354" t="str">
        <f ca="1">IF(B161="+","Unit",IF(ISERROR(OFFSET('HARGA SATUAN'!$E$6,MATCH(RAB!C161,'HARGA SATUAN'!$C$7:$C$1492,0),0)),"",OFFSET('HARGA SATUAN'!$E$6,MATCH(RAB!C161,'HARGA SATUAN'!$C$7:$C$1492,0),0)))</f>
        <v>Bh</v>
      </c>
      <c r="F161" s="489">
        <f>F160*2</f>
        <v>2</v>
      </c>
      <c r="G161" s="355">
        <f ca="1">IF(ISERROR(OFFSET('HARGA SATUAN'!$I$6,MATCH(RAB!C161,'HARGA SATUAN'!$C$7:$C$1492,0),0)),0,OFFSET('HARGA SATUAN'!$I$6,MATCH(RAB!C161,'HARGA SATUAN'!$C$7:$C$1492,0),0))</f>
        <v>380500</v>
      </c>
      <c r="H161" s="356">
        <f t="shared" ca="1" si="16"/>
        <v>0</v>
      </c>
      <c r="I161" s="356">
        <f t="shared" ca="1" si="17"/>
        <v>761000</v>
      </c>
      <c r="J161" s="356">
        <f t="shared" ca="1" si="18"/>
        <v>0</v>
      </c>
      <c r="K161" s="357">
        <f t="shared" ca="1" si="19"/>
        <v>761000</v>
      </c>
      <c r="L161" s="362"/>
      <c r="M161" s="362"/>
      <c r="N161" s="362"/>
      <c r="O161" s="358"/>
      <c r="P161" s="358"/>
      <c r="Q161" s="341"/>
      <c r="R161" s="333"/>
      <c r="S161" s="359"/>
      <c r="T161" s="338"/>
      <c r="U161" s="338"/>
      <c r="V161" s="338"/>
    </row>
    <row r="162" spans="1:22" s="363" customFormat="1">
      <c r="A162" s="333"/>
      <c r="B162" s="496">
        <v>2</v>
      </c>
      <c r="C162" s="497" t="s">
        <v>37</v>
      </c>
      <c r="D162" s="353" t="str">
        <f ca="1">IF(ISERROR(OFFSET('HARGA SATUAN'!$D$6,MATCH(RAB!C162,'HARGA SATUAN'!$C$7:$C$1492,0),0)),"",OFFSET('HARGA SATUAN'!$D$6,MATCH(RAB!C162,'HARGA SATUAN'!$C$7:$C$1492,0),0))</f>
        <v>HDW</v>
      </c>
      <c r="E162" s="354" t="str">
        <f ca="1">IF(B162="+","Unit",IF(ISERROR(OFFSET('HARGA SATUAN'!$E$6,MATCH(RAB!C162,'HARGA SATUAN'!$C$7:$C$1492,0),0)),"",OFFSET('HARGA SATUAN'!$E$6,MATCH(RAB!C162,'HARGA SATUAN'!$C$7:$C$1492,0),0)))</f>
        <v>Bh</v>
      </c>
      <c r="F162" s="489">
        <f>F160*2</f>
        <v>2</v>
      </c>
      <c r="G162" s="355">
        <f ca="1">IF(ISERROR(OFFSET('HARGA SATUAN'!$I$6,MATCH(RAB!C162,'HARGA SATUAN'!$C$7:$C$1492,0),0)),0,OFFSET('HARGA SATUAN'!$I$6,MATCH(RAB!C162,'HARGA SATUAN'!$C$7:$C$1492,0),0))</f>
        <v>63500</v>
      </c>
      <c r="H162" s="356">
        <f t="shared" ca="1" si="16"/>
        <v>0</v>
      </c>
      <c r="I162" s="356">
        <f t="shared" ca="1" si="17"/>
        <v>127000</v>
      </c>
      <c r="J162" s="356">
        <f t="shared" ca="1" si="18"/>
        <v>0</v>
      </c>
      <c r="K162" s="357">
        <f t="shared" ca="1" si="19"/>
        <v>127000</v>
      </c>
      <c r="L162" s="362"/>
      <c r="M162" s="362"/>
      <c r="N162" s="362"/>
      <c r="O162" s="358"/>
      <c r="P162" s="358"/>
      <c r="Q162" s="341"/>
      <c r="R162" s="333"/>
      <c r="S162" s="359"/>
      <c r="T162" s="338"/>
      <c r="U162" s="338"/>
      <c r="V162" s="338"/>
    </row>
    <row r="163" spans="1:22" s="363" customFormat="1">
      <c r="A163" s="333"/>
      <c r="B163" s="496">
        <v>3</v>
      </c>
      <c r="C163" s="497" t="s">
        <v>157</v>
      </c>
      <c r="D163" s="353" t="str">
        <f ca="1">IF(ISERROR(OFFSET('HARGA SATUAN'!$D$6,MATCH(RAB!C163,'HARGA SATUAN'!$C$7:$C$1492,0),0)),"",OFFSET('HARGA SATUAN'!$D$6,MATCH(RAB!C163,'HARGA SATUAN'!$C$7:$C$1492,0),0))</f>
        <v>HDW</v>
      </c>
      <c r="E163" s="354" t="str">
        <f ca="1">IF(B163="+","Unit",IF(ISERROR(OFFSET('HARGA SATUAN'!$E$6,MATCH(RAB!C163,'HARGA SATUAN'!$C$7:$C$1492,0),0)),"",OFFSET('HARGA SATUAN'!$E$6,MATCH(RAB!C163,'HARGA SATUAN'!$C$7:$C$1492,0),0)))</f>
        <v>Bh</v>
      </c>
      <c r="F163" s="489">
        <f>F160*2</f>
        <v>2</v>
      </c>
      <c r="G163" s="355">
        <f ca="1">IF(ISERROR(OFFSET('HARGA SATUAN'!$I$6,MATCH(RAB!C163,'HARGA SATUAN'!$C$7:$C$1492,0),0)),0,OFFSET('HARGA SATUAN'!$I$6,MATCH(RAB!C163,'HARGA SATUAN'!$C$7:$C$1492,0),0))</f>
        <v>40000</v>
      </c>
      <c r="H163" s="356">
        <f t="shared" ca="1" si="16"/>
        <v>0</v>
      </c>
      <c r="I163" s="356">
        <f t="shared" ca="1" si="17"/>
        <v>80000</v>
      </c>
      <c r="J163" s="356">
        <f t="shared" ca="1" si="18"/>
        <v>0</v>
      </c>
      <c r="K163" s="357">
        <f t="shared" ca="1" si="19"/>
        <v>80000</v>
      </c>
      <c r="L163" s="362"/>
      <c r="M163" s="362"/>
      <c r="N163" s="362"/>
      <c r="O163" s="358"/>
      <c r="P163" s="358"/>
      <c r="Q163" s="341"/>
      <c r="R163" s="333"/>
      <c r="S163" s="359"/>
      <c r="T163" s="338"/>
      <c r="U163" s="338"/>
      <c r="V163" s="338"/>
    </row>
    <row r="164" spans="1:22" s="363" customFormat="1">
      <c r="A164" s="333"/>
      <c r="B164" s="496">
        <v>4</v>
      </c>
      <c r="C164" s="497" t="s">
        <v>757</v>
      </c>
      <c r="D164" s="353" t="str">
        <f ca="1">IF(ISERROR(OFFSET('HARGA SATUAN'!$D$6,MATCH(RAB!C164,'HARGA SATUAN'!$C$7:$C$1492,0),0)),"",OFFSET('HARGA SATUAN'!$D$6,MATCH(RAB!C164,'HARGA SATUAN'!$C$7:$C$1492,0),0))</f>
        <v>JASA</v>
      </c>
      <c r="E164" s="354" t="str">
        <f ca="1">IF(B164="+","Unit",IF(ISERROR(OFFSET('HARGA SATUAN'!$E$6,MATCH(RAB!C164,'HARGA SATUAN'!$C$7:$C$1492,0),0)),"",OFFSET('HARGA SATUAN'!$E$6,MATCH(RAB!C164,'HARGA SATUAN'!$C$7:$C$1492,0),0)))</f>
        <v>Unit</v>
      </c>
      <c r="F164" s="489">
        <f>F160*1</f>
        <v>1</v>
      </c>
      <c r="G164" s="355">
        <f ca="1">IF(ISERROR(OFFSET('HARGA SATUAN'!$I$6,MATCH(RAB!C164,'HARGA SATUAN'!$C$7:$C$1492,0),0)),0,OFFSET('HARGA SATUAN'!$I$6,MATCH(RAB!C164,'HARGA SATUAN'!$C$7:$C$1492,0),0))</f>
        <v>45600</v>
      </c>
      <c r="H164" s="356">
        <f t="shared" ca="1" si="16"/>
        <v>0</v>
      </c>
      <c r="I164" s="356">
        <f t="shared" ca="1" si="17"/>
        <v>0</v>
      </c>
      <c r="J164" s="356">
        <f t="shared" ca="1" si="18"/>
        <v>45600</v>
      </c>
      <c r="K164" s="357">
        <f t="shared" ca="1" si="19"/>
        <v>45600</v>
      </c>
      <c r="L164" s="362"/>
      <c r="M164" s="362"/>
      <c r="N164" s="362"/>
      <c r="O164" s="358"/>
      <c r="P164" s="358"/>
      <c r="Q164" s="341"/>
      <c r="R164" s="333"/>
      <c r="S164" s="359"/>
      <c r="T164" s="338"/>
      <c r="U164" s="338"/>
      <c r="V164" s="338"/>
    </row>
    <row r="165" spans="1:22" s="363" customFormat="1">
      <c r="A165" s="333"/>
      <c r="B165" s="483"/>
      <c r="C165" s="109"/>
      <c r="D165" s="353" t="str">
        <f ca="1">IF(ISERROR(OFFSET('HARGA SATUAN'!$D$6,MATCH(RAB!C165,'HARGA SATUAN'!$C$7:$C$1492,0),0)),"",OFFSET('HARGA SATUAN'!$D$6,MATCH(RAB!C165,'HARGA SATUAN'!$C$7:$C$1492,0),0))</f>
        <v/>
      </c>
      <c r="E165" s="354" t="str">
        <f ca="1">IF(B165="+","Unit",IF(ISERROR(OFFSET('HARGA SATUAN'!$E$6,MATCH(RAB!C165,'HARGA SATUAN'!$C$7:$C$1492,0),0)),"",OFFSET('HARGA SATUAN'!$E$6,MATCH(RAB!C165,'HARGA SATUAN'!$C$7:$C$1492,0),0)))</f>
        <v/>
      </c>
      <c r="F165" s="361"/>
      <c r="G165" s="355">
        <f ca="1">IF(ISERROR(OFFSET('HARGA SATUAN'!$I$6,MATCH(RAB!C165,'HARGA SATUAN'!$C$7:$C$1492,0),0)),0,OFFSET('HARGA SATUAN'!$I$6,MATCH(RAB!C165,'HARGA SATUAN'!$C$7:$C$1492,0),0))</f>
        <v>0</v>
      </c>
      <c r="H165" s="356">
        <f t="shared" ca="1" si="16"/>
        <v>0</v>
      </c>
      <c r="I165" s="356">
        <f t="shared" ca="1" si="17"/>
        <v>0</v>
      </c>
      <c r="J165" s="356">
        <f t="shared" ca="1" si="18"/>
        <v>0</v>
      </c>
      <c r="K165" s="357">
        <f t="shared" ca="1" si="19"/>
        <v>0</v>
      </c>
      <c r="L165" s="362"/>
      <c r="M165" s="362"/>
      <c r="N165" s="362"/>
      <c r="O165" s="358"/>
      <c r="P165" s="358"/>
      <c r="Q165" s="341"/>
      <c r="R165" s="333"/>
      <c r="S165" s="359"/>
      <c r="T165" s="338"/>
      <c r="U165" s="338"/>
      <c r="V165" s="338"/>
    </row>
    <row r="166" spans="1:22" s="363" customFormat="1">
      <c r="A166" s="333"/>
      <c r="B166" s="496" t="s">
        <v>1035</v>
      </c>
      <c r="C166" s="497" t="s">
        <v>1641</v>
      </c>
      <c r="D166" s="353" t="str">
        <f ca="1">IF(ISERROR(OFFSET('HARGA SATUAN'!$D$6,MATCH(RAB!C166,'HARGA SATUAN'!$C$7:$C$1492,0),0)),"",OFFSET('HARGA SATUAN'!$D$6,MATCH(RAB!C166,'HARGA SATUAN'!$C$7:$C$1492,0),0))</f>
        <v/>
      </c>
      <c r="E166" s="354" t="str">
        <f ca="1">IF(B166="+","Unit",IF(ISERROR(OFFSET('HARGA SATUAN'!$E$6,MATCH(RAB!C166,'HARGA SATUAN'!$C$7:$C$1492,0),0)),"",OFFSET('HARGA SATUAN'!$E$6,MATCH(RAB!C166,'HARGA SATUAN'!$C$7:$C$1492,0),0)))</f>
        <v>Unit</v>
      </c>
      <c r="F166" s="489">
        <v>24</v>
      </c>
      <c r="G166" s="355">
        <f ca="1">IF(ISERROR(OFFSET('HARGA SATUAN'!$I$6,MATCH(RAB!C166,'HARGA SATUAN'!$C$7:$C$1492,0),0)),0,OFFSET('HARGA SATUAN'!$I$6,MATCH(RAB!C166,'HARGA SATUAN'!$C$7:$C$1492,0),0))</f>
        <v>0</v>
      </c>
      <c r="H166" s="356">
        <f t="shared" ref="H166:H172" ca="1" si="20">IF(OR(D166="MDU",D166="MDU-KD"),(IF($O$3="RAB NON MDU","PLN KD",G166*F166)),0)</f>
        <v>0</v>
      </c>
      <c r="I166" s="356">
        <f t="shared" ref="I166:I172" ca="1" si="21">IF(D166="HDW",G166*F166,0)</f>
        <v>0</v>
      </c>
      <c r="J166" s="356">
        <f t="shared" ref="J166:J172" ca="1" si="22">IF(D166="JASA",G166*F166,0)</f>
        <v>0</v>
      </c>
      <c r="K166" s="357">
        <f t="shared" ref="K166:K172" ca="1" si="23">SUM(H166:J166)</f>
        <v>0</v>
      </c>
      <c r="L166" s="362"/>
      <c r="M166" s="362"/>
      <c r="N166" s="362"/>
      <c r="O166" s="358"/>
      <c r="P166" s="358"/>
      <c r="Q166" s="341"/>
      <c r="R166" s="333"/>
      <c r="S166" s="359"/>
      <c r="T166" s="338"/>
      <c r="U166" s="338"/>
      <c r="V166" s="338"/>
    </row>
    <row r="167" spans="1:22" s="363" customFormat="1">
      <c r="A167" s="333"/>
      <c r="B167" s="496">
        <v>1</v>
      </c>
      <c r="C167" s="497" t="s">
        <v>30</v>
      </c>
      <c r="D167" s="353" t="str">
        <f ca="1">IF(ISERROR(OFFSET('HARGA SATUAN'!$D$6,MATCH(RAB!C167,'HARGA SATUAN'!$C$7:$C$1492,0),0)),"",OFFSET('HARGA SATUAN'!$D$6,MATCH(RAB!C167,'HARGA SATUAN'!$C$7:$C$1492,0),0))</f>
        <v>HDW</v>
      </c>
      <c r="E167" s="354" t="str">
        <f ca="1">IF(B167="+","Unit",IF(ISERROR(OFFSET('HARGA SATUAN'!$E$6,MATCH(RAB!C167,'HARGA SATUAN'!$C$7:$C$1492,0),0)),"",OFFSET('HARGA SATUAN'!$E$6,MATCH(RAB!C167,'HARGA SATUAN'!$C$7:$C$1492,0),0)))</f>
        <v>Bh</v>
      </c>
      <c r="F167" s="489">
        <f>F166*1</f>
        <v>24</v>
      </c>
      <c r="G167" s="355">
        <f ca="1">IF(ISERROR(OFFSET('HARGA SATUAN'!$I$6,MATCH(RAB!C167,'HARGA SATUAN'!$C$7:$C$1492,0),0)),0,OFFSET('HARGA SATUAN'!$I$6,MATCH(RAB!C167,'HARGA SATUAN'!$C$7:$C$1492,0),0))</f>
        <v>47459</v>
      </c>
      <c r="H167" s="356">
        <f t="shared" ca="1" si="20"/>
        <v>0</v>
      </c>
      <c r="I167" s="356">
        <f t="shared" ca="1" si="21"/>
        <v>1139016</v>
      </c>
      <c r="J167" s="356">
        <f t="shared" ca="1" si="22"/>
        <v>0</v>
      </c>
      <c r="K167" s="357">
        <f t="shared" ca="1" si="23"/>
        <v>1139016</v>
      </c>
      <c r="L167" s="362"/>
      <c r="M167" s="362"/>
      <c r="N167" s="362"/>
      <c r="O167" s="358"/>
      <c r="P167" s="358"/>
      <c r="Q167" s="341"/>
      <c r="R167" s="333"/>
      <c r="S167" s="359"/>
      <c r="T167" s="338"/>
      <c r="U167" s="338"/>
      <c r="V167" s="338"/>
    </row>
    <row r="168" spans="1:22" s="363" customFormat="1">
      <c r="A168" s="333"/>
      <c r="B168" s="496">
        <v>2</v>
      </c>
      <c r="C168" s="497" t="s">
        <v>32</v>
      </c>
      <c r="D168" s="353" t="str">
        <f ca="1">IF(ISERROR(OFFSET('HARGA SATUAN'!$D$6,MATCH(RAB!C168,'HARGA SATUAN'!$C$7:$C$1492,0),0)),"",OFFSET('HARGA SATUAN'!$D$6,MATCH(RAB!C168,'HARGA SATUAN'!$C$7:$C$1492,0),0))</f>
        <v>HDW</v>
      </c>
      <c r="E168" s="354" t="str">
        <f ca="1">IF(B168="+","Unit",IF(ISERROR(OFFSET('HARGA SATUAN'!$E$6,MATCH(RAB!C168,'HARGA SATUAN'!$C$7:$C$1492,0),0)),"",OFFSET('HARGA SATUAN'!$E$6,MATCH(RAB!C168,'HARGA SATUAN'!$C$7:$C$1492,0),0)))</f>
        <v>Mtr</v>
      </c>
      <c r="F168" s="489">
        <f>F166*0.8</f>
        <v>19.200000000000003</v>
      </c>
      <c r="G168" s="355">
        <f ca="1">IF(ISERROR(OFFSET('HARGA SATUAN'!$I$6,MATCH(RAB!C168,'HARGA SATUAN'!$C$7:$C$1492,0),0)),0,OFFSET('HARGA SATUAN'!$I$6,MATCH(RAB!C168,'HARGA SATUAN'!$C$7:$C$1492,0),0))</f>
        <v>30000</v>
      </c>
      <c r="H168" s="356">
        <f t="shared" ca="1" si="20"/>
        <v>0</v>
      </c>
      <c r="I168" s="356">
        <f t="shared" ca="1" si="21"/>
        <v>576000.00000000012</v>
      </c>
      <c r="J168" s="356">
        <f t="shared" ca="1" si="22"/>
        <v>0</v>
      </c>
      <c r="K168" s="357">
        <f t="shared" ca="1" si="23"/>
        <v>576000.00000000012</v>
      </c>
      <c r="L168" s="362"/>
      <c r="M168" s="362"/>
      <c r="N168" s="362"/>
      <c r="O168" s="358"/>
      <c r="P168" s="358"/>
      <c r="Q168" s="341"/>
      <c r="R168" s="333"/>
      <c r="S168" s="359"/>
      <c r="T168" s="338"/>
      <c r="U168" s="338"/>
      <c r="V168" s="338"/>
    </row>
    <row r="169" spans="1:22" s="363" customFormat="1">
      <c r="A169" s="333"/>
      <c r="B169" s="496">
        <v>3</v>
      </c>
      <c r="C169" s="497" t="s">
        <v>33</v>
      </c>
      <c r="D169" s="353" t="str">
        <f ca="1">IF(ISERROR(OFFSET('HARGA SATUAN'!$D$6,MATCH(RAB!C169,'HARGA SATUAN'!$C$7:$C$1492,0),0)),"",OFFSET('HARGA SATUAN'!$D$6,MATCH(RAB!C169,'HARGA SATUAN'!$C$7:$C$1492,0),0))</f>
        <v>HDW</v>
      </c>
      <c r="E169" s="354" t="str">
        <f ca="1">IF(B169="+","Unit",IF(ISERROR(OFFSET('HARGA SATUAN'!$E$6,MATCH(RAB!C169,'HARGA SATUAN'!$C$7:$C$1492,0),0)),"",OFFSET('HARGA SATUAN'!$E$6,MATCH(RAB!C169,'HARGA SATUAN'!$C$7:$C$1492,0),0)))</f>
        <v>Bh</v>
      </c>
      <c r="F169" s="489">
        <f>F166*1</f>
        <v>24</v>
      </c>
      <c r="G169" s="355">
        <f ca="1">IF(ISERROR(OFFSET('HARGA SATUAN'!$I$6,MATCH(RAB!C169,'HARGA SATUAN'!$C$7:$C$1492,0),0)),0,OFFSET('HARGA SATUAN'!$I$6,MATCH(RAB!C169,'HARGA SATUAN'!$C$7:$C$1492,0),0))</f>
        <v>9500</v>
      </c>
      <c r="H169" s="356">
        <f t="shared" ca="1" si="20"/>
        <v>0</v>
      </c>
      <c r="I169" s="356">
        <f t="shared" ca="1" si="21"/>
        <v>228000</v>
      </c>
      <c r="J169" s="356">
        <f t="shared" ca="1" si="22"/>
        <v>0</v>
      </c>
      <c r="K169" s="357">
        <f t="shared" ca="1" si="23"/>
        <v>228000</v>
      </c>
      <c r="L169" s="362"/>
      <c r="M169" s="362"/>
      <c r="N169" s="362"/>
      <c r="O169" s="358"/>
      <c r="P169" s="358"/>
      <c r="Q169" s="341"/>
      <c r="R169" s="333"/>
      <c r="S169" s="359"/>
      <c r="T169" s="338"/>
      <c r="U169" s="338"/>
      <c r="V169" s="338"/>
    </row>
    <row r="170" spans="1:22" s="363" customFormat="1">
      <c r="A170" s="333"/>
      <c r="B170" s="496">
        <v>4</v>
      </c>
      <c r="C170" s="497" t="s">
        <v>737</v>
      </c>
      <c r="D170" s="353" t="str">
        <f ca="1">IF(ISERROR(OFFSET('HARGA SATUAN'!$D$6,MATCH(RAB!C170,'HARGA SATUAN'!$C$7:$C$1492,0),0)),"",OFFSET('HARGA SATUAN'!$D$6,MATCH(RAB!C170,'HARGA SATUAN'!$C$7:$C$1492,0),0))</f>
        <v>JASA</v>
      </c>
      <c r="E170" s="354" t="str">
        <f ca="1">IF(B170="+","Unit",IF(ISERROR(OFFSET('HARGA SATUAN'!$E$6,MATCH(RAB!C170,'HARGA SATUAN'!$C$7:$C$1492,0),0)),"",OFFSET('HARGA SATUAN'!$E$6,MATCH(RAB!C170,'HARGA SATUAN'!$C$7:$C$1492,0),0)))</f>
        <v>Unit</v>
      </c>
      <c r="F170" s="489">
        <f>F166*1</f>
        <v>24</v>
      </c>
      <c r="G170" s="355">
        <f ca="1">IF(ISERROR(OFFSET('HARGA SATUAN'!$I$6,MATCH(RAB!C170,'HARGA SATUAN'!$C$7:$C$1492,0),0)),0,OFFSET('HARGA SATUAN'!$I$6,MATCH(RAB!C170,'HARGA SATUAN'!$C$7:$C$1492,0),0))</f>
        <v>16200</v>
      </c>
      <c r="H170" s="356">
        <f t="shared" ca="1" si="20"/>
        <v>0</v>
      </c>
      <c r="I170" s="356">
        <f t="shared" ca="1" si="21"/>
        <v>0</v>
      </c>
      <c r="J170" s="356">
        <f t="shared" ca="1" si="22"/>
        <v>388800</v>
      </c>
      <c r="K170" s="357">
        <f t="shared" ca="1" si="23"/>
        <v>388800</v>
      </c>
      <c r="L170" s="362"/>
      <c r="M170" s="362"/>
      <c r="N170" s="362"/>
      <c r="O170" s="358"/>
      <c r="P170" s="358"/>
      <c r="Q170" s="341"/>
      <c r="R170" s="333"/>
      <c r="S170" s="359"/>
      <c r="T170" s="338"/>
      <c r="U170" s="338"/>
      <c r="V170" s="338"/>
    </row>
    <row r="171" spans="1:22" s="363" customFormat="1">
      <c r="A171" s="333"/>
      <c r="B171" s="483"/>
      <c r="C171" s="109"/>
      <c r="D171" s="353" t="str">
        <f ca="1">IF(ISERROR(OFFSET('HARGA SATUAN'!$D$6,MATCH(RAB!C171,'HARGA SATUAN'!$C$7:$C$1492,0),0)),"",OFFSET('HARGA SATUAN'!$D$6,MATCH(RAB!C171,'HARGA SATUAN'!$C$7:$C$1492,0),0))</f>
        <v/>
      </c>
      <c r="E171" s="354" t="str">
        <f ca="1">IF(B171="+","Unit",IF(ISERROR(OFFSET('HARGA SATUAN'!$E$6,MATCH(RAB!C171,'HARGA SATUAN'!$C$7:$C$1492,0),0)),"",OFFSET('HARGA SATUAN'!$E$6,MATCH(RAB!C171,'HARGA SATUAN'!$C$7:$C$1492,0),0)))</f>
        <v/>
      </c>
      <c r="F171" s="361"/>
      <c r="G171" s="355">
        <f ca="1">IF(ISERROR(OFFSET('HARGA SATUAN'!$I$6,MATCH(RAB!C171,'HARGA SATUAN'!$C$7:$C$1492,0),0)),0,OFFSET('HARGA SATUAN'!$I$6,MATCH(RAB!C171,'HARGA SATUAN'!$C$7:$C$1492,0),0))</f>
        <v>0</v>
      </c>
      <c r="H171" s="356">
        <f t="shared" ca="1" si="20"/>
        <v>0</v>
      </c>
      <c r="I171" s="356">
        <f t="shared" ca="1" si="21"/>
        <v>0</v>
      </c>
      <c r="J171" s="356">
        <f t="shared" ca="1" si="22"/>
        <v>0</v>
      </c>
      <c r="K171" s="357">
        <f t="shared" ca="1" si="23"/>
        <v>0</v>
      </c>
      <c r="L171" s="362"/>
      <c r="M171" s="362"/>
      <c r="N171" s="362"/>
      <c r="O171" s="358"/>
      <c r="P171" s="358"/>
      <c r="Q171" s="341"/>
      <c r="R171" s="333"/>
      <c r="S171" s="359"/>
      <c r="T171" s="338"/>
      <c r="U171" s="338"/>
      <c r="V171" s="338"/>
    </row>
    <row r="172" spans="1:22" s="363" customFormat="1">
      <c r="A172" s="333"/>
      <c r="B172" s="483"/>
      <c r="C172" s="504" t="s">
        <v>1661</v>
      </c>
      <c r="D172" s="353" t="str">
        <f ca="1">IF(ISERROR(OFFSET('HARGA SATUAN'!$D$6,MATCH(RAB!C172,'HARGA SATUAN'!$C$7:$C$1492,0),0)),"",OFFSET('HARGA SATUAN'!$D$6,MATCH(RAB!C172,'HARGA SATUAN'!$C$7:$C$1492,0),0))</f>
        <v/>
      </c>
      <c r="E172" s="354" t="str">
        <f ca="1">IF(B172="+","Unit",IF(ISERROR(OFFSET('HARGA SATUAN'!$E$6,MATCH(RAB!C172,'HARGA SATUAN'!$C$7:$C$1492,0),0)),"",OFFSET('HARGA SATUAN'!$E$6,MATCH(RAB!C172,'HARGA SATUAN'!$C$7:$C$1492,0),0)))</f>
        <v/>
      </c>
      <c r="F172" s="361"/>
      <c r="G172" s="355">
        <f ca="1">IF(ISERROR(OFFSET('HARGA SATUAN'!$I$6,MATCH(RAB!C172,'HARGA SATUAN'!$C$7:$C$1492,0),0)),0,OFFSET('HARGA SATUAN'!$I$6,MATCH(RAB!C172,'HARGA SATUAN'!$C$7:$C$1492,0),0))</f>
        <v>0</v>
      </c>
      <c r="H172" s="356">
        <f t="shared" ca="1" si="20"/>
        <v>0</v>
      </c>
      <c r="I172" s="356">
        <f t="shared" ca="1" si="21"/>
        <v>0</v>
      </c>
      <c r="J172" s="356">
        <f t="shared" ca="1" si="22"/>
        <v>0</v>
      </c>
      <c r="K172" s="357">
        <f t="shared" ca="1" si="23"/>
        <v>0</v>
      </c>
      <c r="L172" s="362"/>
      <c r="M172" s="362"/>
      <c r="N172" s="362"/>
      <c r="O172" s="358"/>
      <c r="P172" s="358"/>
      <c r="Q172" s="341"/>
      <c r="R172" s="333"/>
      <c r="S172" s="359"/>
      <c r="T172" s="338"/>
      <c r="U172" s="338"/>
      <c r="V172" s="338"/>
    </row>
    <row r="173" spans="1:22" s="363" customFormat="1">
      <c r="A173" s="333"/>
      <c r="B173" s="496" t="s">
        <v>1035</v>
      </c>
      <c r="C173" s="497" t="s">
        <v>1659</v>
      </c>
      <c r="D173" s="353" t="str">
        <f ca="1">IF(ISERROR(OFFSET('HARGA SATUAN'!$D$6,MATCH(RAB!C173,'HARGA SATUAN'!$C$7:$C$1492,0),0)),"",OFFSET('HARGA SATUAN'!$D$6,MATCH(RAB!C173,'HARGA SATUAN'!$C$7:$C$1492,0),0))</f>
        <v/>
      </c>
      <c r="E173" s="354" t="str">
        <f ca="1">IF(B173="+","Unit",IF(ISERROR(OFFSET('HARGA SATUAN'!$E$6,MATCH(RAB!C173,'HARGA SATUAN'!$C$7:$C$1492,0),0)),"",OFFSET('HARGA SATUAN'!$E$6,MATCH(RAB!C173,'HARGA SATUAN'!$C$7:$C$1492,0),0)))</f>
        <v>Unit</v>
      </c>
      <c r="F173" s="489">
        <v>1</v>
      </c>
      <c r="G173" s="355">
        <f ca="1">IF(ISERROR(OFFSET('HARGA SATUAN'!$I$6,MATCH(RAB!C173,'HARGA SATUAN'!$C$7:$C$1492,0),0)),0,OFFSET('HARGA SATUAN'!$I$6,MATCH(RAB!C173,'HARGA SATUAN'!$C$7:$C$1492,0),0))</f>
        <v>0</v>
      </c>
      <c r="H173" s="356">
        <f t="shared" ca="1" si="16"/>
        <v>0</v>
      </c>
      <c r="I173" s="356">
        <f t="shared" ca="1" si="17"/>
        <v>0</v>
      </c>
      <c r="J173" s="356">
        <f t="shared" ca="1" si="18"/>
        <v>0</v>
      </c>
      <c r="K173" s="357">
        <f t="shared" ca="1" si="19"/>
        <v>0</v>
      </c>
      <c r="L173" s="362"/>
      <c r="M173" s="362"/>
      <c r="N173" s="362"/>
      <c r="O173" s="358"/>
      <c r="P173" s="358"/>
      <c r="Q173" s="341"/>
      <c r="R173" s="333"/>
      <c r="S173" s="359"/>
      <c r="T173" s="338"/>
      <c r="U173" s="338"/>
      <c r="V173" s="338"/>
    </row>
    <row r="174" spans="1:22" s="363" customFormat="1">
      <c r="A174" s="333"/>
      <c r="B174" s="496">
        <v>1</v>
      </c>
      <c r="C174" s="497" t="s">
        <v>555</v>
      </c>
      <c r="D174" s="353" t="str">
        <f ca="1">IF(ISERROR(OFFSET('HARGA SATUAN'!$D$6,MATCH(RAB!C174,'HARGA SATUAN'!$C$7:$C$1492,0),0)),"",OFFSET('HARGA SATUAN'!$D$6,MATCH(RAB!C174,'HARGA SATUAN'!$C$7:$C$1492,0),0))</f>
        <v>HDW</v>
      </c>
      <c r="E174" s="354" t="str">
        <f ca="1">IF(B174="+","Unit",IF(ISERROR(OFFSET('HARGA SATUAN'!$E$6,MATCH(RAB!C174,'HARGA SATUAN'!$C$7:$C$1492,0),0)),"",OFFSET('HARGA SATUAN'!$E$6,MATCH(RAB!C174,'HARGA SATUAN'!$C$7:$C$1492,0),0)))</f>
        <v>Set</v>
      </c>
      <c r="F174" s="489">
        <f>F173*1</f>
        <v>1</v>
      </c>
      <c r="G174" s="355">
        <f ca="1">IF(ISERROR(OFFSET('HARGA SATUAN'!$I$6,MATCH(RAB!C174,'HARGA SATUAN'!$C$7:$C$1492,0),0)),0,OFFSET('HARGA SATUAN'!$I$6,MATCH(RAB!C174,'HARGA SATUAN'!$C$7:$C$1492,0),0))</f>
        <v>24784300</v>
      </c>
      <c r="H174" s="356">
        <f t="shared" ca="1" si="16"/>
        <v>0</v>
      </c>
      <c r="I174" s="356">
        <f t="shared" ca="1" si="17"/>
        <v>24784300</v>
      </c>
      <c r="J174" s="356">
        <f t="shared" ca="1" si="18"/>
        <v>0</v>
      </c>
      <c r="K174" s="357">
        <f t="shared" ca="1" si="19"/>
        <v>24784300</v>
      </c>
      <c r="L174" s="362"/>
      <c r="M174" s="362"/>
      <c r="N174" s="362"/>
      <c r="O174" s="358"/>
      <c r="P174" s="358"/>
      <c r="Q174" s="341"/>
      <c r="R174" s="333"/>
      <c r="S174" s="359"/>
      <c r="T174" s="338"/>
      <c r="U174" s="338"/>
      <c r="V174" s="338"/>
    </row>
    <row r="175" spans="1:22" s="363" customFormat="1">
      <c r="A175" s="333"/>
      <c r="B175" s="496">
        <v>2</v>
      </c>
      <c r="C175" s="503" t="s">
        <v>67</v>
      </c>
      <c r="D175" s="353" t="str">
        <f ca="1">IF(ISERROR(OFFSET('HARGA SATUAN'!$D$6,MATCH(RAB!C175,'HARGA SATUAN'!$C$7:$C$1492,0),0)),"",OFFSET('HARGA SATUAN'!$D$6,MATCH(RAB!C175,'HARGA SATUAN'!$C$7:$C$1492,0),0))</f>
        <v>MDU-KD</v>
      </c>
      <c r="E175" s="354" t="str">
        <f ca="1">IF(B175="+","Unit",IF(ISERROR(OFFSET('HARGA SATUAN'!$E$6,MATCH(RAB!C175,'HARGA SATUAN'!$C$7:$C$1492,0),0)),"",OFFSET('HARGA SATUAN'!$E$6,MATCH(RAB!C175,'HARGA SATUAN'!$C$7:$C$1492,0),0)))</f>
        <v>Mtr</v>
      </c>
      <c r="F175" s="489">
        <f>F173*12</f>
        <v>12</v>
      </c>
      <c r="G175" s="355">
        <f ca="1">IF(ISERROR(OFFSET('HARGA SATUAN'!$I$6,MATCH(RAB!C175,'HARGA SATUAN'!$C$7:$C$1492,0),0)),0,OFFSET('HARGA SATUAN'!$I$6,MATCH(RAB!C175,'HARGA SATUAN'!$C$7:$C$1492,0),0))</f>
        <v>36900</v>
      </c>
      <c r="H175" s="356">
        <f t="shared" ca="1" si="16"/>
        <v>442800</v>
      </c>
      <c r="I175" s="356">
        <f t="shared" ca="1" si="17"/>
        <v>0</v>
      </c>
      <c r="J175" s="356">
        <f t="shared" ca="1" si="18"/>
        <v>0</v>
      </c>
      <c r="K175" s="357">
        <f t="shared" ca="1" si="19"/>
        <v>442800</v>
      </c>
      <c r="L175" s="362"/>
      <c r="M175" s="362"/>
      <c r="N175" s="362"/>
      <c r="O175" s="358"/>
      <c r="P175" s="358"/>
      <c r="Q175" s="341"/>
      <c r="R175" s="333"/>
      <c r="S175" s="359"/>
      <c r="T175" s="338"/>
      <c r="U175" s="338"/>
      <c r="V175" s="338"/>
    </row>
    <row r="176" spans="1:22" s="363" customFormat="1">
      <c r="A176" s="333"/>
      <c r="B176" s="496">
        <v>3</v>
      </c>
      <c r="C176" s="109" t="s">
        <v>1585</v>
      </c>
      <c r="D176" s="353" t="str">
        <f ca="1">IF(ISERROR(OFFSET('HARGA SATUAN'!$D$6,MATCH(RAB!C176,'HARGA SATUAN'!$C$7:$C$1492,0),0)),"",OFFSET('HARGA SATUAN'!$D$6,MATCH(RAB!C176,'HARGA SATUAN'!$C$7:$C$1492,0),0))</f>
        <v>HDW</v>
      </c>
      <c r="E176" s="354" t="str">
        <f ca="1">IF(B176="+","Unit",IF(ISERROR(OFFSET('HARGA SATUAN'!$E$6,MATCH(RAB!C176,'HARGA SATUAN'!$C$7:$C$1492,0),0)),"",OFFSET('HARGA SATUAN'!$E$6,MATCH(RAB!C176,'HARGA SATUAN'!$C$7:$C$1492,0),0)))</f>
        <v>Bh</v>
      </c>
      <c r="F176" s="489">
        <f>F173*6</f>
        <v>6</v>
      </c>
      <c r="G176" s="355">
        <f ca="1">IF(ISERROR(OFFSET('HARGA SATUAN'!$I$6,MATCH(RAB!C176,'HARGA SATUAN'!$C$7:$C$1492,0),0)),0,OFFSET('HARGA SATUAN'!$I$6,MATCH(RAB!C176,'HARGA SATUAN'!$C$7:$C$1492,0),0))</f>
        <v>162600</v>
      </c>
      <c r="H176" s="356">
        <f t="shared" ca="1" si="16"/>
        <v>0</v>
      </c>
      <c r="I176" s="356">
        <f t="shared" ca="1" si="17"/>
        <v>975600</v>
      </c>
      <c r="J176" s="356">
        <f t="shared" ca="1" si="18"/>
        <v>0</v>
      </c>
      <c r="K176" s="357">
        <f t="shared" ca="1" si="19"/>
        <v>975600</v>
      </c>
      <c r="L176" s="362"/>
      <c r="M176" s="362"/>
      <c r="N176" s="362"/>
      <c r="O176" s="358"/>
      <c r="P176" s="358"/>
      <c r="Q176" s="341"/>
      <c r="R176" s="333"/>
      <c r="S176" s="359"/>
      <c r="T176" s="338"/>
      <c r="U176" s="338"/>
      <c r="V176" s="338"/>
    </row>
    <row r="177" spans="1:22" s="363" customFormat="1">
      <c r="A177" s="333"/>
      <c r="B177" s="496">
        <v>4</v>
      </c>
      <c r="C177" s="503" t="s">
        <v>181</v>
      </c>
      <c r="D177" s="353" t="str">
        <f ca="1">IF(ISERROR(OFFSET('HARGA SATUAN'!$D$6,MATCH(RAB!C177,'HARGA SATUAN'!$C$7:$C$1492,0),0)),"",OFFSET('HARGA SATUAN'!$D$6,MATCH(RAB!C177,'HARGA SATUAN'!$C$7:$C$1492,0),0))</f>
        <v>HDW</v>
      </c>
      <c r="E177" s="354" t="str">
        <f ca="1">IF(B177="+","Unit",IF(ISERROR(OFFSET('HARGA SATUAN'!$E$6,MATCH(RAB!C177,'HARGA SATUAN'!$C$7:$C$1492,0),0)),"",OFFSET('HARGA SATUAN'!$E$6,MATCH(RAB!C177,'HARGA SATUAN'!$C$7:$C$1492,0),0)))</f>
        <v>Bh</v>
      </c>
      <c r="F177" s="489">
        <f>F173*6</f>
        <v>6</v>
      </c>
      <c r="G177" s="355">
        <f ca="1">IF(ISERROR(OFFSET('HARGA SATUAN'!$I$6,MATCH(RAB!C177,'HARGA SATUAN'!$C$7:$C$1492,0),0)),0,OFFSET('HARGA SATUAN'!$I$6,MATCH(RAB!C177,'HARGA SATUAN'!$C$7:$C$1492,0),0))</f>
        <v>28100</v>
      </c>
      <c r="H177" s="356">
        <f t="shared" ca="1" si="16"/>
        <v>0</v>
      </c>
      <c r="I177" s="356">
        <f t="shared" ca="1" si="17"/>
        <v>168600</v>
      </c>
      <c r="J177" s="356">
        <f t="shared" ca="1" si="18"/>
        <v>0</v>
      </c>
      <c r="K177" s="357">
        <f t="shared" ca="1" si="19"/>
        <v>168600</v>
      </c>
      <c r="L177" s="362"/>
      <c r="M177" s="362"/>
      <c r="N177" s="362"/>
      <c r="O177" s="358"/>
      <c r="P177" s="358"/>
      <c r="Q177" s="341"/>
      <c r="R177" s="333"/>
      <c r="S177" s="359"/>
      <c r="T177" s="338"/>
      <c r="U177" s="338"/>
      <c r="V177" s="338"/>
    </row>
    <row r="178" spans="1:22" s="363" customFormat="1">
      <c r="A178" s="333"/>
      <c r="B178" s="496">
        <v>5</v>
      </c>
      <c r="C178" s="109" t="s">
        <v>1169</v>
      </c>
      <c r="D178" s="353" t="str">
        <f ca="1">IF(ISERROR(OFFSET('HARGA SATUAN'!$D$6,MATCH(RAB!C178,'HARGA SATUAN'!$C$7:$C$1492,0),0)),"",OFFSET('HARGA SATUAN'!$D$6,MATCH(RAB!C178,'HARGA SATUAN'!$C$7:$C$1492,0),0))</f>
        <v>JASA</v>
      </c>
      <c r="E178" s="354" t="str">
        <f ca="1">IF(B178="+","Unit",IF(ISERROR(OFFSET('HARGA SATUAN'!$E$6,MATCH(RAB!C178,'HARGA SATUAN'!$C$7:$C$1492,0),0)),"",OFFSET('HARGA SATUAN'!$E$6,MATCH(RAB!C178,'HARGA SATUAN'!$C$7:$C$1492,0),0)))</f>
        <v>Unit</v>
      </c>
      <c r="F178" s="489">
        <f>F173*1</f>
        <v>1</v>
      </c>
      <c r="G178" s="355">
        <f ca="1">IF(ISERROR(OFFSET('HARGA SATUAN'!$I$6,MATCH(RAB!C178,'HARGA SATUAN'!$C$7:$C$1492,0),0)),0,OFFSET('HARGA SATUAN'!$I$6,MATCH(RAB!C178,'HARGA SATUAN'!$C$7:$C$1492,0),0))</f>
        <v>1568200</v>
      </c>
      <c r="H178" s="356">
        <f t="shared" ca="1" si="16"/>
        <v>0</v>
      </c>
      <c r="I178" s="356">
        <f t="shared" ca="1" si="17"/>
        <v>0</v>
      </c>
      <c r="J178" s="356">
        <f t="shared" ca="1" si="18"/>
        <v>1568200</v>
      </c>
      <c r="K178" s="357">
        <f t="shared" ca="1" si="19"/>
        <v>1568200</v>
      </c>
      <c r="L178" s="362"/>
      <c r="M178" s="362"/>
      <c r="N178" s="362"/>
      <c r="O178" s="358"/>
      <c r="P178" s="358"/>
      <c r="Q178" s="341"/>
      <c r="R178" s="333"/>
      <c r="S178" s="359"/>
      <c r="T178" s="338"/>
      <c r="U178" s="338"/>
      <c r="V178" s="338"/>
    </row>
    <row r="179" spans="1:22" s="363" customFormat="1">
      <c r="A179" s="333"/>
      <c r="B179" s="483"/>
      <c r="C179" s="109"/>
      <c r="D179" s="353" t="str">
        <f ca="1">IF(ISERROR(OFFSET('HARGA SATUAN'!$D$6,MATCH(RAB!C179,'HARGA SATUAN'!$C$7:$C$1492,0),0)),"",OFFSET('HARGA SATUAN'!$D$6,MATCH(RAB!C179,'HARGA SATUAN'!$C$7:$C$1492,0),0))</f>
        <v/>
      </c>
      <c r="E179" s="354" t="str">
        <f ca="1">IF(B179="+","Unit",IF(ISERROR(OFFSET('HARGA SATUAN'!$E$6,MATCH(RAB!C179,'HARGA SATUAN'!$C$7:$C$1492,0),0)),"",OFFSET('HARGA SATUAN'!$E$6,MATCH(RAB!C179,'HARGA SATUAN'!$C$7:$C$1492,0),0)))</f>
        <v/>
      </c>
      <c r="F179" s="361"/>
      <c r="G179" s="355">
        <f ca="1">IF(ISERROR(OFFSET('HARGA SATUAN'!$I$6,MATCH(RAB!C179,'HARGA SATUAN'!$C$7:$C$1492,0),0)),0,OFFSET('HARGA SATUAN'!$I$6,MATCH(RAB!C179,'HARGA SATUAN'!$C$7:$C$1492,0),0))</f>
        <v>0</v>
      </c>
      <c r="H179" s="356">
        <f t="shared" ca="1" si="16"/>
        <v>0</v>
      </c>
      <c r="I179" s="356">
        <f t="shared" ca="1" si="17"/>
        <v>0</v>
      </c>
      <c r="J179" s="356">
        <f t="shared" ca="1" si="18"/>
        <v>0</v>
      </c>
      <c r="K179" s="357">
        <f t="shared" ca="1" si="19"/>
        <v>0</v>
      </c>
      <c r="L179" s="362"/>
      <c r="M179" s="362"/>
      <c r="N179" s="362"/>
      <c r="O179" s="358"/>
      <c r="P179" s="358"/>
      <c r="Q179" s="341"/>
      <c r="R179" s="333"/>
      <c r="S179" s="359"/>
      <c r="T179" s="338"/>
      <c r="U179" s="338"/>
      <c r="V179" s="338"/>
    </row>
    <row r="180" spans="1:22" s="363" customFormat="1">
      <c r="A180" s="333"/>
      <c r="B180" s="483"/>
      <c r="C180" s="504" t="s">
        <v>1660</v>
      </c>
      <c r="D180" s="353"/>
      <c r="E180" s="354"/>
      <c r="F180" s="361"/>
      <c r="G180" s="355"/>
      <c r="H180" s="356"/>
      <c r="I180" s="356"/>
      <c r="J180" s="356"/>
      <c r="K180" s="357"/>
      <c r="L180" s="362"/>
      <c r="M180" s="362"/>
      <c r="N180" s="362"/>
      <c r="O180" s="358"/>
      <c r="P180" s="358"/>
      <c r="Q180" s="341"/>
      <c r="R180" s="333"/>
      <c r="S180" s="359"/>
      <c r="T180" s="338"/>
      <c r="U180" s="338"/>
      <c r="V180" s="338"/>
    </row>
    <row r="181" spans="1:22" s="363" customFormat="1">
      <c r="A181" s="333"/>
      <c r="B181" s="496" t="s">
        <v>1035</v>
      </c>
      <c r="C181" s="497" t="s">
        <v>1642</v>
      </c>
      <c r="D181" s="353" t="str">
        <f ca="1">IF(ISERROR(OFFSET('HARGA SATUAN'!$D$6,MATCH(RAB!C181,'HARGA SATUAN'!$C$7:$C$1492,0),0)),"",OFFSET('HARGA SATUAN'!$D$6,MATCH(RAB!C181,'HARGA SATUAN'!$C$7:$C$1492,0),0))</f>
        <v/>
      </c>
      <c r="E181" s="354" t="str">
        <f ca="1">IF(B181="+","Unit",IF(ISERROR(OFFSET('HARGA SATUAN'!$E$6,MATCH(RAB!C181,'HARGA SATUAN'!$C$7:$C$1492,0),0)),"",OFFSET('HARGA SATUAN'!$E$6,MATCH(RAB!C181,'HARGA SATUAN'!$C$7:$C$1492,0),0)))</f>
        <v>Unit</v>
      </c>
      <c r="F181" s="505">
        <v>4</v>
      </c>
      <c r="G181" s="355">
        <f ca="1">IF(ISERROR(OFFSET('HARGA SATUAN'!$I$6,MATCH(RAB!C181,'HARGA SATUAN'!$C$7:$C$1492,0),0)),0,OFFSET('HARGA SATUAN'!$I$6,MATCH(RAB!C181,'HARGA SATUAN'!$C$7:$C$1492,0),0))</f>
        <v>0</v>
      </c>
      <c r="H181" s="356">
        <f t="shared" ca="1" si="16"/>
        <v>0</v>
      </c>
      <c r="I181" s="356">
        <f t="shared" ca="1" si="17"/>
        <v>0</v>
      </c>
      <c r="J181" s="356">
        <f t="shared" ca="1" si="18"/>
        <v>0</v>
      </c>
      <c r="K181" s="357">
        <f t="shared" ca="1" si="19"/>
        <v>0</v>
      </c>
      <c r="L181" s="362"/>
      <c r="M181" s="362"/>
      <c r="N181" s="362"/>
      <c r="O181" s="358"/>
      <c r="P181" s="358"/>
      <c r="Q181" s="341"/>
      <c r="R181" s="333"/>
      <c r="S181" s="359"/>
      <c r="T181" s="338"/>
      <c r="U181" s="338"/>
      <c r="V181" s="338"/>
    </row>
    <row r="182" spans="1:22" s="363" customFormat="1">
      <c r="A182" s="333"/>
      <c r="B182" s="496">
        <v>1</v>
      </c>
      <c r="C182" s="497" t="s">
        <v>535</v>
      </c>
      <c r="D182" s="353" t="str">
        <f ca="1">IF(ISERROR(OFFSET('HARGA SATUAN'!$D$6,MATCH(RAB!C182,'HARGA SATUAN'!$C$7:$C$1492,0),0)),"",OFFSET('HARGA SATUAN'!$D$6,MATCH(RAB!C182,'HARGA SATUAN'!$C$7:$C$1492,0),0))</f>
        <v>MDU-KD</v>
      </c>
      <c r="E182" s="354" t="str">
        <f ca="1">IF(B182="+","Unit",IF(ISERROR(OFFSET('HARGA SATUAN'!$E$6,MATCH(RAB!C182,'HARGA SATUAN'!$C$7:$C$1492,0),0)),"",OFFSET('HARGA SATUAN'!$E$6,MATCH(RAB!C182,'HARGA SATUAN'!$C$7:$C$1492,0),0)))</f>
        <v>Bh</v>
      </c>
      <c r="F182" s="505">
        <f>F181*1</f>
        <v>4</v>
      </c>
      <c r="G182" s="355">
        <f ca="1">IF(ISERROR(OFFSET('HARGA SATUAN'!$I$6,MATCH(RAB!C182,'HARGA SATUAN'!$C$7:$C$1492,0),0)),0,OFFSET('HARGA SATUAN'!$I$6,MATCH(RAB!C182,'HARGA SATUAN'!$C$7:$C$1492,0),0))</f>
        <v>848250</v>
      </c>
      <c r="H182" s="356">
        <f t="shared" ca="1" si="16"/>
        <v>3393000</v>
      </c>
      <c r="I182" s="356">
        <f t="shared" ca="1" si="17"/>
        <v>0</v>
      </c>
      <c r="J182" s="356">
        <f t="shared" ca="1" si="18"/>
        <v>0</v>
      </c>
      <c r="K182" s="357">
        <f t="shared" ca="1" si="19"/>
        <v>3393000</v>
      </c>
      <c r="L182" s="362"/>
      <c r="M182" s="362"/>
      <c r="N182" s="362"/>
      <c r="O182" s="358"/>
      <c r="P182" s="358"/>
      <c r="Q182" s="341"/>
      <c r="R182" s="333"/>
      <c r="S182" s="359"/>
      <c r="T182" s="338"/>
      <c r="U182" s="338"/>
      <c r="V182" s="338"/>
    </row>
    <row r="183" spans="1:22" s="363" customFormat="1">
      <c r="A183" s="333"/>
      <c r="B183" s="496">
        <v>2</v>
      </c>
      <c r="C183" s="109" t="s">
        <v>62</v>
      </c>
      <c r="D183" s="353" t="str">
        <f ca="1">IF(ISERROR(OFFSET('HARGA SATUAN'!$D$6,MATCH(RAB!C183,'HARGA SATUAN'!$C$7:$C$1492,0),0)),"",OFFSET('HARGA SATUAN'!$D$6,MATCH(RAB!C183,'HARGA SATUAN'!$C$7:$C$1492,0),0))</f>
        <v>HDW</v>
      </c>
      <c r="E183" s="354" t="str">
        <f ca="1">IF(B183="+","Unit",IF(ISERROR(OFFSET('HARGA SATUAN'!$E$6,MATCH(RAB!C183,'HARGA SATUAN'!$C$7:$C$1492,0),0)),"",OFFSET('HARGA SATUAN'!$E$6,MATCH(RAB!C183,'HARGA SATUAN'!$C$7:$C$1492,0),0)))</f>
        <v>Bh</v>
      </c>
      <c r="F183" s="505">
        <f>F181*1</f>
        <v>4</v>
      </c>
      <c r="G183" s="355">
        <f ca="1">IF(ISERROR(OFFSET('HARGA SATUAN'!$I$6,MATCH(RAB!C183,'HARGA SATUAN'!$C$7:$C$1492,0),0)),0,OFFSET('HARGA SATUAN'!$I$6,MATCH(RAB!C183,'HARGA SATUAN'!$C$7:$C$1492,0),0))</f>
        <v>32500</v>
      </c>
      <c r="H183" s="356">
        <f t="shared" ca="1" si="16"/>
        <v>0</v>
      </c>
      <c r="I183" s="356">
        <f t="shared" ca="1" si="17"/>
        <v>130000</v>
      </c>
      <c r="J183" s="356">
        <f t="shared" ca="1" si="18"/>
        <v>0</v>
      </c>
      <c r="K183" s="357">
        <f t="shared" ca="1" si="19"/>
        <v>130000</v>
      </c>
      <c r="L183" s="362"/>
      <c r="M183" s="362"/>
      <c r="N183" s="362"/>
      <c r="O183" s="358"/>
      <c r="P183" s="358"/>
      <c r="Q183" s="341"/>
      <c r="R183" s="333"/>
      <c r="S183" s="359"/>
      <c r="T183" s="338"/>
      <c r="U183" s="338"/>
      <c r="V183" s="338"/>
    </row>
    <row r="184" spans="1:22" s="363" customFormat="1">
      <c r="A184" s="333"/>
      <c r="B184" s="496">
        <v>3</v>
      </c>
      <c r="C184" s="497" t="s">
        <v>187</v>
      </c>
      <c r="D184" s="353" t="str">
        <f ca="1">IF(ISERROR(OFFSET('HARGA SATUAN'!$D$6,MATCH(RAB!C184,'HARGA SATUAN'!$C$7:$C$1492,0),0)),"",OFFSET('HARGA SATUAN'!$D$6,MATCH(RAB!C184,'HARGA SATUAN'!$C$7:$C$1492,0),0))</f>
        <v>HDW</v>
      </c>
      <c r="E184" s="354" t="str">
        <f ca="1">IF(B184="+","Unit",IF(ISERROR(OFFSET('HARGA SATUAN'!$E$6,MATCH(RAB!C184,'HARGA SATUAN'!$C$7:$C$1492,0),0)),"",OFFSET('HARGA SATUAN'!$E$6,MATCH(RAB!C184,'HARGA SATUAN'!$C$7:$C$1492,0),0)))</f>
        <v>Bh</v>
      </c>
      <c r="F184" s="505">
        <f>F181*1</f>
        <v>4</v>
      </c>
      <c r="G184" s="355">
        <f ca="1">IF(ISERROR(OFFSET('HARGA SATUAN'!$I$6,MATCH(RAB!C184,'HARGA SATUAN'!$C$7:$C$1492,0),0)),0,OFFSET('HARGA SATUAN'!$I$6,MATCH(RAB!C184,'HARGA SATUAN'!$C$7:$C$1492,0),0))</f>
        <v>17100</v>
      </c>
      <c r="H184" s="356">
        <f t="shared" ca="1" si="16"/>
        <v>0</v>
      </c>
      <c r="I184" s="356">
        <f t="shared" ca="1" si="17"/>
        <v>68400</v>
      </c>
      <c r="J184" s="356">
        <f t="shared" ca="1" si="18"/>
        <v>0</v>
      </c>
      <c r="K184" s="357">
        <f t="shared" ca="1" si="19"/>
        <v>68400</v>
      </c>
      <c r="L184" s="362"/>
      <c r="M184" s="362"/>
      <c r="N184" s="362"/>
      <c r="O184" s="358"/>
      <c r="P184" s="358"/>
      <c r="Q184" s="341"/>
      <c r="R184" s="333"/>
      <c r="S184" s="359"/>
      <c r="T184" s="338"/>
      <c r="U184" s="338"/>
      <c r="V184" s="338"/>
    </row>
    <row r="185" spans="1:22" s="363" customFormat="1">
      <c r="A185" s="333"/>
      <c r="B185" s="496">
        <v>4</v>
      </c>
      <c r="C185" s="109" t="s">
        <v>174</v>
      </c>
      <c r="D185" s="353" t="str">
        <f ca="1">IF(ISERROR(OFFSET('HARGA SATUAN'!$D$6,MATCH(RAB!C185,'HARGA SATUAN'!$C$7:$C$1492,0),0)),"",OFFSET('HARGA SATUAN'!$D$6,MATCH(RAB!C185,'HARGA SATUAN'!$C$7:$C$1492,0),0))</f>
        <v>HDW</v>
      </c>
      <c r="E185" s="354" t="str">
        <f ca="1">IF(B185="+","Unit",IF(ISERROR(OFFSET('HARGA SATUAN'!$E$6,MATCH(RAB!C185,'HARGA SATUAN'!$C$7:$C$1492,0),0)),"",OFFSET('HARGA SATUAN'!$E$6,MATCH(RAB!C185,'HARGA SATUAN'!$C$7:$C$1492,0),0)))</f>
        <v>Bh</v>
      </c>
      <c r="F185" s="505">
        <f>F181*1</f>
        <v>4</v>
      </c>
      <c r="G185" s="355">
        <f ca="1">IF(ISERROR(OFFSET('HARGA SATUAN'!$I$6,MATCH(RAB!C185,'HARGA SATUAN'!$C$7:$C$1492,0),0)),0,OFFSET('HARGA SATUAN'!$I$6,MATCH(RAB!C185,'HARGA SATUAN'!$C$7:$C$1492,0),0))</f>
        <v>67700</v>
      </c>
      <c r="H185" s="356">
        <f t="shared" ca="1" si="16"/>
        <v>0</v>
      </c>
      <c r="I185" s="356">
        <f t="shared" ca="1" si="17"/>
        <v>270800</v>
      </c>
      <c r="J185" s="356">
        <f t="shared" ca="1" si="18"/>
        <v>0</v>
      </c>
      <c r="K185" s="357">
        <f t="shared" ca="1" si="19"/>
        <v>270800</v>
      </c>
      <c r="L185" s="362"/>
      <c r="M185" s="362"/>
      <c r="N185" s="362"/>
      <c r="O185" s="358"/>
      <c r="P185" s="358"/>
      <c r="Q185" s="341"/>
      <c r="R185" s="333"/>
      <c r="S185" s="359"/>
      <c r="T185" s="338"/>
      <c r="U185" s="338"/>
      <c r="V185" s="338"/>
    </row>
    <row r="186" spans="1:22" s="363" customFormat="1">
      <c r="A186" s="333"/>
      <c r="B186" s="496">
        <v>5</v>
      </c>
      <c r="C186" s="497" t="s">
        <v>747</v>
      </c>
      <c r="D186" s="353" t="str">
        <f ca="1">IF(ISERROR(OFFSET('HARGA SATUAN'!$D$6,MATCH(RAB!C186,'HARGA SATUAN'!$C$7:$C$1492,0),0)),"",OFFSET('HARGA SATUAN'!$D$6,MATCH(RAB!C186,'HARGA SATUAN'!$C$7:$C$1492,0),0))</f>
        <v>JASA</v>
      </c>
      <c r="E186" s="354" t="str">
        <f ca="1">IF(B186="+","Unit",IF(ISERROR(OFFSET('HARGA SATUAN'!$E$6,MATCH(RAB!C186,'HARGA SATUAN'!$C$7:$C$1492,0),0)),"",OFFSET('HARGA SATUAN'!$E$6,MATCH(RAB!C186,'HARGA SATUAN'!$C$7:$C$1492,0),0)))</f>
        <v>Unit</v>
      </c>
      <c r="F186" s="505">
        <f>F181*1</f>
        <v>4</v>
      </c>
      <c r="G186" s="355">
        <f ca="1">IF(ISERROR(OFFSET('HARGA SATUAN'!$I$6,MATCH(RAB!C186,'HARGA SATUAN'!$C$7:$C$1492,0),0)),0,OFFSET('HARGA SATUAN'!$I$6,MATCH(RAB!C186,'HARGA SATUAN'!$C$7:$C$1492,0),0))</f>
        <v>58400</v>
      </c>
      <c r="H186" s="356">
        <f t="shared" ca="1" si="16"/>
        <v>0</v>
      </c>
      <c r="I186" s="356">
        <f t="shared" ca="1" si="17"/>
        <v>0</v>
      </c>
      <c r="J186" s="356">
        <f t="shared" ca="1" si="18"/>
        <v>233600</v>
      </c>
      <c r="K186" s="357">
        <f t="shared" ca="1" si="19"/>
        <v>233600</v>
      </c>
      <c r="L186" s="362"/>
      <c r="M186" s="362"/>
      <c r="N186" s="362"/>
      <c r="O186" s="358"/>
      <c r="P186" s="358"/>
      <c r="Q186" s="341"/>
      <c r="R186" s="333"/>
      <c r="S186" s="359"/>
      <c r="T186" s="338"/>
      <c r="U186" s="338"/>
      <c r="V186" s="338"/>
    </row>
    <row r="187" spans="1:22" s="363" customFormat="1">
      <c r="A187" s="333"/>
      <c r="B187" s="483"/>
      <c r="C187" s="109"/>
      <c r="D187" s="353" t="str">
        <f ca="1">IF(ISERROR(OFFSET('HARGA SATUAN'!$D$6,MATCH(RAB!C187,'HARGA SATUAN'!$C$7:$C$1492,0),0)),"",OFFSET('HARGA SATUAN'!$D$6,MATCH(RAB!C187,'HARGA SATUAN'!$C$7:$C$1492,0),0))</f>
        <v/>
      </c>
      <c r="E187" s="354" t="str">
        <f ca="1">IF(B187="+","Unit",IF(ISERROR(OFFSET('HARGA SATUAN'!$E$6,MATCH(RAB!C187,'HARGA SATUAN'!$C$7:$C$1492,0),0)),"",OFFSET('HARGA SATUAN'!$E$6,MATCH(RAB!C187,'HARGA SATUAN'!$C$7:$C$1492,0),0)))</f>
        <v/>
      </c>
      <c r="F187" s="361"/>
      <c r="G187" s="355">
        <f ca="1">IF(ISERROR(OFFSET('HARGA SATUAN'!$I$6,MATCH(RAB!C187,'HARGA SATUAN'!$C$7:$C$1492,0),0)),0,OFFSET('HARGA SATUAN'!$I$6,MATCH(RAB!C187,'HARGA SATUAN'!$C$7:$C$1492,0),0))</f>
        <v>0</v>
      </c>
      <c r="H187" s="356">
        <f t="shared" ca="1" si="16"/>
        <v>0</v>
      </c>
      <c r="I187" s="356">
        <f t="shared" ca="1" si="17"/>
        <v>0</v>
      </c>
      <c r="J187" s="356">
        <f t="shared" ca="1" si="18"/>
        <v>0</v>
      </c>
      <c r="K187" s="357">
        <f t="shared" ca="1" si="19"/>
        <v>0</v>
      </c>
      <c r="L187" s="362"/>
      <c r="M187" s="362"/>
      <c r="N187" s="362"/>
      <c r="O187" s="358"/>
      <c r="P187" s="358"/>
      <c r="Q187" s="341"/>
      <c r="R187" s="333"/>
      <c r="S187" s="359"/>
      <c r="T187" s="338"/>
      <c r="U187" s="338"/>
      <c r="V187" s="338"/>
    </row>
    <row r="188" spans="1:22" s="363" customFormat="1">
      <c r="A188" s="333"/>
      <c r="B188" s="496" t="s">
        <v>1035</v>
      </c>
      <c r="C188" s="497" t="s">
        <v>1630</v>
      </c>
      <c r="D188" s="353" t="str">
        <f ca="1">IF(ISERROR(OFFSET('HARGA SATUAN'!$D$6,MATCH(RAB!C188,'HARGA SATUAN'!$C$7:$C$1492,0),0)),"",OFFSET('HARGA SATUAN'!$D$6,MATCH(RAB!C188,'HARGA SATUAN'!$C$7:$C$1492,0),0))</f>
        <v/>
      </c>
      <c r="E188" s="354" t="str">
        <f ca="1">IF(B188="+","Unit",IF(ISERROR(OFFSET('HARGA SATUAN'!$E$6,MATCH(RAB!C188,'HARGA SATUAN'!$C$7:$C$1492,0),0)),"",OFFSET('HARGA SATUAN'!$E$6,MATCH(RAB!C188,'HARGA SATUAN'!$C$7:$C$1492,0),0)))</f>
        <v>Unit</v>
      </c>
      <c r="F188" s="505">
        <v>9</v>
      </c>
      <c r="G188" s="355">
        <f ca="1">IF(ISERROR(OFFSET('HARGA SATUAN'!$I$6,MATCH(RAB!C188,'HARGA SATUAN'!$C$7:$C$1492,0),0)),0,OFFSET('HARGA SATUAN'!$I$6,MATCH(RAB!C188,'HARGA SATUAN'!$C$7:$C$1492,0),0))</f>
        <v>0</v>
      </c>
      <c r="H188" s="356">
        <f t="shared" ca="1" si="16"/>
        <v>0</v>
      </c>
      <c r="I188" s="356">
        <f t="shared" ca="1" si="17"/>
        <v>0</v>
      </c>
      <c r="J188" s="356">
        <f t="shared" ca="1" si="18"/>
        <v>0</v>
      </c>
      <c r="K188" s="357">
        <f t="shared" ca="1" si="19"/>
        <v>0</v>
      </c>
      <c r="L188" s="362"/>
      <c r="M188" s="362"/>
      <c r="N188" s="362"/>
      <c r="O188" s="358"/>
      <c r="P188" s="358"/>
      <c r="Q188" s="341"/>
      <c r="R188" s="333"/>
      <c r="S188" s="359"/>
      <c r="T188" s="338"/>
      <c r="U188" s="338"/>
      <c r="V188" s="338"/>
    </row>
    <row r="189" spans="1:22" s="363" customFormat="1">
      <c r="A189" s="333"/>
      <c r="B189" s="496">
        <v>1</v>
      </c>
      <c r="C189" s="497" t="s">
        <v>181</v>
      </c>
      <c r="D189" s="353" t="str">
        <f ca="1">IF(ISERROR(OFFSET('HARGA SATUAN'!$D$6,MATCH(RAB!C189,'HARGA SATUAN'!$C$7:$C$1492,0),0)),"",OFFSET('HARGA SATUAN'!$D$6,MATCH(RAB!C189,'HARGA SATUAN'!$C$7:$C$1492,0),0))</f>
        <v>HDW</v>
      </c>
      <c r="E189" s="354" t="str">
        <f ca="1">IF(B189="+","Unit",IF(ISERROR(OFFSET('HARGA SATUAN'!$E$6,MATCH(RAB!C189,'HARGA SATUAN'!$C$7:$C$1492,0),0)),"",OFFSET('HARGA SATUAN'!$E$6,MATCH(RAB!C189,'HARGA SATUAN'!$C$7:$C$1492,0),0)))</f>
        <v>Bh</v>
      </c>
      <c r="F189" s="505">
        <f>F188*1</f>
        <v>9</v>
      </c>
      <c r="G189" s="355">
        <f ca="1">IF(ISERROR(OFFSET('HARGA SATUAN'!$I$6,MATCH(RAB!C189,'HARGA SATUAN'!$C$7:$C$1492,0),0)),0,OFFSET('HARGA SATUAN'!$I$6,MATCH(RAB!C189,'HARGA SATUAN'!$C$7:$C$1492,0),0))</f>
        <v>28100</v>
      </c>
      <c r="H189" s="356">
        <f t="shared" ca="1" si="16"/>
        <v>0</v>
      </c>
      <c r="I189" s="356">
        <f t="shared" ca="1" si="17"/>
        <v>252900</v>
      </c>
      <c r="J189" s="356">
        <f t="shared" ca="1" si="18"/>
        <v>0</v>
      </c>
      <c r="K189" s="357">
        <f t="shared" ca="1" si="19"/>
        <v>252900</v>
      </c>
      <c r="L189" s="362"/>
      <c r="M189" s="362"/>
      <c r="N189" s="362"/>
      <c r="O189" s="358"/>
      <c r="P189" s="358"/>
      <c r="Q189" s="341"/>
      <c r="R189" s="333"/>
      <c r="S189" s="359"/>
      <c r="T189" s="338"/>
      <c r="U189" s="338"/>
      <c r="V189" s="338"/>
    </row>
    <row r="190" spans="1:22" s="363" customFormat="1">
      <c r="A190" s="333"/>
      <c r="B190" s="496">
        <v>2</v>
      </c>
      <c r="C190" s="497" t="s">
        <v>67</v>
      </c>
      <c r="D190" s="353" t="str">
        <f ca="1">IF(ISERROR(OFFSET('HARGA SATUAN'!$D$6,MATCH(RAB!C190,'HARGA SATUAN'!$C$7:$C$1492,0),0)),"",OFFSET('HARGA SATUAN'!$D$6,MATCH(RAB!C190,'HARGA SATUAN'!$C$7:$C$1492,0),0))</f>
        <v>MDU-KD</v>
      </c>
      <c r="E190" s="354" t="str">
        <f ca="1">IF(B190="+","Unit",IF(ISERROR(OFFSET('HARGA SATUAN'!$E$6,MATCH(RAB!C190,'HARGA SATUAN'!$C$7:$C$1492,0),0)),"",OFFSET('HARGA SATUAN'!$E$6,MATCH(RAB!C190,'HARGA SATUAN'!$C$7:$C$1492,0),0)))</f>
        <v>Mtr</v>
      </c>
      <c r="F190" s="505">
        <f>F188*1</f>
        <v>9</v>
      </c>
      <c r="G190" s="355">
        <f ca="1">IF(ISERROR(OFFSET('HARGA SATUAN'!$I$6,MATCH(RAB!C190,'HARGA SATUAN'!$C$7:$C$1492,0),0)),0,OFFSET('HARGA SATUAN'!$I$6,MATCH(RAB!C190,'HARGA SATUAN'!$C$7:$C$1492,0),0))</f>
        <v>36900</v>
      </c>
      <c r="H190" s="356">
        <f t="shared" ca="1" si="16"/>
        <v>332100</v>
      </c>
      <c r="I190" s="356">
        <f t="shared" ca="1" si="17"/>
        <v>0</v>
      </c>
      <c r="J190" s="356">
        <f t="shared" ca="1" si="18"/>
        <v>0</v>
      </c>
      <c r="K190" s="357">
        <f t="shared" ca="1" si="19"/>
        <v>332100</v>
      </c>
      <c r="L190" s="362"/>
      <c r="M190" s="362"/>
      <c r="N190" s="362"/>
      <c r="O190" s="358"/>
      <c r="P190" s="358"/>
      <c r="Q190" s="341"/>
      <c r="R190" s="333"/>
      <c r="S190" s="359"/>
      <c r="T190" s="338"/>
      <c r="U190" s="338"/>
      <c r="V190" s="338"/>
    </row>
    <row r="191" spans="1:22" s="363" customFormat="1">
      <c r="A191" s="333"/>
      <c r="B191" s="496">
        <v>3</v>
      </c>
      <c r="C191" s="109" t="s">
        <v>559</v>
      </c>
      <c r="D191" s="353" t="str">
        <f ca="1">IF(ISERROR(OFFSET('HARGA SATUAN'!$D$6,MATCH(RAB!C191,'HARGA SATUAN'!$C$7:$C$1492,0),0)),"",OFFSET('HARGA SATUAN'!$D$6,MATCH(RAB!C191,'HARGA SATUAN'!$C$7:$C$1492,0),0))</f>
        <v>MDU-KD</v>
      </c>
      <c r="E191" s="354" t="str">
        <f ca="1">IF(B191="+","Unit",IF(ISERROR(OFFSET('HARGA SATUAN'!$E$6,MATCH(RAB!C191,'HARGA SATUAN'!$C$7:$C$1492,0),0)),"",OFFSET('HARGA SATUAN'!$E$6,MATCH(RAB!C191,'HARGA SATUAN'!$C$7:$C$1492,0),0)))</f>
        <v>Bh</v>
      </c>
      <c r="F191" s="505">
        <f>F188*1</f>
        <v>9</v>
      </c>
      <c r="G191" s="355">
        <f ca="1">IF(ISERROR(OFFSET('HARGA SATUAN'!$I$6,MATCH(RAB!C191,'HARGA SATUAN'!$C$7:$C$1492,0),0)),0,OFFSET('HARGA SATUAN'!$I$6,MATCH(RAB!C191,'HARGA SATUAN'!$C$7:$C$1492,0),0))</f>
        <v>725900</v>
      </c>
      <c r="H191" s="356">
        <f t="shared" ca="1" si="16"/>
        <v>6533100</v>
      </c>
      <c r="I191" s="356">
        <f t="shared" ca="1" si="17"/>
        <v>0</v>
      </c>
      <c r="J191" s="356">
        <f t="shared" ca="1" si="18"/>
        <v>0</v>
      </c>
      <c r="K191" s="357">
        <f t="shared" ca="1" si="19"/>
        <v>6533100</v>
      </c>
      <c r="L191" s="362"/>
      <c r="M191" s="362"/>
      <c r="N191" s="362"/>
      <c r="O191" s="358"/>
      <c r="P191" s="358"/>
      <c r="Q191" s="341"/>
      <c r="R191" s="333"/>
      <c r="S191" s="359"/>
      <c r="T191" s="338"/>
      <c r="U191" s="338"/>
      <c r="V191" s="338"/>
    </row>
    <row r="192" spans="1:22" s="363" customFormat="1">
      <c r="A192" s="333"/>
      <c r="B192" s="496">
        <v>4</v>
      </c>
      <c r="C192" s="497" t="s">
        <v>745</v>
      </c>
      <c r="D192" s="353" t="str">
        <f ca="1">IF(ISERROR(OFFSET('HARGA SATUAN'!$D$6,MATCH(RAB!C192,'HARGA SATUAN'!$C$7:$C$1492,0),0)),"",OFFSET('HARGA SATUAN'!$D$6,MATCH(RAB!C192,'HARGA SATUAN'!$C$7:$C$1492,0),0))</f>
        <v>JASA</v>
      </c>
      <c r="E192" s="354" t="str">
        <f ca="1">IF(B192="+","Unit",IF(ISERROR(OFFSET('HARGA SATUAN'!$E$6,MATCH(RAB!C192,'HARGA SATUAN'!$C$7:$C$1492,0),0)),"",OFFSET('HARGA SATUAN'!$E$6,MATCH(RAB!C192,'HARGA SATUAN'!$C$7:$C$1492,0),0)))</f>
        <v>Unit</v>
      </c>
      <c r="F192" s="505">
        <f>F188*1</f>
        <v>9</v>
      </c>
      <c r="G192" s="355">
        <f ca="1">IF(ISERROR(OFFSET('HARGA SATUAN'!$I$6,MATCH(RAB!C192,'HARGA SATUAN'!$C$7:$C$1492,0),0)),0,OFFSET('HARGA SATUAN'!$I$6,MATCH(RAB!C192,'HARGA SATUAN'!$C$7:$C$1492,0),0))</f>
        <v>58400</v>
      </c>
      <c r="H192" s="356">
        <f t="shared" ca="1" si="16"/>
        <v>0</v>
      </c>
      <c r="I192" s="356">
        <f t="shared" ca="1" si="17"/>
        <v>0</v>
      </c>
      <c r="J192" s="356">
        <f t="shared" ca="1" si="18"/>
        <v>525600</v>
      </c>
      <c r="K192" s="357">
        <f t="shared" ca="1" si="19"/>
        <v>525600</v>
      </c>
      <c r="L192" s="362"/>
      <c r="M192" s="362"/>
      <c r="N192" s="362"/>
      <c r="O192" s="358"/>
      <c r="P192" s="358"/>
      <c r="Q192" s="341"/>
      <c r="R192" s="333"/>
      <c r="S192" s="359"/>
      <c r="T192" s="338"/>
      <c r="U192" s="338"/>
      <c r="V192" s="338"/>
    </row>
    <row r="193" spans="1:22" s="363" customFormat="1">
      <c r="A193" s="333"/>
      <c r="B193" s="483"/>
      <c r="C193" s="109"/>
      <c r="D193" s="353" t="str">
        <f ca="1">IF(ISERROR(OFFSET('HARGA SATUAN'!$D$6,MATCH(RAB!C193,'HARGA SATUAN'!$C$7:$C$1492,0),0)),"",OFFSET('HARGA SATUAN'!$D$6,MATCH(RAB!C193,'HARGA SATUAN'!$C$7:$C$1492,0),0))</f>
        <v/>
      </c>
      <c r="E193" s="354" t="str">
        <f ca="1">IF(B193="+","Unit",IF(ISERROR(OFFSET('HARGA SATUAN'!$E$6,MATCH(RAB!C193,'HARGA SATUAN'!$C$7:$C$1492,0),0)),"",OFFSET('HARGA SATUAN'!$E$6,MATCH(RAB!C193,'HARGA SATUAN'!$C$7:$C$1492,0),0)))</f>
        <v/>
      </c>
      <c r="F193" s="361"/>
      <c r="G193" s="355">
        <f ca="1">IF(ISERROR(OFFSET('HARGA SATUAN'!$I$6,MATCH(RAB!C193,'HARGA SATUAN'!$C$7:$C$1492,0),0)),0,OFFSET('HARGA SATUAN'!$I$6,MATCH(RAB!C193,'HARGA SATUAN'!$C$7:$C$1492,0),0))</f>
        <v>0</v>
      </c>
      <c r="H193" s="356">
        <f t="shared" ca="1" si="16"/>
        <v>0</v>
      </c>
      <c r="I193" s="356">
        <f t="shared" ca="1" si="17"/>
        <v>0</v>
      </c>
      <c r="J193" s="356">
        <f t="shared" ca="1" si="18"/>
        <v>0</v>
      </c>
      <c r="K193" s="357">
        <f t="shared" ca="1" si="19"/>
        <v>0</v>
      </c>
      <c r="L193" s="362"/>
      <c r="M193" s="362"/>
      <c r="N193" s="362"/>
      <c r="O193" s="358"/>
      <c r="P193" s="358"/>
      <c r="Q193" s="341"/>
      <c r="R193" s="333"/>
      <c r="S193" s="359"/>
      <c r="T193" s="338"/>
      <c r="U193" s="338"/>
      <c r="V193" s="338"/>
    </row>
    <row r="194" spans="1:22" s="363" customFormat="1">
      <c r="A194" s="333"/>
      <c r="B194" s="506" t="s">
        <v>1035</v>
      </c>
      <c r="C194" s="507" t="s">
        <v>1662</v>
      </c>
      <c r="D194" s="353" t="str">
        <f ca="1">IF(ISERROR(OFFSET('HARGA SATUAN'!$D$6,MATCH(RAB!C194,'HARGA SATUAN'!$C$7:$C$1492,0),0)),"",OFFSET('HARGA SATUAN'!$D$6,MATCH(RAB!C194,'HARGA SATUAN'!$C$7:$C$1492,0),0))</f>
        <v/>
      </c>
      <c r="E194" s="354" t="str">
        <f ca="1">IF(B194="+","Unit",IF(ISERROR(OFFSET('HARGA SATUAN'!$E$6,MATCH(RAB!C194,'HARGA SATUAN'!$C$7:$C$1492,0),0)),"",OFFSET('HARGA SATUAN'!$E$6,MATCH(RAB!C194,'HARGA SATUAN'!$C$7:$C$1492,0),0)))</f>
        <v>Unit</v>
      </c>
      <c r="F194" s="489">
        <f>F188</f>
        <v>9</v>
      </c>
      <c r="G194" s="355">
        <f ca="1">IF(ISERROR(OFFSET('HARGA SATUAN'!$I$6,MATCH(RAB!C194,'HARGA SATUAN'!$C$7:$C$1492,0),0)),0,OFFSET('HARGA SATUAN'!$I$6,MATCH(RAB!C194,'HARGA SATUAN'!$C$7:$C$1492,0),0))</f>
        <v>0</v>
      </c>
      <c r="H194" s="356">
        <f t="shared" ca="1" si="16"/>
        <v>0</v>
      </c>
      <c r="I194" s="356">
        <f t="shared" ca="1" si="17"/>
        <v>0</v>
      </c>
      <c r="J194" s="356">
        <f t="shared" ca="1" si="18"/>
        <v>0</v>
      </c>
      <c r="K194" s="357">
        <f t="shared" ca="1" si="19"/>
        <v>0</v>
      </c>
      <c r="L194" s="362"/>
      <c r="M194" s="362"/>
      <c r="N194" s="362"/>
      <c r="O194" s="358"/>
      <c r="P194" s="358"/>
      <c r="Q194" s="341"/>
      <c r="R194" s="333"/>
      <c r="S194" s="359"/>
      <c r="T194" s="338"/>
      <c r="U194" s="338"/>
      <c r="V194" s="338"/>
    </row>
    <row r="195" spans="1:22" s="363" customFormat="1">
      <c r="A195" s="333"/>
      <c r="B195" s="506">
        <v>1</v>
      </c>
      <c r="C195" s="498" t="s">
        <v>29</v>
      </c>
      <c r="D195" s="353" t="str">
        <f ca="1">IF(ISERROR(OFFSET('HARGA SATUAN'!$D$6,MATCH(RAB!C195,'HARGA SATUAN'!$C$7:$C$1492,0),0)),"",OFFSET('HARGA SATUAN'!$D$6,MATCH(RAB!C195,'HARGA SATUAN'!$C$7:$C$1492,0),0))</f>
        <v>HDW</v>
      </c>
      <c r="E195" s="354" t="str">
        <f ca="1">IF(B195="+","Unit",IF(ISERROR(OFFSET('HARGA SATUAN'!$E$6,MATCH(RAB!C195,'HARGA SATUAN'!$C$7:$C$1492,0),0)),"",OFFSET('HARGA SATUAN'!$E$6,MATCH(RAB!C195,'HARGA SATUAN'!$C$7:$C$1492,0),0)))</f>
        <v>Bh</v>
      </c>
      <c r="F195" s="489">
        <f>F194*1</f>
        <v>9</v>
      </c>
      <c r="G195" s="355">
        <f ca="1">IF(ISERROR(OFFSET('HARGA SATUAN'!$I$6,MATCH(RAB!C195,'HARGA SATUAN'!$C$7:$C$1492,0),0)),0,OFFSET('HARGA SATUAN'!$I$6,MATCH(RAB!C195,'HARGA SATUAN'!$C$7:$C$1492,0),0))</f>
        <v>185200</v>
      </c>
      <c r="H195" s="356">
        <f t="shared" ca="1" si="16"/>
        <v>0</v>
      </c>
      <c r="I195" s="356">
        <f t="shared" ca="1" si="17"/>
        <v>1666800</v>
      </c>
      <c r="J195" s="356">
        <f t="shared" ca="1" si="18"/>
        <v>0</v>
      </c>
      <c r="K195" s="357">
        <f t="shared" ca="1" si="19"/>
        <v>1666800</v>
      </c>
      <c r="L195" s="362"/>
      <c r="M195" s="362"/>
      <c r="N195" s="362"/>
      <c r="O195" s="358"/>
      <c r="P195" s="358"/>
      <c r="Q195" s="341"/>
      <c r="R195" s="333"/>
      <c r="S195" s="359"/>
      <c r="T195" s="338"/>
      <c r="U195" s="338"/>
      <c r="V195" s="338"/>
    </row>
    <row r="196" spans="1:22" s="363" customFormat="1">
      <c r="A196" s="333"/>
      <c r="B196" s="496">
        <v>2</v>
      </c>
      <c r="C196" s="497" t="s">
        <v>30</v>
      </c>
      <c r="D196" s="353" t="str">
        <f ca="1">IF(ISERROR(OFFSET('HARGA SATUAN'!$D$6,MATCH(RAB!C196,'HARGA SATUAN'!$C$7:$C$1492,0),0)),"",OFFSET('HARGA SATUAN'!$D$6,MATCH(RAB!C196,'HARGA SATUAN'!$C$7:$C$1492,0),0))</f>
        <v>HDW</v>
      </c>
      <c r="E196" s="354" t="str">
        <f ca="1">IF(B196="+","Unit",IF(ISERROR(OFFSET('HARGA SATUAN'!$E$6,MATCH(RAB!C196,'HARGA SATUAN'!$C$7:$C$1492,0),0)),"",OFFSET('HARGA SATUAN'!$E$6,MATCH(RAB!C196,'HARGA SATUAN'!$C$7:$C$1492,0),0)))</f>
        <v>Bh</v>
      </c>
      <c r="F196" s="489">
        <f>F194*1</f>
        <v>9</v>
      </c>
      <c r="G196" s="355">
        <f ca="1">IF(ISERROR(OFFSET('HARGA SATUAN'!$I$6,MATCH(RAB!C196,'HARGA SATUAN'!$C$7:$C$1492,0),0)),0,OFFSET('HARGA SATUAN'!$I$6,MATCH(RAB!C196,'HARGA SATUAN'!$C$7:$C$1492,0),0))</f>
        <v>47459</v>
      </c>
      <c r="H196" s="356">
        <f t="shared" ca="1" si="16"/>
        <v>0</v>
      </c>
      <c r="I196" s="356">
        <f t="shared" ca="1" si="17"/>
        <v>427131</v>
      </c>
      <c r="J196" s="356">
        <f t="shared" ca="1" si="18"/>
        <v>0</v>
      </c>
      <c r="K196" s="357">
        <f t="shared" ca="1" si="19"/>
        <v>427131</v>
      </c>
      <c r="L196" s="362"/>
      <c r="M196" s="362"/>
      <c r="N196" s="362"/>
      <c r="O196" s="358"/>
      <c r="P196" s="358"/>
      <c r="Q196" s="341"/>
      <c r="R196" s="333"/>
      <c r="S196" s="359"/>
      <c r="T196" s="338"/>
      <c r="U196" s="338"/>
      <c r="V196" s="338"/>
    </row>
    <row r="197" spans="1:22" s="363" customFormat="1">
      <c r="A197" s="333"/>
      <c r="B197" s="496">
        <v>3</v>
      </c>
      <c r="C197" s="497" t="s">
        <v>31</v>
      </c>
      <c r="D197" s="353" t="str">
        <f ca="1">IF(ISERROR(OFFSET('HARGA SATUAN'!$D$6,MATCH(RAB!C197,'HARGA SATUAN'!$C$7:$C$1492,0),0)),"",OFFSET('HARGA SATUAN'!$D$6,MATCH(RAB!C197,'HARGA SATUAN'!$C$7:$C$1492,0),0))</f>
        <v>HDW</v>
      </c>
      <c r="E197" s="354" t="str">
        <f ca="1">IF(B197="+","Unit",IF(ISERROR(OFFSET('HARGA SATUAN'!$E$6,MATCH(RAB!C197,'HARGA SATUAN'!$C$7:$C$1492,0),0)),"",OFFSET('HARGA SATUAN'!$E$6,MATCH(RAB!C197,'HARGA SATUAN'!$C$7:$C$1492,0),0)))</f>
        <v>Bh</v>
      </c>
      <c r="F197" s="489">
        <f>F194*1</f>
        <v>9</v>
      </c>
      <c r="G197" s="355">
        <f ca="1">IF(ISERROR(OFFSET('HARGA SATUAN'!$I$6,MATCH(RAB!C197,'HARGA SATUAN'!$C$7:$C$1492,0),0)),0,OFFSET('HARGA SATUAN'!$I$6,MATCH(RAB!C197,'HARGA SATUAN'!$C$7:$C$1492,0),0))</f>
        <v>4880</v>
      </c>
      <c r="H197" s="356">
        <f t="shared" ca="1" si="16"/>
        <v>0</v>
      </c>
      <c r="I197" s="356">
        <f t="shared" ca="1" si="17"/>
        <v>43920</v>
      </c>
      <c r="J197" s="356">
        <f t="shared" ca="1" si="18"/>
        <v>0</v>
      </c>
      <c r="K197" s="357">
        <f t="shared" ca="1" si="19"/>
        <v>43920</v>
      </c>
      <c r="L197" s="362"/>
      <c r="M197" s="362"/>
      <c r="N197" s="362"/>
      <c r="O197" s="358"/>
      <c r="P197" s="358"/>
      <c r="Q197" s="341"/>
      <c r="R197" s="333"/>
      <c r="S197" s="359"/>
      <c r="T197" s="338"/>
      <c r="U197" s="338"/>
      <c r="V197" s="338"/>
    </row>
    <row r="198" spans="1:22" s="363" customFormat="1">
      <c r="A198" s="333"/>
      <c r="B198" s="496">
        <v>4</v>
      </c>
      <c r="C198" s="497" t="s">
        <v>32</v>
      </c>
      <c r="D198" s="353" t="str">
        <f ca="1">IF(ISERROR(OFFSET('HARGA SATUAN'!$D$6,MATCH(RAB!C198,'HARGA SATUAN'!$C$7:$C$1492,0),0)),"",OFFSET('HARGA SATUAN'!$D$6,MATCH(RAB!C198,'HARGA SATUAN'!$C$7:$C$1492,0),0))</f>
        <v>HDW</v>
      </c>
      <c r="E198" s="354" t="str">
        <f ca="1">IF(B198="+","Unit",IF(ISERROR(OFFSET('HARGA SATUAN'!$E$6,MATCH(RAB!C198,'HARGA SATUAN'!$C$7:$C$1492,0),0)),"",OFFSET('HARGA SATUAN'!$E$6,MATCH(RAB!C198,'HARGA SATUAN'!$C$7:$C$1492,0),0)))</f>
        <v>Mtr</v>
      </c>
      <c r="F198" s="489">
        <f>F194*10</f>
        <v>90</v>
      </c>
      <c r="G198" s="355">
        <f ca="1">IF(ISERROR(OFFSET('HARGA SATUAN'!$I$6,MATCH(RAB!C198,'HARGA SATUAN'!$C$7:$C$1492,0),0)),0,OFFSET('HARGA SATUAN'!$I$6,MATCH(RAB!C198,'HARGA SATUAN'!$C$7:$C$1492,0),0))</f>
        <v>30000</v>
      </c>
      <c r="H198" s="356">
        <f t="shared" ca="1" si="16"/>
        <v>0</v>
      </c>
      <c r="I198" s="356">
        <f t="shared" ca="1" si="17"/>
        <v>2700000</v>
      </c>
      <c r="J198" s="356">
        <f t="shared" ca="1" si="18"/>
        <v>0</v>
      </c>
      <c r="K198" s="357">
        <f t="shared" ca="1" si="19"/>
        <v>2700000</v>
      </c>
      <c r="L198" s="362"/>
      <c r="M198" s="362"/>
      <c r="N198" s="362"/>
      <c r="O198" s="358"/>
      <c r="P198" s="358"/>
      <c r="Q198" s="341"/>
      <c r="R198" s="333"/>
      <c r="S198" s="359"/>
      <c r="T198" s="338"/>
      <c r="U198" s="338"/>
      <c r="V198" s="338"/>
    </row>
    <row r="199" spans="1:22" s="363" customFormat="1">
      <c r="A199" s="333"/>
      <c r="B199" s="496">
        <v>5</v>
      </c>
      <c r="C199" s="497" t="s">
        <v>33</v>
      </c>
      <c r="D199" s="353" t="str">
        <f ca="1">IF(ISERROR(OFFSET('HARGA SATUAN'!$D$6,MATCH(RAB!C199,'HARGA SATUAN'!$C$7:$C$1492,0),0)),"",OFFSET('HARGA SATUAN'!$D$6,MATCH(RAB!C199,'HARGA SATUAN'!$C$7:$C$1492,0),0))</f>
        <v>HDW</v>
      </c>
      <c r="E199" s="354" t="str">
        <f ca="1">IF(B199="+","Unit",IF(ISERROR(OFFSET('HARGA SATUAN'!$E$6,MATCH(RAB!C199,'HARGA SATUAN'!$C$7:$C$1492,0),0)),"",OFFSET('HARGA SATUAN'!$E$6,MATCH(RAB!C199,'HARGA SATUAN'!$C$7:$C$1492,0),0)))</f>
        <v>Bh</v>
      </c>
      <c r="F199" s="489">
        <f>F194*2</f>
        <v>18</v>
      </c>
      <c r="G199" s="355">
        <f ca="1">IF(ISERROR(OFFSET('HARGA SATUAN'!$I$6,MATCH(RAB!C199,'HARGA SATUAN'!$C$7:$C$1492,0),0)),0,OFFSET('HARGA SATUAN'!$I$6,MATCH(RAB!C199,'HARGA SATUAN'!$C$7:$C$1492,0),0))</f>
        <v>9500</v>
      </c>
      <c r="H199" s="356">
        <f t="shared" ca="1" si="16"/>
        <v>0</v>
      </c>
      <c r="I199" s="356">
        <f t="shared" ca="1" si="17"/>
        <v>171000</v>
      </c>
      <c r="J199" s="356">
        <f t="shared" ca="1" si="18"/>
        <v>0</v>
      </c>
      <c r="K199" s="357">
        <f t="shared" ca="1" si="19"/>
        <v>171000</v>
      </c>
      <c r="L199" s="362"/>
      <c r="M199" s="362"/>
      <c r="N199" s="362"/>
      <c r="O199" s="358"/>
      <c r="P199" s="358"/>
      <c r="Q199" s="341"/>
      <c r="R199" s="333"/>
      <c r="S199" s="359"/>
      <c r="T199" s="338"/>
      <c r="U199" s="338"/>
      <c r="V199" s="338"/>
    </row>
    <row r="200" spans="1:22" s="363" customFormat="1">
      <c r="A200" s="333"/>
      <c r="B200" s="496">
        <v>6</v>
      </c>
      <c r="C200" s="497" t="s">
        <v>34</v>
      </c>
      <c r="D200" s="353" t="str">
        <f ca="1">IF(ISERROR(OFFSET('HARGA SATUAN'!$D$6,MATCH(RAB!C200,'HARGA SATUAN'!$C$7:$C$1492,0),0)),"",OFFSET('HARGA SATUAN'!$D$6,MATCH(RAB!C200,'HARGA SATUAN'!$C$7:$C$1492,0),0))</f>
        <v>HDW</v>
      </c>
      <c r="E200" s="354" t="str">
        <f ca="1">IF(B200="+","Unit",IF(ISERROR(OFFSET('HARGA SATUAN'!$E$6,MATCH(RAB!C200,'HARGA SATUAN'!$C$7:$C$1492,0),0)),"",OFFSET('HARGA SATUAN'!$E$6,MATCH(RAB!C200,'HARGA SATUAN'!$C$7:$C$1492,0),0)))</f>
        <v>Bh</v>
      </c>
      <c r="F200" s="489">
        <f>F194*5.5</f>
        <v>49.5</v>
      </c>
      <c r="G200" s="355">
        <f ca="1">IF(ISERROR(OFFSET('HARGA SATUAN'!$I$6,MATCH(RAB!C200,'HARGA SATUAN'!$C$7:$C$1492,0),0)),0,OFFSET('HARGA SATUAN'!$I$6,MATCH(RAB!C200,'HARGA SATUAN'!$C$7:$C$1492,0),0))</f>
        <v>6100</v>
      </c>
      <c r="H200" s="356">
        <f t="shared" ca="1" si="16"/>
        <v>0</v>
      </c>
      <c r="I200" s="356">
        <f t="shared" ca="1" si="17"/>
        <v>301950</v>
      </c>
      <c r="J200" s="356">
        <f t="shared" ca="1" si="18"/>
        <v>0</v>
      </c>
      <c r="K200" s="357">
        <f t="shared" ca="1" si="19"/>
        <v>301950</v>
      </c>
      <c r="L200" s="362"/>
      <c r="M200" s="362"/>
      <c r="N200" s="362"/>
      <c r="O200" s="358"/>
      <c r="P200" s="358"/>
      <c r="Q200" s="341"/>
      <c r="R200" s="333"/>
      <c r="S200" s="359"/>
      <c r="T200" s="338"/>
      <c r="U200" s="338"/>
      <c r="V200" s="338"/>
    </row>
    <row r="201" spans="1:22" s="363" customFormat="1">
      <c r="A201" s="333"/>
      <c r="B201" s="496">
        <v>7</v>
      </c>
      <c r="C201" s="497" t="s">
        <v>35</v>
      </c>
      <c r="D201" s="353" t="str">
        <f ca="1">IF(ISERROR(OFFSET('HARGA SATUAN'!$D$6,MATCH(RAB!C201,'HARGA SATUAN'!$C$7:$C$1492,0),0)),"",OFFSET('HARGA SATUAN'!$D$6,MATCH(RAB!C201,'HARGA SATUAN'!$C$7:$C$1492,0),0))</f>
        <v>HDW</v>
      </c>
      <c r="E201" s="354" t="str">
        <f ca="1">IF(B201="+","Unit",IF(ISERROR(OFFSET('HARGA SATUAN'!$E$6,MATCH(RAB!C201,'HARGA SATUAN'!$C$7:$C$1492,0),0)),"",OFFSET('HARGA SATUAN'!$E$6,MATCH(RAB!C201,'HARGA SATUAN'!$C$7:$C$1492,0),0)))</f>
        <v>Bh</v>
      </c>
      <c r="F201" s="489">
        <f>F194*6</f>
        <v>54</v>
      </c>
      <c r="G201" s="355">
        <f ca="1">IF(ISERROR(OFFSET('HARGA SATUAN'!$I$6,MATCH(RAB!C201,'HARGA SATUAN'!$C$7:$C$1492,0),0)),0,OFFSET('HARGA SATUAN'!$I$6,MATCH(RAB!C201,'HARGA SATUAN'!$C$7:$C$1492,0),0))</f>
        <v>2300</v>
      </c>
      <c r="H201" s="356">
        <f t="shared" ca="1" si="16"/>
        <v>0</v>
      </c>
      <c r="I201" s="356">
        <f t="shared" ca="1" si="17"/>
        <v>124200</v>
      </c>
      <c r="J201" s="356">
        <f t="shared" ca="1" si="18"/>
        <v>0</v>
      </c>
      <c r="K201" s="357">
        <f t="shared" ca="1" si="19"/>
        <v>124200</v>
      </c>
      <c r="L201" s="362"/>
      <c r="M201" s="362"/>
      <c r="N201" s="362"/>
      <c r="O201" s="358"/>
      <c r="P201" s="358"/>
      <c r="Q201" s="341"/>
      <c r="R201" s="333"/>
      <c r="S201" s="359"/>
      <c r="T201" s="338"/>
      <c r="U201" s="338"/>
      <c r="V201" s="338"/>
    </row>
    <row r="202" spans="1:22" s="363" customFormat="1">
      <c r="A202" s="333"/>
      <c r="B202" s="496">
        <v>8</v>
      </c>
      <c r="C202" s="497" t="s">
        <v>1663</v>
      </c>
      <c r="D202" s="353" t="str">
        <f ca="1">IF(ISERROR(OFFSET('HARGA SATUAN'!$D$6,MATCH(RAB!C202,'HARGA SATUAN'!$C$7:$C$1492,0),0)),"",OFFSET('HARGA SATUAN'!$D$6,MATCH(RAB!C202,'HARGA SATUAN'!$C$7:$C$1492,0),0))</f>
        <v>HDW</v>
      </c>
      <c r="E202" s="354" t="str">
        <f ca="1">IF(B202="+","Unit",IF(ISERROR(OFFSET('HARGA SATUAN'!$E$6,MATCH(RAB!C202,'HARGA SATUAN'!$C$7:$C$1492,0),0)),"",OFFSET('HARGA SATUAN'!$E$6,MATCH(RAB!C202,'HARGA SATUAN'!$C$7:$C$1492,0),0)))</f>
        <v>Mtr</v>
      </c>
      <c r="F202" s="489">
        <f>F194*4.8</f>
        <v>43.199999999999996</v>
      </c>
      <c r="G202" s="355">
        <f ca="1">IF(ISERROR(OFFSET('HARGA SATUAN'!$I$6,MATCH(RAB!C202,'HARGA SATUAN'!$C$7:$C$1492,0),0)),0,OFFSET('HARGA SATUAN'!$I$6,MATCH(RAB!C202,'HARGA SATUAN'!$C$7:$C$1492,0),0))</f>
        <v>23310</v>
      </c>
      <c r="H202" s="356">
        <f t="shared" ca="1" si="16"/>
        <v>0</v>
      </c>
      <c r="I202" s="356">
        <f t="shared" ca="1" si="17"/>
        <v>1006991.9999999999</v>
      </c>
      <c r="J202" s="356">
        <f t="shared" ca="1" si="18"/>
        <v>0</v>
      </c>
      <c r="K202" s="357">
        <f t="shared" ca="1" si="19"/>
        <v>1006991.9999999999</v>
      </c>
      <c r="L202" s="362"/>
      <c r="M202" s="362"/>
      <c r="N202" s="362"/>
      <c r="O202" s="358"/>
      <c r="P202" s="358"/>
      <c r="Q202" s="341"/>
      <c r="R202" s="333"/>
      <c r="S202" s="359"/>
      <c r="T202" s="338"/>
      <c r="U202" s="338"/>
      <c r="V202" s="338"/>
    </row>
    <row r="203" spans="1:22" s="363" customFormat="1">
      <c r="A203" s="333"/>
      <c r="B203" s="496">
        <v>9</v>
      </c>
      <c r="C203" s="497" t="s">
        <v>736</v>
      </c>
      <c r="D203" s="353" t="str">
        <f ca="1">IF(ISERROR(OFFSET('HARGA SATUAN'!$D$6,MATCH(RAB!C203,'HARGA SATUAN'!$C$7:$C$1492,0),0)),"",OFFSET('HARGA SATUAN'!$D$6,MATCH(RAB!C203,'HARGA SATUAN'!$C$7:$C$1492,0),0))</f>
        <v>JASA</v>
      </c>
      <c r="E203" s="354" t="str">
        <f ca="1">IF(B203="+","Unit",IF(ISERROR(OFFSET('HARGA SATUAN'!$E$6,MATCH(RAB!C203,'HARGA SATUAN'!$C$7:$C$1492,0),0)),"",OFFSET('HARGA SATUAN'!$E$6,MATCH(RAB!C203,'HARGA SATUAN'!$C$7:$C$1492,0),0)))</f>
        <v>Unit</v>
      </c>
      <c r="F203" s="489">
        <f>F194*1</f>
        <v>9</v>
      </c>
      <c r="G203" s="355">
        <f ca="1">IF(ISERROR(OFFSET('HARGA SATUAN'!$I$6,MATCH(RAB!C203,'HARGA SATUAN'!$C$7:$C$1492,0),0)),0,OFFSET('HARGA SATUAN'!$I$6,MATCH(RAB!C203,'HARGA SATUAN'!$C$7:$C$1492,0),0))</f>
        <v>65400</v>
      </c>
      <c r="H203" s="356">
        <f t="shared" ca="1" si="16"/>
        <v>0</v>
      </c>
      <c r="I203" s="356">
        <f t="shared" ca="1" si="17"/>
        <v>0</v>
      </c>
      <c r="J203" s="356">
        <f t="shared" ca="1" si="18"/>
        <v>588600</v>
      </c>
      <c r="K203" s="357">
        <f t="shared" ca="1" si="19"/>
        <v>588600</v>
      </c>
      <c r="L203" s="362"/>
      <c r="M203" s="362"/>
      <c r="N203" s="362"/>
      <c r="O203" s="358"/>
      <c r="P203" s="358"/>
      <c r="Q203" s="341"/>
      <c r="R203" s="333"/>
      <c r="S203" s="359"/>
      <c r="T203" s="338"/>
      <c r="U203" s="338"/>
      <c r="V203" s="338"/>
    </row>
    <row r="204" spans="1:22" s="363" customFormat="1">
      <c r="A204" s="333"/>
      <c r="B204" s="483"/>
      <c r="C204" s="109"/>
      <c r="D204" s="353" t="str">
        <f ca="1">IF(ISERROR(OFFSET('HARGA SATUAN'!$D$6,MATCH(RAB!C204,'HARGA SATUAN'!$C$7:$C$1492,0),0)),"",OFFSET('HARGA SATUAN'!$D$6,MATCH(RAB!C204,'HARGA SATUAN'!$C$7:$C$1492,0),0))</f>
        <v/>
      </c>
      <c r="E204" s="354" t="str">
        <f ca="1">IF(B204="+","Unit",IF(ISERROR(OFFSET('HARGA SATUAN'!$E$6,MATCH(RAB!C204,'HARGA SATUAN'!$C$7:$C$1492,0),0)),"",OFFSET('HARGA SATUAN'!$E$6,MATCH(RAB!C204,'HARGA SATUAN'!$C$7:$C$1492,0),0)))</f>
        <v/>
      </c>
      <c r="F204" s="361"/>
      <c r="G204" s="355">
        <f ca="1">IF(ISERROR(OFFSET('HARGA SATUAN'!$I$6,MATCH(RAB!C204,'HARGA SATUAN'!$C$7:$C$1492,0),0)),0,OFFSET('HARGA SATUAN'!$I$6,MATCH(RAB!C204,'HARGA SATUAN'!$C$7:$C$1492,0),0))</f>
        <v>0</v>
      </c>
      <c r="H204" s="356">
        <f t="shared" ca="1" si="16"/>
        <v>0</v>
      </c>
      <c r="I204" s="356">
        <f t="shared" ca="1" si="17"/>
        <v>0</v>
      </c>
      <c r="J204" s="356">
        <f t="shared" ca="1" si="18"/>
        <v>0</v>
      </c>
      <c r="K204" s="357">
        <f t="shared" ca="1" si="19"/>
        <v>0</v>
      </c>
      <c r="L204" s="362"/>
      <c r="M204" s="362"/>
      <c r="N204" s="362"/>
      <c r="O204" s="358"/>
      <c r="P204" s="358"/>
      <c r="Q204" s="341"/>
      <c r="R204" s="333"/>
      <c r="S204" s="359"/>
      <c r="T204" s="338"/>
      <c r="U204" s="338"/>
      <c r="V204" s="338"/>
    </row>
    <row r="205" spans="1:22" s="363" customFormat="1">
      <c r="A205" s="333"/>
      <c r="B205" s="483"/>
      <c r="C205" s="504" t="s">
        <v>1664</v>
      </c>
      <c r="D205" s="353" t="str">
        <f ca="1">IF(ISERROR(OFFSET('HARGA SATUAN'!$D$6,MATCH(RAB!C205,'HARGA SATUAN'!$C$7:$C$1492,0),0)),"",OFFSET('HARGA SATUAN'!$D$6,MATCH(RAB!C205,'HARGA SATUAN'!$C$7:$C$1492,0),0))</f>
        <v/>
      </c>
      <c r="E205" s="354" t="str">
        <f ca="1">IF(B205="+","Unit",IF(ISERROR(OFFSET('HARGA SATUAN'!$E$6,MATCH(RAB!C205,'HARGA SATUAN'!$C$7:$C$1492,0),0)),"",OFFSET('HARGA SATUAN'!$E$6,MATCH(RAB!C205,'HARGA SATUAN'!$C$7:$C$1492,0),0)))</f>
        <v/>
      </c>
      <c r="F205" s="361"/>
      <c r="G205" s="355">
        <f ca="1">IF(ISERROR(OFFSET('HARGA SATUAN'!$I$6,MATCH(RAB!C205,'HARGA SATUAN'!$C$7:$C$1492,0),0)),0,OFFSET('HARGA SATUAN'!$I$6,MATCH(RAB!C205,'HARGA SATUAN'!$C$7:$C$1492,0),0))</f>
        <v>0</v>
      </c>
      <c r="H205" s="356">
        <f t="shared" ca="1" si="16"/>
        <v>0</v>
      </c>
      <c r="I205" s="356">
        <f t="shared" ca="1" si="17"/>
        <v>0</v>
      </c>
      <c r="J205" s="356">
        <f t="shared" ca="1" si="18"/>
        <v>0</v>
      </c>
      <c r="K205" s="357">
        <f t="shared" ca="1" si="19"/>
        <v>0</v>
      </c>
      <c r="L205" s="362"/>
      <c r="M205" s="362"/>
      <c r="N205" s="362"/>
      <c r="O205" s="358"/>
      <c r="P205" s="358"/>
      <c r="Q205" s="341"/>
      <c r="R205" s="333"/>
      <c r="S205" s="359"/>
      <c r="T205" s="338"/>
      <c r="U205" s="338"/>
      <c r="V205" s="338"/>
    </row>
    <row r="206" spans="1:22" s="363" customFormat="1">
      <c r="A206" s="333"/>
      <c r="B206" s="496" t="s">
        <v>1035</v>
      </c>
      <c r="C206" s="497" t="s">
        <v>1631</v>
      </c>
      <c r="D206" s="353" t="str">
        <f ca="1">IF(ISERROR(OFFSET('HARGA SATUAN'!$D$6,MATCH(RAB!C206,'HARGA SATUAN'!$C$7:$C$1492,0),0)),"",OFFSET('HARGA SATUAN'!$D$6,MATCH(RAB!C206,'HARGA SATUAN'!$C$7:$C$1492,0),0))</f>
        <v/>
      </c>
      <c r="E206" s="354" t="str">
        <f ca="1">IF(B206="+","Unit",IF(ISERROR(OFFSET('HARGA SATUAN'!$E$6,MATCH(RAB!C206,'HARGA SATUAN'!$C$7:$C$1492,0),0)),"",OFFSET('HARGA SATUAN'!$E$6,MATCH(RAB!C206,'HARGA SATUAN'!$C$7:$C$1492,0),0)))</f>
        <v>Unit</v>
      </c>
      <c r="F206" s="489">
        <v>8</v>
      </c>
      <c r="G206" s="355">
        <f ca="1">IF(ISERROR(OFFSET('HARGA SATUAN'!$I$6,MATCH(RAB!C206,'HARGA SATUAN'!$C$7:$C$1492,0),0)),0,OFFSET('HARGA SATUAN'!$I$6,MATCH(RAB!C206,'HARGA SATUAN'!$C$7:$C$1492,0),0))</f>
        <v>0</v>
      </c>
      <c r="H206" s="356">
        <f t="shared" ca="1" si="16"/>
        <v>0</v>
      </c>
      <c r="I206" s="356">
        <f t="shared" ca="1" si="17"/>
        <v>0</v>
      </c>
      <c r="J206" s="356">
        <f t="shared" ca="1" si="18"/>
        <v>0</v>
      </c>
      <c r="K206" s="357">
        <f t="shared" ca="1" si="19"/>
        <v>0</v>
      </c>
      <c r="L206" s="362"/>
      <c r="M206" s="362"/>
      <c r="N206" s="362"/>
      <c r="O206" s="358"/>
      <c r="P206" s="358"/>
      <c r="Q206" s="341"/>
      <c r="R206" s="333"/>
      <c r="S206" s="359"/>
      <c r="T206" s="338"/>
      <c r="U206" s="338"/>
      <c r="V206" s="338"/>
    </row>
    <row r="207" spans="1:22" s="363" customFormat="1">
      <c r="A207" s="333"/>
      <c r="B207" s="496">
        <v>1</v>
      </c>
      <c r="C207" s="497" t="s">
        <v>28</v>
      </c>
      <c r="D207" s="353" t="str">
        <f ca="1">IF(ISERROR(OFFSET('HARGA SATUAN'!$D$6,MATCH(RAB!C207,'HARGA SATUAN'!$C$7:$C$1492,0),0)),"",OFFSET('HARGA SATUAN'!$D$6,MATCH(RAB!C207,'HARGA SATUAN'!$C$7:$C$1492,0),0))</f>
        <v>HDW</v>
      </c>
      <c r="E207" s="354" t="str">
        <f ca="1">IF(B207="+","Unit",IF(ISERROR(OFFSET('HARGA SATUAN'!$E$6,MATCH(RAB!C207,'HARGA SATUAN'!$C$7:$C$1492,0),0)),"",OFFSET('HARGA SATUAN'!$E$6,MATCH(RAB!C207,'HARGA SATUAN'!$C$7:$C$1492,0),0)))</f>
        <v>Bh</v>
      </c>
      <c r="F207" s="489">
        <f>F206*1</f>
        <v>8</v>
      </c>
      <c r="G207" s="355">
        <f ca="1">IF(ISERROR(OFFSET('HARGA SATUAN'!$I$6,MATCH(RAB!C207,'HARGA SATUAN'!$C$7:$C$1492,0),0)),0,OFFSET('HARGA SATUAN'!$I$6,MATCH(RAB!C207,'HARGA SATUAN'!$C$7:$C$1492,0),0))</f>
        <v>26500</v>
      </c>
      <c r="H207" s="356">
        <f t="shared" ca="1" si="16"/>
        <v>0</v>
      </c>
      <c r="I207" s="356">
        <f t="shared" ca="1" si="17"/>
        <v>212000</v>
      </c>
      <c r="J207" s="356">
        <f t="shared" ca="1" si="18"/>
        <v>0</v>
      </c>
      <c r="K207" s="357">
        <f t="shared" ca="1" si="19"/>
        <v>212000</v>
      </c>
      <c r="L207" s="362"/>
      <c r="M207" s="362"/>
      <c r="N207" s="362"/>
      <c r="O207" s="358"/>
      <c r="P207" s="358"/>
      <c r="Q207" s="341"/>
      <c r="R207" s="333"/>
      <c r="S207" s="359"/>
      <c r="T207" s="338"/>
      <c r="U207" s="338"/>
      <c r="V207" s="338"/>
    </row>
    <row r="208" spans="1:22" s="363" customFormat="1">
      <c r="A208" s="333"/>
      <c r="B208" s="496">
        <v>2</v>
      </c>
      <c r="C208" s="497" t="s">
        <v>203</v>
      </c>
      <c r="D208" s="353" t="str">
        <f ca="1">IF(ISERROR(OFFSET('HARGA SATUAN'!$D$6,MATCH(RAB!C208,'HARGA SATUAN'!$C$7:$C$1492,0),0)),"",OFFSET('HARGA SATUAN'!$D$6,MATCH(RAB!C208,'HARGA SATUAN'!$C$7:$C$1492,0),0))</f>
        <v>HDW</v>
      </c>
      <c r="E208" s="354" t="str">
        <f ca="1">IF(B208="+","Unit",IF(ISERROR(OFFSET('HARGA SATUAN'!$E$6,MATCH(RAB!C208,'HARGA SATUAN'!$C$7:$C$1492,0),0)),"",OFFSET('HARGA SATUAN'!$E$6,MATCH(RAB!C208,'HARGA SATUAN'!$C$7:$C$1492,0),0)))</f>
        <v>Bh</v>
      </c>
      <c r="F208" s="489">
        <f>F206*1</f>
        <v>8</v>
      </c>
      <c r="G208" s="355">
        <f ca="1">IF(ISERROR(OFFSET('HARGA SATUAN'!$I$6,MATCH(RAB!C208,'HARGA SATUAN'!$C$7:$C$1492,0),0)),0,OFFSET('HARGA SATUAN'!$I$6,MATCH(RAB!C208,'HARGA SATUAN'!$C$7:$C$1492,0),0))</f>
        <v>12500</v>
      </c>
      <c r="H208" s="356">
        <f t="shared" ca="1" si="16"/>
        <v>0</v>
      </c>
      <c r="I208" s="356">
        <f t="shared" ca="1" si="17"/>
        <v>100000</v>
      </c>
      <c r="J208" s="356">
        <f t="shared" ca="1" si="18"/>
        <v>0</v>
      </c>
      <c r="K208" s="357">
        <f t="shared" ca="1" si="19"/>
        <v>100000</v>
      </c>
      <c r="L208" s="362"/>
      <c r="M208" s="362"/>
      <c r="N208" s="362"/>
      <c r="O208" s="358"/>
      <c r="P208" s="358"/>
      <c r="Q208" s="341"/>
      <c r="R208" s="333"/>
      <c r="S208" s="359"/>
      <c r="T208" s="338"/>
      <c r="U208" s="338"/>
      <c r="V208" s="338"/>
    </row>
    <row r="209" spans="1:22" s="363" customFormat="1">
      <c r="A209" s="333"/>
      <c r="B209" s="496">
        <v>3</v>
      </c>
      <c r="C209" s="497" t="s">
        <v>206</v>
      </c>
      <c r="D209" s="353" t="str">
        <f ca="1">IF(ISERROR(OFFSET('HARGA SATUAN'!$D$6,MATCH(RAB!C209,'HARGA SATUAN'!$C$7:$C$1492,0),0)),"",OFFSET('HARGA SATUAN'!$D$6,MATCH(RAB!C209,'HARGA SATUAN'!$C$7:$C$1492,0),0))</f>
        <v>HDW</v>
      </c>
      <c r="E209" s="354" t="str">
        <f ca="1">IF(B209="+","Unit",IF(ISERROR(OFFSET('HARGA SATUAN'!$E$6,MATCH(RAB!C209,'HARGA SATUAN'!$C$7:$C$1492,0),0)),"",OFFSET('HARGA SATUAN'!$E$6,MATCH(RAB!C209,'HARGA SATUAN'!$C$7:$C$1492,0),0)))</f>
        <v>Mtr</v>
      </c>
      <c r="F209" s="489">
        <f>F206*12</f>
        <v>96</v>
      </c>
      <c r="G209" s="355">
        <f ca="1">IF(ISERROR(OFFSET('HARGA SATUAN'!$I$6,MATCH(RAB!C209,'HARGA SATUAN'!$C$7:$C$1492,0),0)),0,OFFSET('HARGA SATUAN'!$I$6,MATCH(RAB!C209,'HARGA SATUAN'!$C$7:$C$1492,0),0))</f>
        <v>39204</v>
      </c>
      <c r="H209" s="356">
        <f t="shared" ca="1" si="16"/>
        <v>0</v>
      </c>
      <c r="I209" s="356">
        <f t="shared" ca="1" si="17"/>
        <v>3763584</v>
      </c>
      <c r="J209" s="356">
        <f t="shared" ca="1" si="18"/>
        <v>0</v>
      </c>
      <c r="K209" s="357">
        <f t="shared" ca="1" si="19"/>
        <v>3763584</v>
      </c>
      <c r="L209" s="362"/>
      <c r="M209" s="362"/>
      <c r="N209" s="362"/>
      <c r="O209" s="358"/>
      <c r="P209" s="358"/>
      <c r="Q209" s="341"/>
      <c r="R209" s="333"/>
      <c r="S209" s="359"/>
      <c r="T209" s="338"/>
      <c r="U209" s="338"/>
      <c r="V209" s="338"/>
    </row>
    <row r="210" spans="1:22" s="363" customFormat="1">
      <c r="A210" s="333"/>
      <c r="B210" s="496">
        <v>4</v>
      </c>
      <c r="C210" s="497" t="s">
        <v>287</v>
      </c>
      <c r="D210" s="353" t="str">
        <f ca="1">IF(ISERROR(OFFSET('HARGA SATUAN'!$D$6,MATCH(RAB!C210,'HARGA SATUAN'!$C$7:$C$1492,0),0)),"",OFFSET('HARGA SATUAN'!$D$6,MATCH(RAB!C210,'HARGA SATUAN'!$C$7:$C$1492,0),0))</f>
        <v>HDW</v>
      </c>
      <c r="E210" s="354" t="str">
        <f ca="1">IF(B210="+","Unit",IF(ISERROR(OFFSET('HARGA SATUAN'!$E$6,MATCH(RAB!C210,'HARGA SATUAN'!$C$7:$C$1492,0),0)),"",OFFSET('HARGA SATUAN'!$E$6,MATCH(RAB!C210,'HARGA SATUAN'!$C$7:$C$1492,0),0)))</f>
        <v>Bh</v>
      </c>
      <c r="F210" s="489">
        <f>F206*2</f>
        <v>16</v>
      </c>
      <c r="G210" s="355">
        <f ca="1">IF(ISERROR(OFFSET('HARGA SATUAN'!$I$6,MATCH(RAB!C210,'HARGA SATUAN'!$C$7:$C$1492,0),0)),0,OFFSET('HARGA SATUAN'!$I$6,MATCH(RAB!C210,'HARGA SATUAN'!$C$7:$C$1492,0),0))</f>
        <v>40000</v>
      </c>
      <c r="H210" s="356">
        <f t="shared" ca="1" si="16"/>
        <v>0</v>
      </c>
      <c r="I210" s="356">
        <f t="shared" ca="1" si="17"/>
        <v>640000</v>
      </c>
      <c r="J210" s="356">
        <f t="shared" ca="1" si="18"/>
        <v>0</v>
      </c>
      <c r="K210" s="357">
        <f t="shared" ca="1" si="19"/>
        <v>640000</v>
      </c>
      <c r="L210" s="362"/>
      <c r="M210" s="362"/>
      <c r="N210" s="362"/>
      <c r="O210" s="358"/>
      <c r="P210" s="358"/>
      <c r="Q210" s="341"/>
      <c r="R210" s="333"/>
      <c r="S210" s="359"/>
      <c r="T210" s="338"/>
      <c r="U210" s="338"/>
      <c r="V210" s="338"/>
    </row>
    <row r="211" spans="1:22" s="363" customFormat="1">
      <c r="A211" s="333"/>
      <c r="B211" s="496">
        <v>5</v>
      </c>
      <c r="C211" s="497" t="s">
        <v>26</v>
      </c>
      <c r="D211" s="353" t="str">
        <f ca="1">IF(ISERROR(OFFSET('HARGA SATUAN'!$D$6,MATCH(RAB!C211,'HARGA SATUAN'!$C$7:$C$1492,0),0)),"",OFFSET('HARGA SATUAN'!$D$6,MATCH(RAB!C211,'HARGA SATUAN'!$C$7:$C$1492,0),0))</f>
        <v>HDW</v>
      </c>
      <c r="E211" s="354" t="str">
        <f ca="1">IF(B211="+","Unit",IF(ISERROR(OFFSET('HARGA SATUAN'!$E$6,MATCH(RAB!C211,'HARGA SATUAN'!$C$7:$C$1492,0),0)),"",OFFSET('HARGA SATUAN'!$E$6,MATCH(RAB!C211,'HARGA SATUAN'!$C$7:$C$1492,0),0)))</f>
        <v>Bh</v>
      </c>
      <c r="F211" s="489">
        <f>F206*1</f>
        <v>8</v>
      </c>
      <c r="G211" s="355">
        <f ca="1">IF(ISERROR(OFFSET('HARGA SATUAN'!$I$6,MATCH(RAB!C211,'HARGA SATUAN'!$C$7:$C$1492,0),0)),0,OFFSET('HARGA SATUAN'!$I$6,MATCH(RAB!C211,'HARGA SATUAN'!$C$7:$C$1492,0),0))</f>
        <v>2500</v>
      </c>
      <c r="H211" s="356">
        <f t="shared" ca="1" si="16"/>
        <v>0</v>
      </c>
      <c r="I211" s="356">
        <f t="shared" ca="1" si="17"/>
        <v>20000</v>
      </c>
      <c r="J211" s="356">
        <f t="shared" ca="1" si="18"/>
        <v>0</v>
      </c>
      <c r="K211" s="357">
        <f t="shared" ca="1" si="19"/>
        <v>20000</v>
      </c>
      <c r="L211" s="362"/>
      <c r="M211" s="362"/>
      <c r="N211" s="362"/>
      <c r="O211" s="358"/>
      <c r="P211" s="358"/>
      <c r="Q211" s="341"/>
      <c r="R211" s="333"/>
      <c r="S211" s="359"/>
      <c r="T211" s="338"/>
      <c r="U211" s="338"/>
      <c r="V211" s="338"/>
    </row>
    <row r="212" spans="1:22" s="363" customFormat="1">
      <c r="A212" s="333"/>
      <c r="B212" s="496">
        <v>6</v>
      </c>
      <c r="C212" s="497" t="s">
        <v>760</v>
      </c>
      <c r="D212" s="353" t="str">
        <f ca="1">IF(ISERROR(OFFSET('HARGA SATUAN'!$D$6,MATCH(RAB!C212,'HARGA SATUAN'!$C$7:$C$1492,0),0)),"",OFFSET('HARGA SATUAN'!$D$6,MATCH(RAB!C212,'HARGA SATUAN'!$C$7:$C$1492,0),0))</f>
        <v>JASA</v>
      </c>
      <c r="E212" s="354" t="str">
        <f ca="1">IF(B212="+","Unit",IF(ISERROR(OFFSET('HARGA SATUAN'!$E$6,MATCH(RAB!C212,'HARGA SATUAN'!$C$7:$C$1492,0),0)),"",OFFSET('HARGA SATUAN'!$E$6,MATCH(RAB!C212,'HARGA SATUAN'!$C$7:$C$1492,0),0)))</f>
        <v>Unit</v>
      </c>
      <c r="F212" s="489">
        <f>F206*1</f>
        <v>8</v>
      </c>
      <c r="G212" s="355">
        <f ca="1">IF(ISERROR(OFFSET('HARGA SATUAN'!$I$6,MATCH(RAB!C212,'HARGA SATUAN'!$C$7:$C$1492,0),0)),0,OFFSET('HARGA SATUAN'!$I$6,MATCH(RAB!C212,'HARGA SATUAN'!$C$7:$C$1492,0),0))</f>
        <v>36600</v>
      </c>
      <c r="H212" s="356">
        <f t="shared" ca="1" si="16"/>
        <v>0</v>
      </c>
      <c r="I212" s="356">
        <f t="shared" ca="1" si="17"/>
        <v>0</v>
      </c>
      <c r="J212" s="356">
        <f t="shared" ca="1" si="18"/>
        <v>292800</v>
      </c>
      <c r="K212" s="357">
        <f t="shared" ca="1" si="19"/>
        <v>292800</v>
      </c>
      <c r="L212" s="362"/>
      <c r="M212" s="362"/>
      <c r="N212" s="362"/>
      <c r="O212" s="358"/>
      <c r="P212" s="358"/>
      <c r="Q212" s="341"/>
      <c r="R212" s="333"/>
      <c r="S212" s="359"/>
      <c r="T212" s="338"/>
      <c r="U212" s="338"/>
      <c r="V212" s="338"/>
    </row>
    <row r="213" spans="1:22" s="363" customFormat="1">
      <c r="A213" s="333"/>
      <c r="B213" s="483"/>
      <c r="C213" s="109"/>
      <c r="D213" s="353" t="str">
        <f ca="1">IF(ISERROR(OFFSET('HARGA SATUAN'!$D$6,MATCH(RAB!C213,'HARGA SATUAN'!$C$7:$C$1492,0),0)),"",OFFSET('HARGA SATUAN'!$D$6,MATCH(RAB!C213,'HARGA SATUAN'!$C$7:$C$1492,0),0))</f>
        <v/>
      </c>
      <c r="E213" s="354" t="str">
        <f ca="1">IF(B213="+","Unit",IF(ISERROR(OFFSET('HARGA SATUAN'!$E$6,MATCH(RAB!C213,'HARGA SATUAN'!$C$7:$C$1492,0),0)),"",OFFSET('HARGA SATUAN'!$E$6,MATCH(RAB!C213,'HARGA SATUAN'!$C$7:$C$1492,0),0)))</f>
        <v/>
      </c>
      <c r="F213" s="361"/>
      <c r="G213" s="355">
        <f ca="1">IF(ISERROR(OFFSET('HARGA SATUAN'!$I$6,MATCH(RAB!C213,'HARGA SATUAN'!$C$7:$C$1492,0),0)),0,OFFSET('HARGA SATUAN'!$I$6,MATCH(RAB!C213,'HARGA SATUAN'!$C$7:$C$1492,0),0))</f>
        <v>0</v>
      </c>
      <c r="H213" s="356">
        <f t="shared" ca="1" si="16"/>
        <v>0</v>
      </c>
      <c r="I213" s="356">
        <f t="shared" ca="1" si="17"/>
        <v>0</v>
      </c>
      <c r="J213" s="356">
        <f t="shared" ca="1" si="18"/>
        <v>0</v>
      </c>
      <c r="K213" s="357">
        <f t="shared" ca="1" si="19"/>
        <v>0</v>
      </c>
      <c r="L213" s="362"/>
      <c r="M213" s="362"/>
      <c r="N213" s="362"/>
      <c r="O213" s="358"/>
      <c r="P213" s="358"/>
      <c r="Q213" s="341"/>
      <c r="R213" s="333"/>
      <c r="S213" s="359"/>
      <c r="T213" s="338"/>
      <c r="U213" s="338"/>
      <c r="V213" s="338"/>
    </row>
    <row r="214" spans="1:22" s="363" customFormat="1">
      <c r="A214" s="333"/>
      <c r="B214" s="496" t="s">
        <v>1035</v>
      </c>
      <c r="C214" s="497" t="s">
        <v>1632</v>
      </c>
      <c r="D214" s="353" t="str">
        <f ca="1">IF(ISERROR(OFFSET('HARGA SATUAN'!$D$6,MATCH(RAB!C214,'HARGA SATUAN'!$C$7:$C$1492,0),0)),"",OFFSET('HARGA SATUAN'!$D$6,MATCH(RAB!C214,'HARGA SATUAN'!$C$7:$C$1492,0),0))</f>
        <v/>
      </c>
      <c r="E214" s="354" t="str">
        <f ca="1">IF(B214="+","Unit",IF(ISERROR(OFFSET('HARGA SATUAN'!$E$6,MATCH(RAB!C214,'HARGA SATUAN'!$C$7:$C$1492,0),0)),"",OFFSET('HARGA SATUAN'!$E$6,MATCH(RAB!C214,'HARGA SATUAN'!$C$7:$C$1492,0),0)))</f>
        <v>Unit</v>
      </c>
      <c r="F214" s="489">
        <f>F206</f>
        <v>8</v>
      </c>
      <c r="G214" s="355">
        <f ca="1">IF(ISERROR(OFFSET('HARGA SATUAN'!$I$6,MATCH(RAB!C214,'HARGA SATUAN'!$C$7:$C$1492,0),0)),0,OFFSET('HARGA SATUAN'!$I$6,MATCH(RAB!C214,'HARGA SATUAN'!$C$7:$C$1492,0),0))</f>
        <v>0</v>
      </c>
      <c r="H214" s="356">
        <f t="shared" ca="1" si="16"/>
        <v>0</v>
      </c>
      <c r="I214" s="356">
        <f t="shared" ca="1" si="17"/>
        <v>0</v>
      </c>
      <c r="J214" s="356">
        <f t="shared" ca="1" si="18"/>
        <v>0</v>
      </c>
      <c r="K214" s="357">
        <f t="shared" ca="1" si="19"/>
        <v>0</v>
      </c>
      <c r="L214" s="362"/>
      <c r="M214" s="362"/>
      <c r="N214" s="362"/>
      <c r="O214" s="358"/>
      <c r="P214" s="358"/>
      <c r="Q214" s="341"/>
      <c r="R214" s="333"/>
      <c r="S214" s="359"/>
      <c r="T214" s="338"/>
      <c r="U214" s="338"/>
      <c r="V214" s="338"/>
    </row>
    <row r="215" spans="1:22" s="363" customFormat="1">
      <c r="A215" s="333"/>
      <c r="B215" s="508">
        <v>1</v>
      </c>
      <c r="C215" s="509" t="s">
        <v>597</v>
      </c>
      <c r="D215" s="353" t="str">
        <f ca="1">IF(ISERROR(OFFSET('HARGA SATUAN'!$D$6,MATCH(RAB!C215,'HARGA SATUAN'!$C$7:$C$1492,0),0)),"",OFFSET('HARGA SATUAN'!$D$6,MATCH(RAB!C215,'HARGA SATUAN'!$C$7:$C$1492,0),0))</f>
        <v>HDW</v>
      </c>
      <c r="E215" s="354" t="str">
        <f ca="1">IF(B215="+","Unit",IF(ISERROR(OFFSET('HARGA SATUAN'!$E$6,MATCH(RAB!C215,'HARGA SATUAN'!$C$7:$C$1492,0),0)),"",OFFSET('HARGA SATUAN'!$E$6,MATCH(RAB!C215,'HARGA SATUAN'!$C$7:$C$1492,0),0)))</f>
        <v>Bh</v>
      </c>
      <c r="F215" s="489">
        <f>F214*1</f>
        <v>8</v>
      </c>
      <c r="G215" s="355">
        <f ca="1">IF(ISERROR(OFFSET('HARGA SATUAN'!$I$6,MATCH(RAB!C215,'HARGA SATUAN'!$C$7:$C$1492,0),0)),0,OFFSET('HARGA SATUAN'!$I$6,MATCH(RAB!C215,'HARGA SATUAN'!$C$7:$C$1492,0),0))</f>
        <v>120900</v>
      </c>
      <c r="H215" s="356">
        <f t="shared" ca="1" si="16"/>
        <v>0</v>
      </c>
      <c r="I215" s="356">
        <f t="shared" ca="1" si="17"/>
        <v>967200</v>
      </c>
      <c r="J215" s="356">
        <f t="shared" ca="1" si="18"/>
        <v>0</v>
      </c>
      <c r="K215" s="357">
        <f t="shared" ca="1" si="19"/>
        <v>967200</v>
      </c>
      <c r="L215" s="362"/>
      <c r="M215" s="362"/>
      <c r="N215" s="362"/>
      <c r="O215" s="358"/>
      <c r="P215" s="358"/>
      <c r="Q215" s="341"/>
      <c r="R215" s="333"/>
      <c r="S215" s="359"/>
      <c r="T215" s="338"/>
      <c r="U215" s="338"/>
      <c r="V215" s="338"/>
    </row>
    <row r="216" spans="1:22" s="363" customFormat="1">
      <c r="A216" s="333"/>
      <c r="B216" s="506">
        <v>2</v>
      </c>
      <c r="C216" s="507" t="s">
        <v>261</v>
      </c>
      <c r="D216" s="353" t="str">
        <f ca="1">IF(ISERROR(OFFSET('HARGA SATUAN'!$D$6,MATCH(RAB!C216,'HARGA SATUAN'!$C$7:$C$1492,0),0)),"",OFFSET('HARGA SATUAN'!$D$6,MATCH(RAB!C216,'HARGA SATUAN'!$C$7:$C$1492,0),0))</f>
        <v>HDW</v>
      </c>
      <c r="E216" s="354" t="str">
        <f ca="1">IF(B216="+","Unit",IF(ISERROR(OFFSET('HARGA SATUAN'!$E$6,MATCH(RAB!C216,'HARGA SATUAN'!$C$7:$C$1492,0),0)),"",OFFSET('HARGA SATUAN'!$E$6,MATCH(RAB!C216,'HARGA SATUAN'!$C$7:$C$1492,0),0)))</f>
        <v>Bh</v>
      </c>
      <c r="F216" s="489">
        <f>F214*1</f>
        <v>8</v>
      </c>
      <c r="G216" s="355">
        <f ca="1">IF(ISERROR(OFFSET('HARGA SATUAN'!$I$6,MATCH(RAB!C216,'HARGA SATUAN'!$C$7:$C$1492,0),0)),0,OFFSET('HARGA SATUAN'!$I$6,MATCH(RAB!C216,'HARGA SATUAN'!$C$7:$C$1492,0),0))</f>
        <v>135800</v>
      </c>
      <c r="H216" s="356">
        <f t="shared" ca="1" si="16"/>
        <v>0</v>
      </c>
      <c r="I216" s="356">
        <f t="shared" ca="1" si="17"/>
        <v>1086400</v>
      </c>
      <c r="J216" s="356">
        <f t="shared" ca="1" si="18"/>
        <v>0</v>
      </c>
      <c r="K216" s="357">
        <f t="shared" ca="1" si="19"/>
        <v>1086400</v>
      </c>
      <c r="L216" s="362"/>
      <c r="M216" s="362"/>
      <c r="N216" s="362"/>
      <c r="O216" s="358"/>
      <c r="P216" s="358"/>
      <c r="Q216" s="341"/>
      <c r="R216" s="333"/>
      <c r="S216" s="359"/>
      <c r="T216" s="338"/>
      <c r="U216" s="338"/>
      <c r="V216" s="338"/>
    </row>
    <row r="217" spans="1:22" s="363" customFormat="1">
      <c r="A217" s="333"/>
      <c r="B217" s="506">
        <v>3</v>
      </c>
      <c r="C217" s="498" t="s">
        <v>214</v>
      </c>
      <c r="D217" s="353" t="str">
        <f ca="1">IF(ISERROR(OFFSET('HARGA SATUAN'!$D$6,MATCH(RAB!C217,'HARGA SATUAN'!$C$7:$C$1492,0),0)),"",OFFSET('HARGA SATUAN'!$D$6,MATCH(RAB!C217,'HARGA SATUAN'!$C$7:$C$1492,0),0))</f>
        <v>HDW</v>
      </c>
      <c r="E217" s="354" t="str">
        <f ca="1">IF(B217="+","Unit",IF(ISERROR(OFFSET('HARGA SATUAN'!$E$6,MATCH(RAB!C217,'HARGA SATUAN'!$C$7:$C$1492,0),0)),"",OFFSET('HARGA SATUAN'!$E$6,MATCH(RAB!C217,'HARGA SATUAN'!$C$7:$C$1492,0),0)))</f>
        <v>Bh</v>
      </c>
      <c r="F217" s="500">
        <f>F214*1</f>
        <v>8</v>
      </c>
      <c r="G217" s="355">
        <f ca="1">IF(ISERROR(OFFSET('HARGA SATUAN'!$I$6,MATCH(RAB!C217,'HARGA SATUAN'!$C$7:$C$1492,0),0)),0,OFFSET('HARGA SATUAN'!$I$6,MATCH(RAB!C217,'HARGA SATUAN'!$C$7:$C$1492,0),0))</f>
        <v>4500</v>
      </c>
      <c r="H217" s="356">
        <f t="shared" ca="1" si="16"/>
        <v>0</v>
      </c>
      <c r="I217" s="356">
        <f t="shared" ca="1" si="17"/>
        <v>36000</v>
      </c>
      <c r="J217" s="356">
        <f t="shared" ca="1" si="18"/>
        <v>0</v>
      </c>
      <c r="K217" s="357">
        <f t="shared" ca="1" si="19"/>
        <v>36000</v>
      </c>
      <c r="L217" s="362"/>
      <c r="M217" s="362"/>
      <c r="N217" s="362"/>
      <c r="O217" s="358"/>
      <c r="P217" s="358"/>
      <c r="Q217" s="341"/>
      <c r="R217" s="333"/>
      <c r="S217" s="359"/>
      <c r="T217" s="338"/>
      <c r="U217" s="338"/>
      <c r="V217" s="338"/>
    </row>
    <row r="218" spans="1:22" s="363" customFormat="1">
      <c r="A218" s="333"/>
      <c r="B218" s="496">
        <v>4</v>
      </c>
      <c r="C218" s="497" t="s">
        <v>768</v>
      </c>
      <c r="D218" s="353" t="str">
        <f ca="1">IF(ISERROR(OFFSET('HARGA SATUAN'!$D$6,MATCH(RAB!C218,'HARGA SATUAN'!$C$7:$C$1492,0),0)),"",OFFSET('HARGA SATUAN'!$D$6,MATCH(RAB!C218,'HARGA SATUAN'!$C$7:$C$1492,0),0))</f>
        <v>JASA</v>
      </c>
      <c r="E218" s="354" t="str">
        <f ca="1">IF(B218="+","Unit",IF(ISERROR(OFFSET('HARGA SATUAN'!$E$6,MATCH(RAB!C218,'HARGA SATUAN'!$C$7:$C$1492,0),0)),"",OFFSET('HARGA SATUAN'!$E$6,MATCH(RAB!C218,'HARGA SATUAN'!$C$7:$C$1492,0),0)))</f>
        <v>Unit</v>
      </c>
      <c r="F218" s="489">
        <f>F214*1</f>
        <v>8</v>
      </c>
      <c r="G218" s="355">
        <f ca="1">IF(ISERROR(OFFSET('HARGA SATUAN'!$I$6,MATCH(RAB!C218,'HARGA SATUAN'!$C$7:$C$1492,0),0)),0,OFFSET('HARGA SATUAN'!$I$6,MATCH(RAB!C218,'HARGA SATUAN'!$C$7:$C$1492,0),0))</f>
        <v>55500</v>
      </c>
      <c r="H218" s="356">
        <f t="shared" ca="1" si="16"/>
        <v>0</v>
      </c>
      <c r="I218" s="356">
        <f t="shared" ca="1" si="17"/>
        <v>0</v>
      </c>
      <c r="J218" s="356">
        <f t="shared" ca="1" si="18"/>
        <v>444000</v>
      </c>
      <c r="K218" s="357">
        <f t="shared" ca="1" si="19"/>
        <v>444000</v>
      </c>
      <c r="L218" s="362"/>
      <c r="M218" s="362"/>
      <c r="N218" s="362"/>
      <c r="O218" s="358"/>
      <c r="P218" s="358"/>
      <c r="Q218" s="341"/>
      <c r="R218" s="333"/>
      <c r="S218" s="359"/>
      <c r="T218" s="338"/>
      <c r="U218" s="338"/>
      <c r="V218" s="338"/>
    </row>
    <row r="219" spans="1:22" s="363" customFormat="1">
      <c r="A219" s="333"/>
      <c r="B219" s="483"/>
      <c r="C219" s="109"/>
      <c r="D219" s="353" t="str">
        <f ca="1">IF(ISERROR(OFFSET('HARGA SATUAN'!$D$6,MATCH(RAB!C219,'HARGA SATUAN'!$C$7:$C$1492,0),0)),"",OFFSET('HARGA SATUAN'!$D$6,MATCH(RAB!C219,'HARGA SATUAN'!$C$7:$C$1492,0),0))</f>
        <v/>
      </c>
      <c r="E219" s="354" t="str">
        <f ca="1">IF(B219="+","Unit",IF(ISERROR(OFFSET('HARGA SATUAN'!$E$6,MATCH(RAB!C219,'HARGA SATUAN'!$C$7:$C$1492,0),0)),"",OFFSET('HARGA SATUAN'!$E$6,MATCH(RAB!C219,'HARGA SATUAN'!$C$7:$C$1492,0),0)))</f>
        <v/>
      </c>
      <c r="F219" s="361"/>
      <c r="G219" s="355">
        <f ca="1">IF(ISERROR(OFFSET('HARGA SATUAN'!$I$6,MATCH(RAB!C219,'HARGA SATUAN'!$C$7:$C$1492,0),0)),0,OFFSET('HARGA SATUAN'!$I$6,MATCH(RAB!C219,'HARGA SATUAN'!$C$7:$C$1492,0),0))</f>
        <v>0</v>
      </c>
      <c r="H219" s="356">
        <f t="shared" ca="1" si="16"/>
        <v>0</v>
      </c>
      <c r="I219" s="356">
        <f t="shared" ca="1" si="17"/>
        <v>0</v>
      </c>
      <c r="J219" s="356">
        <f t="shared" ca="1" si="18"/>
        <v>0</v>
      </c>
      <c r="K219" s="357">
        <f t="shared" ca="1" si="19"/>
        <v>0</v>
      </c>
      <c r="L219" s="362"/>
      <c r="M219" s="362"/>
      <c r="N219" s="362"/>
      <c r="O219" s="358"/>
      <c r="P219" s="358"/>
      <c r="Q219" s="341"/>
      <c r="R219" s="333"/>
      <c r="S219" s="359"/>
      <c r="T219" s="338"/>
      <c r="U219" s="338"/>
      <c r="V219" s="338"/>
    </row>
    <row r="220" spans="1:22" s="363" customFormat="1">
      <c r="A220" s="333"/>
      <c r="B220" s="496" t="s">
        <v>1035</v>
      </c>
      <c r="C220" s="497" t="s">
        <v>1633</v>
      </c>
      <c r="D220" s="353" t="str">
        <f ca="1">IF(ISERROR(OFFSET('HARGA SATUAN'!$D$6,MATCH(RAB!C220,'HARGA SATUAN'!$C$7:$C$1492,0),0)),"",OFFSET('HARGA SATUAN'!$D$6,MATCH(RAB!C220,'HARGA SATUAN'!$C$7:$C$1492,0),0))</f>
        <v/>
      </c>
      <c r="E220" s="354" t="str">
        <f ca="1">IF(B220="+","Unit",IF(ISERROR(OFFSET('HARGA SATUAN'!$E$6,MATCH(RAB!C220,'HARGA SATUAN'!$C$7:$C$1492,0),0)),"",OFFSET('HARGA SATUAN'!$E$6,MATCH(RAB!C220,'HARGA SATUAN'!$C$7:$C$1492,0),0)))</f>
        <v>Unit</v>
      </c>
      <c r="F220" s="489">
        <f>F206</f>
        <v>8</v>
      </c>
      <c r="G220" s="355">
        <f ca="1">IF(ISERROR(OFFSET('HARGA SATUAN'!$I$6,MATCH(RAB!C220,'HARGA SATUAN'!$C$7:$C$1492,0),0)),0,OFFSET('HARGA SATUAN'!$I$6,MATCH(RAB!C220,'HARGA SATUAN'!$C$7:$C$1492,0),0))</f>
        <v>0</v>
      </c>
      <c r="H220" s="356">
        <f t="shared" ca="1" si="16"/>
        <v>0</v>
      </c>
      <c r="I220" s="356">
        <f t="shared" ca="1" si="17"/>
        <v>0</v>
      </c>
      <c r="J220" s="356">
        <f t="shared" ca="1" si="18"/>
        <v>0</v>
      </c>
      <c r="K220" s="357">
        <f t="shared" ca="1" si="19"/>
        <v>0</v>
      </c>
      <c r="L220" s="362"/>
      <c r="M220" s="362"/>
      <c r="N220" s="362"/>
      <c r="O220" s="358"/>
      <c r="P220" s="358"/>
      <c r="Q220" s="341"/>
      <c r="R220" s="333"/>
      <c r="S220" s="359"/>
      <c r="T220" s="338"/>
      <c r="U220" s="338"/>
      <c r="V220" s="338"/>
    </row>
    <row r="221" spans="1:22" s="363" customFormat="1">
      <c r="A221" s="333"/>
      <c r="B221" s="496">
        <v>1</v>
      </c>
      <c r="C221" s="497" t="s">
        <v>30</v>
      </c>
      <c r="D221" s="353" t="str">
        <f ca="1">IF(ISERROR(OFFSET('HARGA SATUAN'!$D$6,MATCH(RAB!C221,'HARGA SATUAN'!$C$7:$C$1492,0),0)),"",OFFSET('HARGA SATUAN'!$D$6,MATCH(RAB!C221,'HARGA SATUAN'!$C$7:$C$1492,0),0))</f>
        <v>HDW</v>
      </c>
      <c r="E221" s="354" t="str">
        <f ca="1">IF(B221="+","Unit",IF(ISERROR(OFFSET('HARGA SATUAN'!$E$6,MATCH(RAB!C221,'HARGA SATUAN'!$C$7:$C$1492,0),0)),"",OFFSET('HARGA SATUAN'!$E$6,MATCH(RAB!C221,'HARGA SATUAN'!$C$7:$C$1492,0),0)))</f>
        <v>Bh</v>
      </c>
      <c r="F221" s="489">
        <f>F220*1</f>
        <v>8</v>
      </c>
      <c r="G221" s="355">
        <f ca="1">IF(ISERROR(OFFSET('HARGA SATUAN'!$I$6,MATCH(RAB!C221,'HARGA SATUAN'!$C$7:$C$1492,0),0)),0,OFFSET('HARGA SATUAN'!$I$6,MATCH(RAB!C221,'HARGA SATUAN'!$C$7:$C$1492,0),0))</f>
        <v>47459</v>
      </c>
      <c r="H221" s="356">
        <f t="shared" ca="1" si="16"/>
        <v>0</v>
      </c>
      <c r="I221" s="356">
        <f t="shared" ca="1" si="17"/>
        <v>379672</v>
      </c>
      <c r="J221" s="356">
        <f t="shared" ca="1" si="18"/>
        <v>0</v>
      </c>
      <c r="K221" s="357">
        <f t="shared" ca="1" si="19"/>
        <v>379672</v>
      </c>
      <c r="L221" s="362"/>
      <c r="M221" s="362"/>
      <c r="N221" s="362"/>
      <c r="O221" s="358"/>
      <c r="P221" s="358"/>
      <c r="Q221" s="341"/>
      <c r="R221" s="333"/>
      <c r="S221" s="359"/>
      <c r="T221" s="338"/>
      <c r="U221" s="338"/>
      <c r="V221" s="338"/>
    </row>
    <row r="222" spans="1:22" s="363" customFormat="1">
      <c r="A222" s="333"/>
      <c r="B222" s="496">
        <v>2</v>
      </c>
      <c r="C222" s="497" t="s">
        <v>32</v>
      </c>
      <c r="D222" s="353" t="str">
        <f ca="1">IF(ISERROR(OFFSET('HARGA SATUAN'!$D$6,MATCH(RAB!C222,'HARGA SATUAN'!$C$7:$C$1492,0),0)),"",OFFSET('HARGA SATUAN'!$D$6,MATCH(RAB!C222,'HARGA SATUAN'!$C$7:$C$1492,0),0))</f>
        <v>HDW</v>
      </c>
      <c r="E222" s="354" t="str">
        <f ca="1">IF(B222="+","Unit",IF(ISERROR(OFFSET('HARGA SATUAN'!$E$6,MATCH(RAB!C222,'HARGA SATUAN'!$C$7:$C$1492,0),0)),"",OFFSET('HARGA SATUAN'!$E$6,MATCH(RAB!C222,'HARGA SATUAN'!$C$7:$C$1492,0),0)))</f>
        <v>Mtr</v>
      </c>
      <c r="F222" s="489">
        <f>F220*1</f>
        <v>8</v>
      </c>
      <c r="G222" s="355">
        <f ca="1">IF(ISERROR(OFFSET('HARGA SATUAN'!$I$6,MATCH(RAB!C222,'HARGA SATUAN'!$C$7:$C$1492,0),0)),0,OFFSET('HARGA SATUAN'!$I$6,MATCH(RAB!C222,'HARGA SATUAN'!$C$7:$C$1492,0),0))</f>
        <v>30000</v>
      </c>
      <c r="H222" s="356">
        <f t="shared" ca="1" si="16"/>
        <v>0</v>
      </c>
      <c r="I222" s="356">
        <f t="shared" ca="1" si="17"/>
        <v>240000</v>
      </c>
      <c r="J222" s="356">
        <f t="shared" ca="1" si="18"/>
        <v>0</v>
      </c>
      <c r="K222" s="357">
        <f t="shared" ca="1" si="19"/>
        <v>240000</v>
      </c>
      <c r="L222" s="362"/>
      <c r="M222" s="362"/>
      <c r="N222" s="362"/>
      <c r="O222" s="358"/>
      <c r="P222" s="358"/>
      <c r="Q222" s="341"/>
      <c r="R222" s="333"/>
      <c r="S222" s="359"/>
      <c r="T222" s="338"/>
      <c r="U222" s="338"/>
      <c r="V222" s="338"/>
    </row>
    <row r="223" spans="1:22" s="363" customFormat="1">
      <c r="A223" s="333"/>
      <c r="B223" s="496">
        <v>3</v>
      </c>
      <c r="C223" s="497" t="s">
        <v>33</v>
      </c>
      <c r="D223" s="353" t="str">
        <f ca="1">IF(ISERROR(OFFSET('HARGA SATUAN'!$D$6,MATCH(RAB!C223,'HARGA SATUAN'!$C$7:$C$1492,0),0)),"",OFFSET('HARGA SATUAN'!$D$6,MATCH(RAB!C223,'HARGA SATUAN'!$C$7:$C$1492,0),0))</f>
        <v>HDW</v>
      </c>
      <c r="E223" s="354" t="str">
        <f ca="1">IF(B223="+","Unit",IF(ISERROR(OFFSET('HARGA SATUAN'!$E$6,MATCH(RAB!C223,'HARGA SATUAN'!$C$7:$C$1492,0),0)),"",OFFSET('HARGA SATUAN'!$E$6,MATCH(RAB!C223,'HARGA SATUAN'!$C$7:$C$1492,0),0)))</f>
        <v>Bh</v>
      </c>
      <c r="F223" s="489">
        <f>F220*1</f>
        <v>8</v>
      </c>
      <c r="G223" s="355">
        <f ca="1">IF(ISERROR(OFFSET('HARGA SATUAN'!$I$6,MATCH(RAB!C223,'HARGA SATUAN'!$C$7:$C$1492,0),0)),0,OFFSET('HARGA SATUAN'!$I$6,MATCH(RAB!C223,'HARGA SATUAN'!$C$7:$C$1492,0),0))</f>
        <v>9500</v>
      </c>
      <c r="H223" s="356">
        <f t="shared" ca="1" si="16"/>
        <v>0</v>
      </c>
      <c r="I223" s="356">
        <f t="shared" ca="1" si="17"/>
        <v>76000</v>
      </c>
      <c r="J223" s="356">
        <f t="shared" ca="1" si="18"/>
        <v>0</v>
      </c>
      <c r="K223" s="357">
        <f t="shared" ca="1" si="19"/>
        <v>76000</v>
      </c>
      <c r="L223" s="362"/>
      <c r="M223" s="362"/>
      <c r="N223" s="362"/>
      <c r="O223" s="358"/>
      <c r="P223" s="358"/>
      <c r="Q223" s="341"/>
      <c r="R223" s="333"/>
      <c r="S223" s="359"/>
      <c r="T223" s="338"/>
      <c r="U223" s="338"/>
      <c r="V223" s="338"/>
    </row>
    <row r="224" spans="1:22" s="363" customFormat="1">
      <c r="A224" s="333"/>
      <c r="B224" s="496">
        <v>4</v>
      </c>
      <c r="C224" s="497" t="s">
        <v>738</v>
      </c>
      <c r="D224" s="353" t="str">
        <f ca="1">IF(ISERROR(OFFSET('HARGA SATUAN'!$D$6,MATCH(RAB!C224,'HARGA SATUAN'!$C$7:$C$1492,0),0)),"",OFFSET('HARGA SATUAN'!$D$6,MATCH(RAB!C224,'HARGA SATUAN'!$C$7:$C$1492,0),0))</f>
        <v>JASA</v>
      </c>
      <c r="E224" s="354" t="str">
        <f ca="1">IF(B224="+","Unit",IF(ISERROR(OFFSET('HARGA SATUAN'!$E$6,MATCH(RAB!C224,'HARGA SATUAN'!$C$7:$C$1492,0),0)),"",OFFSET('HARGA SATUAN'!$E$6,MATCH(RAB!C224,'HARGA SATUAN'!$C$7:$C$1492,0),0)))</f>
        <v>Unit</v>
      </c>
      <c r="F224" s="489">
        <f>F220*1</f>
        <v>8</v>
      </c>
      <c r="G224" s="355">
        <f ca="1">IF(ISERROR(OFFSET('HARGA SATUAN'!$I$6,MATCH(RAB!C224,'HARGA SATUAN'!$C$7:$C$1492,0),0)),0,OFFSET('HARGA SATUAN'!$I$6,MATCH(RAB!C224,'HARGA SATUAN'!$C$7:$C$1492,0),0))</f>
        <v>21200</v>
      </c>
      <c r="H224" s="356">
        <f t="shared" ca="1" si="16"/>
        <v>0</v>
      </c>
      <c r="I224" s="356">
        <f t="shared" ca="1" si="17"/>
        <v>0</v>
      </c>
      <c r="J224" s="356">
        <f t="shared" ca="1" si="18"/>
        <v>169600</v>
      </c>
      <c r="K224" s="357">
        <f t="shared" ca="1" si="19"/>
        <v>169600</v>
      </c>
      <c r="L224" s="362"/>
      <c r="M224" s="362"/>
      <c r="N224" s="362"/>
      <c r="O224" s="358"/>
      <c r="P224" s="358"/>
      <c r="Q224" s="341"/>
      <c r="R224" s="333"/>
      <c r="S224" s="359"/>
      <c r="T224" s="338"/>
      <c r="U224" s="338"/>
      <c r="V224" s="338"/>
    </row>
    <row r="225" spans="1:22" s="363" customFormat="1">
      <c r="A225" s="333"/>
      <c r="B225" s="483"/>
      <c r="C225" s="109"/>
      <c r="D225" s="353" t="str">
        <f ca="1">IF(ISERROR(OFFSET('HARGA SATUAN'!$D$6,MATCH(RAB!C225,'HARGA SATUAN'!$C$7:$C$1492,0),0)),"",OFFSET('HARGA SATUAN'!$D$6,MATCH(RAB!C225,'HARGA SATUAN'!$C$7:$C$1492,0),0))</f>
        <v/>
      </c>
      <c r="E225" s="354" t="str">
        <f ca="1">IF(B225="+","Unit",IF(ISERROR(OFFSET('HARGA SATUAN'!$E$6,MATCH(RAB!C225,'HARGA SATUAN'!$C$7:$C$1492,0),0)),"",OFFSET('HARGA SATUAN'!$E$6,MATCH(RAB!C225,'HARGA SATUAN'!$C$7:$C$1492,0),0)))</f>
        <v/>
      </c>
      <c r="F225" s="361"/>
      <c r="G225" s="355">
        <f ca="1">IF(ISERROR(OFFSET('HARGA SATUAN'!$I$6,MATCH(RAB!C225,'HARGA SATUAN'!$C$7:$C$1492,0),0)),0,OFFSET('HARGA SATUAN'!$I$6,MATCH(RAB!C225,'HARGA SATUAN'!$C$7:$C$1492,0),0))</f>
        <v>0</v>
      </c>
      <c r="H225" s="356">
        <f t="shared" ca="1" si="16"/>
        <v>0</v>
      </c>
      <c r="I225" s="356">
        <f t="shared" ca="1" si="17"/>
        <v>0</v>
      </c>
      <c r="J225" s="356">
        <f t="shared" ca="1" si="18"/>
        <v>0</v>
      </c>
      <c r="K225" s="357">
        <f t="shared" ca="1" si="19"/>
        <v>0</v>
      </c>
      <c r="L225" s="362"/>
      <c r="M225" s="362"/>
      <c r="N225" s="362"/>
      <c r="O225" s="358"/>
      <c r="P225" s="358"/>
      <c r="Q225" s="341"/>
      <c r="R225" s="333"/>
      <c r="S225" s="359"/>
      <c r="T225" s="338"/>
      <c r="U225" s="338"/>
      <c r="V225" s="338"/>
    </row>
    <row r="226" spans="1:22" s="363" customFormat="1">
      <c r="A226" s="333"/>
      <c r="B226" s="483"/>
      <c r="C226" s="504" t="s">
        <v>1616</v>
      </c>
      <c r="D226" s="353" t="str">
        <f ca="1">IF(ISERROR(OFFSET('HARGA SATUAN'!$D$6,MATCH(RAB!C226,'HARGA SATUAN'!$C$7:$C$1492,0),0)),"",OFFSET('HARGA SATUAN'!$D$6,MATCH(RAB!C226,'HARGA SATUAN'!$C$7:$C$1492,0),0))</f>
        <v/>
      </c>
      <c r="E226" s="354" t="str">
        <f ca="1">IF(B226="+","Unit",IF(ISERROR(OFFSET('HARGA SATUAN'!$E$6,MATCH(RAB!C226,'HARGA SATUAN'!$C$7:$C$1492,0),0)),"",OFFSET('HARGA SATUAN'!$E$6,MATCH(RAB!C226,'HARGA SATUAN'!$C$7:$C$1492,0),0)))</f>
        <v/>
      </c>
      <c r="F226" s="361"/>
      <c r="G226" s="355">
        <f ca="1">IF(ISERROR(OFFSET('HARGA SATUAN'!$I$6,MATCH(RAB!C226,'HARGA SATUAN'!$C$7:$C$1492,0),0)),0,OFFSET('HARGA SATUAN'!$I$6,MATCH(RAB!C226,'HARGA SATUAN'!$C$7:$C$1492,0),0))</f>
        <v>0</v>
      </c>
      <c r="H226" s="356">
        <f t="shared" ca="1" si="16"/>
        <v>0</v>
      </c>
      <c r="I226" s="356">
        <f t="shared" ca="1" si="17"/>
        <v>0</v>
      </c>
      <c r="J226" s="356">
        <f t="shared" ca="1" si="18"/>
        <v>0</v>
      </c>
      <c r="K226" s="357">
        <f t="shared" ca="1" si="19"/>
        <v>0</v>
      </c>
      <c r="L226" s="362"/>
      <c r="M226" s="362"/>
      <c r="N226" s="362"/>
      <c r="O226" s="358"/>
      <c r="P226" s="358"/>
      <c r="Q226" s="341"/>
      <c r="R226" s="333"/>
      <c r="S226" s="359"/>
      <c r="T226" s="338"/>
      <c r="U226" s="338"/>
      <c r="V226" s="338"/>
    </row>
    <row r="227" spans="1:22" s="363" customFormat="1">
      <c r="A227" s="333"/>
      <c r="B227" s="483">
        <v>1</v>
      </c>
      <c r="C227" s="109" t="s">
        <v>65</v>
      </c>
      <c r="D227" s="353" t="str">
        <f ca="1">IF(ISERROR(OFFSET('HARGA SATUAN'!$D$6,MATCH(RAB!C227,'HARGA SATUAN'!$C$7:$C$1492,0),0)),"",OFFSET('HARGA SATUAN'!$D$6,MATCH(RAB!C227,'HARGA SATUAN'!$C$7:$C$1492,0),0))</f>
        <v>MDU-KD</v>
      </c>
      <c r="E227" s="354" t="str">
        <f ca="1">IF(B227="+","Unit",IF(ISERROR(OFFSET('HARGA SATUAN'!$E$6,MATCH(RAB!C227,'HARGA SATUAN'!$C$7:$C$1492,0),0)),"",OFFSET('HARGA SATUAN'!$E$6,MATCH(RAB!C227,'HARGA SATUAN'!$C$7:$C$1492,0),0)))</f>
        <v>Mtr</v>
      </c>
      <c r="F227" s="361">
        <f>(2700+270)*3</f>
        <v>8910</v>
      </c>
      <c r="G227" s="355">
        <f ca="1">IF(ISERROR(OFFSET('HARGA SATUAN'!$I$6,MATCH(RAB!C227,'HARGA SATUAN'!$C$7:$C$1492,0),0)),0,OFFSET('HARGA SATUAN'!$I$6,MATCH(RAB!C227,'HARGA SATUAN'!$C$7:$C$1492,0),0))</f>
        <v>14200</v>
      </c>
      <c r="H227" s="356">
        <f t="shared" ca="1" si="16"/>
        <v>126522000</v>
      </c>
      <c r="I227" s="356">
        <f t="shared" ca="1" si="17"/>
        <v>0</v>
      </c>
      <c r="J227" s="356">
        <f t="shared" ca="1" si="18"/>
        <v>0</v>
      </c>
      <c r="K227" s="357">
        <f t="shared" ca="1" si="19"/>
        <v>126522000</v>
      </c>
      <c r="L227" s="362"/>
      <c r="M227" s="362"/>
      <c r="N227" s="362"/>
      <c r="O227" s="358"/>
      <c r="P227" s="358"/>
      <c r="Q227" s="341"/>
      <c r="R227" s="333"/>
      <c r="S227" s="359"/>
      <c r="T227" s="338"/>
      <c r="U227" s="338"/>
      <c r="V227" s="338"/>
    </row>
    <row r="228" spans="1:22" s="363" customFormat="1">
      <c r="A228" s="333"/>
      <c r="B228" s="483">
        <v>2</v>
      </c>
      <c r="C228" s="109" t="s">
        <v>65</v>
      </c>
      <c r="D228" s="510" t="s">
        <v>1665</v>
      </c>
      <c r="E228" s="354" t="str">
        <f ca="1">IF(B228="+","Unit",IF(ISERROR(OFFSET('HARGA SATUAN'!$E$6,MATCH(RAB!C228,'HARGA SATUAN'!$C$7:$C$1492,0),0)),"",OFFSET('HARGA SATUAN'!$E$6,MATCH(RAB!C228,'HARGA SATUAN'!$C$7:$C$1492,0),0)))</f>
        <v>Mtr</v>
      </c>
      <c r="F228" s="361">
        <f>2700+270</f>
        <v>2970</v>
      </c>
      <c r="G228" s="355">
        <f ca="1">IF(ISERROR(OFFSET('HARGA SATUAN'!$I$6,MATCH(RAB!C228,'HARGA SATUAN'!$C$7:$C$1492,0),0)),0,OFFSET('HARGA SATUAN'!$I$6,MATCH(RAB!C228,'HARGA SATUAN'!$C$7:$C$1492,0),0))</f>
        <v>14200</v>
      </c>
      <c r="H228" s="356">
        <f t="shared" si="16"/>
        <v>0</v>
      </c>
      <c r="I228" s="356">
        <f t="shared" si="17"/>
        <v>0</v>
      </c>
      <c r="J228" s="356">
        <f t="shared" si="18"/>
        <v>0</v>
      </c>
      <c r="K228" s="357">
        <f t="shared" si="19"/>
        <v>0</v>
      </c>
      <c r="L228" s="362"/>
      <c r="M228" s="362"/>
      <c r="N228" s="362"/>
      <c r="O228" s="358"/>
      <c r="P228" s="358"/>
      <c r="Q228" s="341"/>
      <c r="R228" s="333"/>
      <c r="S228" s="359"/>
      <c r="T228" s="338"/>
      <c r="U228" s="338"/>
      <c r="V228" s="338"/>
    </row>
    <row r="229" spans="1:22" s="363" customFormat="1">
      <c r="A229" s="333"/>
      <c r="B229" s="483">
        <v>3</v>
      </c>
      <c r="C229" s="109" t="s">
        <v>1203</v>
      </c>
      <c r="D229" s="353" t="str">
        <f ca="1">IF(ISERROR(OFFSET('HARGA SATUAN'!$D$6,MATCH(RAB!C229,'HARGA SATUAN'!$C$7:$C$1492,0),0)),"",OFFSET('HARGA SATUAN'!$D$6,MATCH(RAB!C229,'HARGA SATUAN'!$C$7:$C$1492,0),0))</f>
        <v>JASA</v>
      </c>
      <c r="E229" s="354" t="str">
        <f ca="1">IF(B229="+","Unit",IF(ISERROR(OFFSET('HARGA SATUAN'!$E$6,MATCH(RAB!C229,'HARGA SATUAN'!$C$7:$C$1492,0),0)),"",OFFSET('HARGA SATUAN'!$E$6,MATCH(RAB!C229,'HARGA SATUAN'!$C$7:$C$1492,0),0)))</f>
        <v>Per Kms</v>
      </c>
      <c r="F229" s="361">
        <f>F228/1000</f>
        <v>2.97</v>
      </c>
      <c r="G229" s="355">
        <f ca="1">IF(ISERROR(OFFSET('HARGA SATUAN'!$I$6,MATCH(RAB!C229,'HARGA SATUAN'!$C$7:$C$1492,0),0)),0,OFFSET('HARGA SATUAN'!$I$6,MATCH(RAB!C229,'HARGA SATUAN'!$C$7:$C$1492,0),0))</f>
        <v>6002000</v>
      </c>
      <c r="H229" s="356">
        <f t="shared" ref="H229:H274" ca="1" si="24">IF(OR(D229="MDU",D229="MDU-KD"),(IF($O$3="RAB NON MDU","PLN KD",G229*F229)),0)</f>
        <v>0</v>
      </c>
      <c r="I229" s="356">
        <f t="shared" ref="I229:I274" ca="1" si="25">IF(D229="HDW",G229*F229,0)</f>
        <v>0</v>
      </c>
      <c r="J229" s="356">
        <f t="shared" ref="J229:J274" ca="1" si="26">IF(D229="JASA",G229*F229,0)</f>
        <v>17825940</v>
      </c>
      <c r="K229" s="357">
        <f t="shared" ref="K229:K274" ca="1" si="27">SUM(H229:J229)</f>
        <v>17825940</v>
      </c>
      <c r="L229" s="362"/>
      <c r="M229" s="362"/>
      <c r="N229" s="362"/>
      <c r="O229" s="358"/>
      <c r="P229" s="358"/>
      <c r="Q229" s="341"/>
      <c r="R229" s="333"/>
      <c r="S229" s="359"/>
      <c r="T229" s="338"/>
      <c r="U229" s="338"/>
      <c r="V229" s="338"/>
    </row>
    <row r="230" spans="1:22" s="363" customFormat="1">
      <c r="A230" s="333"/>
      <c r="B230" s="483"/>
      <c r="C230" s="109"/>
      <c r="D230" s="353" t="str">
        <f ca="1">IF(ISERROR(OFFSET('HARGA SATUAN'!$D$6,MATCH(RAB!C230,'HARGA SATUAN'!$C$7:$C$1492,0),0)),"",OFFSET('HARGA SATUAN'!$D$6,MATCH(RAB!C230,'HARGA SATUAN'!$C$7:$C$1492,0),0))</f>
        <v/>
      </c>
      <c r="E230" s="354" t="str">
        <f ca="1">IF(B230="+","Unit",IF(ISERROR(OFFSET('HARGA SATUAN'!$E$6,MATCH(RAB!C230,'HARGA SATUAN'!$C$7:$C$1492,0),0)),"",OFFSET('HARGA SATUAN'!$E$6,MATCH(RAB!C230,'HARGA SATUAN'!$C$7:$C$1492,0),0)))</f>
        <v/>
      </c>
      <c r="F230" s="361"/>
      <c r="G230" s="355">
        <f ca="1">IF(ISERROR(OFFSET('HARGA SATUAN'!$I$6,MATCH(RAB!C230,'HARGA SATUAN'!$C$7:$C$1492,0),0)),0,OFFSET('HARGA SATUAN'!$I$6,MATCH(RAB!C230,'HARGA SATUAN'!$C$7:$C$1492,0),0))</f>
        <v>0</v>
      </c>
      <c r="H230" s="356">
        <f t="shared" ca="1" si="24"/>
        <v>0</v>
      </c>
      <c r="I230" s="356">
        <f t="shared" ca="1" si="25"/>
        <v>0</v>
      </c>
      <c r="J230" s="356">
        <f t="shared" ca="1" si="26"/>
        <v>0</v>
      </c>
      <c r="K230" s="357">
        <f t="shared" ca="1" si="27"/>
        <v>0</v>
      </c>
      <c r="L230" s="362"/>
      <c r="M230" s="362"/>
      <c r="N230" s="362"/>
      <c r="O230" s="358"/>
      <c r="P230" s="358"/>
      <c r="Q230" s="341"/>
      <c r="R230" s="333"/>
      <c r="S230" s="359"/>
      <c r="T230" s="338"/>
      <c r="U230" s="338"/>
      <c r="V230" s="338"/>
    </row>
    <row r="231" spans="1:22" s="363" customFormat="1">
      <c r="A231" s="333"/>
      <c r="B231" s="483"/>
      <c r="C231" s="504" t="s">
        <v>1666</v>
      </c>
      <c r="D231" s="353"/>
      <c r="E231" s="354"/>
      <c r="F231" s="361"/>
      <c r="G231" s="355"/>
      <c r="H231" s="356"/>
      <c r="I231" s="356"/>
      <c r="J231" s="356"/>
      <c r="K231" s="357"/>
      <c r="L231" s="362"/>
      <c r="M231" s="362"/>
      <c r="N231" s="362"/>
      <c r="O231" s="358"/>
      <c r="P231" s="358"/>
      <c r="Q231" s="341"/>
      <c r="R231" s="333"/>
      <c r="S231" s="359"/>
      <c r="T231" s="338"/>
      <c r="U231" s="338"/>
      <c r="V231" s="338"/>
    </row>
    <row r="232" spans="1:22" s="363" customFormat="1">
      <c r="A232" s="333"/>
      <c r="B232" s="483">
        <v>1</v>
      </c>
      <c r="C232" s="197" t="s">
        <v>1099</v>
      </c>
      <c r="D232" s="353" t="str">
        <f ca="1">IF(ISERROR(OFFSET('HARGA SATUAN'!$D$6,MATCH(RAB!C232,'HARGA SATUAN'!$C$7:$C$1492,0),0)),"",OFFSET('HARGA SATUAN'!$D$6,MATCH(RAB!C232,'HARGA SATUAN'!$C$7:$C$1492,0),0))</f>
        <v>JASA</v>
      </c>
      <c r="E232" s="354" t="str">
        <f ca="1">IF(B232="+","Unit",IF(ISERROR(OFFSET('HARGA SATUAN'!$E$6,MATCH(RAB!C232,'HARGA SATUAN'!$C$7:$C$1492,0),0)),"",OFFSET('HARGA SATUAN'!$E$6,MATCH(RAB!C232,'HARGA SATUAN'!$C$7:$C$1492,0),0)))</f>
        <v>Bh</v>
      </c>
      <c r="F232" s="361">
        <v>3</v>
      </c>
      <c r="G232" s="355">
        <f ca="1">IF(ISERROR(OFFSET('HARGA SATUAN'!$I$6,MATCH(RAB!C232,'HARGA SATUAN'!$C$7:$C$1492,0),0)),0,OFFSET('HARGA SATUAN'!$I$6,MATCH(RAB!C232,'HARGA SATUAN'!$C$7:$C$1492,0),0))</f>
        <v>13770</v>
      </c>
      <c r="H232" s="356">
        <f t="shared" ca="1" si="24"/>
        <v>0</v>
      </c>
      <c r="I232" s="356">
        <f t="shared" ca="1" si="25"/>
        <v>0</v>
      </c>
      <c r="J232" s="356">
        <f t="shared" ca="1" si="26"/>
        <v>41310</v>
      </c>
      <c r="K232" s="357">
        <f t="shared" ca="1" si="27"/>
        <v>41310</v>
      </c>
      <c r="L232" s="362"/>
      <c r="M232" s="362"/>
      <c r="N232" s="362"/>
      <c r="O232" s="358"/>
      <c r="P232" s="358"/>
      <c r="Q232" s="341"/>
      <c r="R232" s="333"/>
      <c r="S232" s="359"/>
      <c r="T232" s="338"/>
      <c r="U232" s="338"/>
      <c r="V232" s="338"/>
    </row>
    <row r="233" spans="1:22" s="363" customFormat="1">
      <c r="A233" s="333"/>
      <c r="B233" s="483">
        <v>2</v>
      </c>
      <c r="C233" s="197" t="s">
        <v>1100</v>
      </c>
      <c r="D233" s="353" t="str">
        <f ca="1">IF(ISERROR(OFFSET('HARGA SATUAN'!$D$6,MATCH(RAB!C233,'HARGA SATUAN'!$C$7:$C$1492,0),0)),"",OFFSET('HARGA SATUAN'!$D$6,MATCH(RAB!C233,'HARGA SATUAN'!$C$7:$C$1492,0),0))</f>
        <v>JASA</v>
      </c>
      <c r="E233" s="354" t="str">
        <f ca="1">IF(B233="+","Unit",IF(ISERROR(OFFSET('HARGA SATUAN'!$E$6,MATCH(RAB!C233,'HARGA SATUAN'!$C$7:$C$1492,0),0)),"",OFFSET('HARGA SATUAN'!$E$6,MATCH(RAB!C233,'HARGA SATUAN'!$C$7:$C$1492,0),0)))</f>
        <v>Bh</v>
      </c>
      <c r="F233" s="361">
        <v>3</v>
      </c>
      <c r="G233" s="355">
        <f ca="1">IF(ISERROR(OFFSET('HARGA SATUAN'!$I$6,MATCH(RAB!C233,'HARGA SATUAN'!$C$7:$C$1492,0),0)),0,OFFSET('HARGA SATUAN'!$I$6,MATCH(RAB!C233,'HARGA SATUAN'!$C$7:$C$1492,0),0))</f>
        <v>29730</v>
      </c>
      <c r="H233" s="356">
        <f t="shared" ca="1" si="24"/>
        <v>0</v>
      </c>
      <c r="I233" s="356">
        <f t="shared" ca="1" si="25"/>
        <v>0</v>
      </c>
      <c r="J233" s="356">
        <f t="shared" ca="1" si="26"/>
        <v>89190</v>
      </c>
      <c r="K233" s="357">
        <f t="shared" ca="1" si="27"/>
        <v>89190</v>
      </c>
      <c r="L233" s="362"/>
      <c r="M233" s="362"/>
      <c r="N233" s="362"/>
      <c r="O233" s="358"/>
      <c r="P233" s="358"/>
      <c r="Q233" s="341"/>
      <c r="R233" s="333"/>
      <c r="S233" s="359"/>
      <c r="T233" s="338"/>
      <c r="U233" s="338"/>
      <c r="V233" s="338"/>
    </row>
    <row r="234" spans="1:22" s="363" customFormat="1">
      <c r="A234" s="333"/>
      <c r="B234" s="483"/>
      <c r="C234" s="109"/>
      <c r="D234" s="353" t="str">
        <f ca="1">IF(ISERROR(OFFSET('HARGA SATUAN'!$D$6,MATCH(RAB!C234,'HARGA SATUAN'!$C$7:$C$1492,0),0)),"",OFFSET('HARGA SATUAN'!$D$6,MATCH(RAB!C234,'HARGA SATUAN'!$C$7:$C$1492,0),0))</f>
        <v/>
      </c>
      <c r="E234" s="354" t="str">
        <f ca="1">IF(B234="+","Unit",IF(ISERROR(OFFSET('HARGA SATUAN'!$E$6,MATCH(RAB!C234,'HARGA SATUAN'!$C$7:$C$1492,0),0)),"",OFFSET('HARGA SATUAN'!$E$6,MATCH(RAB!C234,'HARGA SATUAN'!$C$7:$C$1492,0),0)))</f>
        <v/>
      </c>
      <c r="F234" s="361"/>
      <c r="G234" s="355">
        <f ca="1">IF(ISERROR(OFFSET('HARGA SATUAN'!$I$6,MATCH(RAB!C234,'HARGA SATUAN'!$C$7:$C$1492,0),0)),0,OFFSET('HARGA SATUAN'!$I$6,MATCH(RAB!C234,'HARGA SATUAN'!$C$7:$C$1492,0),0))</f>
        <v>0</v>
      </c>
      <c r="H234" s="356">
        <f t="shared" ca="1" si="24"/>
        <v>0</v>
      </c>
      <c r="I234" s="356">
        <f t="shared" ca="1" si="25"/>
        <v>0</v>
      </c>
      <c r="J234" s="356">
        <f t="shared" ca="1" si="26"/>
        <v>0</v>
      </c>
      <c r="K234" s="357">
        <f t="shared" ca="1" si="27"/>
        <v>0</v>
      </c>
      <c r="L234" s="362"/>
      <c r="M234" s="362"/>
      <c r="N234" s="362"/>
      <c r="O234" s="358"/>
      <c r="P234" s="358"/>
      <c r="Q234" s="341"/>
      <c r="R234" s="333"/>
      <c r="S234" s="359"/>
      <c r="T234" s="338"/>
      <c r="U234" s="338"/>
      <c r="V234" s="338"/>
    </row>
    <row r="235" spans="1:22" s="363" customFormat="1">
      <c r="A235" s="333"/>
      <c r="B235" s="511" t="s">
        <v>1035</v>
      </c>
      <c r="C235" s="512" t="s">
        <v>1629</v>
      </c>
      <c r="D235" s="353" t="str">
        <f ca="1">IF(ISERROR(OFFSET('HARGA SATUAN'!$D$6,MATCH(RAB!C235,'HARGA SATUAN'!$C$7:$C$1492,0),0)),"",OFFSET('HARGA SATUAN'!$D$6,MATCH(RAB!C235,'HARGA SATUAN'!$C$7:$C$1492,0),0))</f>
        <v/>
      </c>
      <c r="E235" s="354" t="str">
        <f ca="1">IF(B235="+","Unit",IF(ISERROR(OFFSET('HARGA SATUAN'!$E$6,MATCH(RAB!C235,'HARGA SATUAN'!$C$7:$C$1492,0),0)),"",OFFSET('HARGA SATUAN'!$E$6,MATCH(RAB!C235,'HARGA SATUAN'!$C$7:$C$1492,0),0)))</f>
        <v>Unit</v>
      </c>
      <c r="F235" s="505">
        <v>3</v>
      </c>
      <c r="G235" s="355">
        <f ca="1">IF(ISERROR(OFFSET('HARGA SATUAN'!$I$6,MATCH(RAB!C235,'HARGA SATUAN'!$C$7:$C$1492,0),0)),0,OFFSET('HARGA SATUAN'!$I$6,MATCH(RAB!C235,'HARGA SATUAN'!$C$7:$C$1492,0),0))</f>
        <v>0</v>
      </c>
      <c r="H235" s="356">
        <f t="shared" ca="1" si="24"/>
        <v>0</v>
      </c>
      <c r="I235" s="356">
        <f t="shared" ca="1" si="25"/>
        <v>0</v>
      </c>
      <c r="J235" s="356">
        <f t="shared" ca="1" si="26"/>
        <v>0</v>
      </c>
      <c r="K235" s="357">
        <f t="shared" ca="1" si="27"/>
        <v>0</v>
      </c>
      <c r="L235" s="362"/>
      <c r="M235" s="362"/>
      <c r="N235" s="362"/>
      <c r="O235" s="358"/>
      <c r="P235" s="358"/>
      <c r="Q235" s="341"/>
      <c r="R235" s="333"/>
      <c r="S235" s="359"/>
      <c r="T235" s="338"/>
      <c r="U235" s="338"/>
      <c r="V235" s="338"/>
    </row>
    <row r="236" spans="1:22" s="363" customFormat="1">
      <c r="A236" s="333"/>
      <c r="B236" s="511">
        <v>1</v>
      </c>
      <c r="C236" s="109" t="s">
        <v>1564</v>
      </c>
      <c r="D236" s="353" t="str">
        <f ca="1">IF(ISERROR(OFFSET('HARGA SATUAN'!$D$6,MATCH(RAB!C236,'HARGA SATUAN'!$C$7:$C$1492,0),0)),"",OFFSET('HARGA SATUAN'!$D$6,MATCH(RAB!C236,'HARGA SATUAN'!$C$7:$C$1492,0),0))</f>
        <v>MDU-KD</v>
      </c>
      <c r="E236" s="354" t="str">
        <f ca="1">IF(B236="+","Unit",IF(ISERROR(OFFSET('HARGA SATUAN'!$E$6,MATCH(RAB!C236,'HARGA SATUAN'!$C$7:$C$1492,0),0)),"",OFFSET('HARGA SATUAN'!$E$6,MATCH(RAB!C236,'HARGA SATUAN'!$C$7:$C$1492,0),0)))</f>
        <v>Bh</v>
      </c>
      <c r="F236" s="505">
        <f>F235*1</f>
        <v>3</v>
      </c>
      <c r="G236" s="355">
        <f ca="1">IF(ISERROR(OFFSET('HARGA SATUAN'!$I$6,MATCH(RAB!C236,'HARGA SATUAN'!$C$7:$C$1492,0),0)),0,OFFSET('HARGA SATUAN'!$I$6,MATCH(RAB!C236,'HARGA SATUAN'!$C$7:$C$1492,0),0))</f>
        <v>235900</v>
      </c>
      <c r="H236" s="356">
        <f t="shared" ca="1" si="24"/>
        <v>707700</v>
      </c>
      <c r="I236" s="356">
        <f t="shared" ca="1" si="25"/>
        <v>0</v>
      </c>
      <c r="J236" s="356">
        <f t="shared" ca="1" si="26"/>
        <v>0</v>
      </c>
      <c r="K236" s="357">
        <f t="shared" ca="1" si="27"/>
        <v>707700</v>
      </c>
      <c r="L236" s="362"/>
      <c r="M236" s="362"/>
      <c r="N236" s="362"/>
      <c r="O236" s="358"/>
      <c r="P236" s="358"/>
      <c r="Q236" s="341"/>
      <c r="R236" s="333"/>
      <c r="S236" s="359"/>
      <c r="T236" s="338"/>
      <c r="U236" s="338"/>
      <c r="V236" s="338"/>
    </row>
    <row r="237" spans="1:22" s="363" customFormat="1">
      <c r="A237" s="333"/>
      <c r="B237" s="511">
        <v>2</v>
      </c>
      <c r="C237" s="512" t="s">
        <v>26</v>
      </c>
      <c r="D237" s="353" t="str">
        <f ca="1">IF(ISERROR(OFFSET('HARGA SATUAN'!$D$6,MATCH(RAB!C237,'HARGA SATUAN'!$C$7:$C$1492,0),0)),"",OFFSET('HARGA SATUAN'!$D$6,MATCH(RAB!C237,'HARGA SATUAN'!$C$7:$C$1492,0),0))</f>
        <v>HDW</v>
      </c>
      <c r="E237" s="354" t="str">
        <f ca="1">IF(B237="+","Unit",IF(ISERROR(OFFSET('HARGA SATUAN'!$E$6,MATCH(RAB!C237,'HARGA SATUAN'!$C$7:$C$1492,0),0)),"",OFFSET('HARGA SATUAN'!$E$6,MATCH(RAB!C237,'HARGA SATUAN'!$C$7:$C$1492,0),0)))</f>
        <v>Bh</v>
      </c>
      <c r="F237" s="505">
        <f>F235*2</f>
        <v>6</v>
      </c>
      <c r="G237" s="355">
        <f ca="1">IF(ISERROR(OFFSET('HARGA SATUAN'!$I$6,MATCH(RAB!C237,'HARGA SATUAN'!$C$7:$C$1492,0),0)),0,OFFSET('HARGA SATUAN'!$I$6,MATCH(RAB!C237,'HARGA SATUAN'!$C$7:$C$1492,0),0))</f>
        <v>2500</v>
      </c>
      <c r="H237" s="356">
        <f t="shared" ca="1" si="24"/>
        <v>0</v>
      </c>
      <c r="I237" s="356">
        <f t="shared" ca="1" si="25"/>
        <v>15000</v>
      </c>
      <c r="J237" s="356">
        <f t="shared" ca="1" si="26"/>
        <v>0</v>
      </c>
      <c r="K237" s="357">
        <f t="shared" ca="1" si="27"/>
        <v>15000</v>
      </c>
      <c r="L237" s="362"/>
      <c r="M237" s="362"/>
      <c r="N237" s="362"/>
      <c r="O237" s="358"/>
      <c r="P237" s="358"/>
      <c r="Q237" s="341"/>
      <c r="R237" s="333"/>
      <c r="S237" s="359"/>
      <c r="T237" s="338"/>
      <c r="U237" s="338"/>
      <c r="V237" s="338"/>
    </row>
    <row r="238" spans="1:22" s="363" customFormat="1">
      <c r="A238" s="333"/>
      <c r="B238" s="511">
        <v>3</v>
      </c>
      <c r="C238" s="512" t="s">
        <v>38</v>
      </c>
      <c r="D238" s="353" t="str">
        <f ca="1">IF(ISERROR(OFFSET('HARGA SATUAN'!$D$6,MATCH(RAB!C238,'HARGA SATUAN'!$C$7:$C$1492,0),0)),"",OFFSET('HARGA SATUAN'!$D$6,MATCH(RAB!C238,'HARGA SATUAN'!$C$7:$C$1492,0),0))</f>
        <v>HDW</v>
      </c>
      <c r="E238" s="354" t="str">
        <f ca="1">IF(B238="+","Unit",IF(ISERROR(OFFSET('HARGA SATUAN'!$E$6,MATCH(RAB!C238,'HARGA SATUAN'!$C$7:$C$1492,0),0)),"",OFFSET('HARGA SATUAN'!$E$6,MATCH(RAB!C238,'HARGA SATUAN'!$C$7:$C$1492,0),0)))</f>
        <v>Mtr</v>
      </c>
      <c r="F238" s="505">
        <f>F236*1.8</f>
        <v>5.4</v>
      </c>
      <c r="G238" s="355">
        <f ca="1">IF(ISERROR(OFFSET('HARGA SATUAN'!$I$6,MATCH(RAB!C238,'HARGA SATUAN'!$C$7:$C$1492,0),0)),0,OFFSET('HARGA SATUAN'!$I$6,MATCH(RAB!C238,'HARGA SATUAN'!$C$7:$C$1492,0),0))</f>
        <v>8550</v>
      </c>
      <c r="H238" s="356">
        <f t="shared" ca="1" si="24"/>
        <v>0</v>
      </c>
      <c r="I238" s="356">
        <f t="shared" ca="1" si="25"/>
        <v>46170</v>
      </c>
      <c r="J238" s="356">
        <f t="shared" ca="1" si="26"/>
        <v>0</v>
      </c>
      <c r="K238" s="357">
        <f t="shared" ca="1" si="27"/>
        <v>46170</v>
      </c>
      <c r="L238" s="362"/>
      <c r="M238" s="362"/>
      <c r="N238" s="362"/>
      <c r="O238" s="358"/>
      <c r="P238" s="358"/>
      <c r="Q238" s="341"/>
      <c r="R238" s="333"/>
      <c r="S238" s="359"/>
      <c r="T238" s="338"/>
      <c r="U238" s="338"/>
      <c r="V238" s="338"/>
    </row>
    <row r="239" spans="1:22" s="363" customFormat="1">
      <c r="A239" s="333"/>
      <c r="B239" s="511">
        <v>4</v>
      </c>
      <c r="C239" s="512" t="s">
        <v>744</v>
      </c>
      <c r="D239" s="353" t="str">
        <f ca="1">IF(ISERROR(OFFSET('HARGA SATUAN'!$D$6,MATCH(RAB!C239,'HARGA SATUAN'!$C$7:$C$1492,0),0)),"",OFFSET('HARGA SATUAN'!$D$6,MATCH(RAB!C239,'HARGA SATUAN'!$C$7:$C$1492,0),0))</f>
        <v>JASA</v>
      </c>
      <c r="E239" s="354" t="str">
        <f ca="1">IF(B239="+","Unit",IF(ISERROR(OFFSET('HARGA SATUAN'!$E$6,MATCH(RAB!C239,'HARGA SATUAN'!$C$7:$C$1492,0),0)),"",OFFSET('HARGA SATUAN'!$E$6,MATCH(RAB!C239,'HARGA SATUAN'!$C$7:$C$1492,0),0)))</f>
        <v>Unit</v>
      </c>
      <c r="F239" s="505">
        <f>F235*1</f>
        <v>3</v>
      </c>
      <c r="G239" s="355">
        <f ca="1">IF(ISERROR(OFFSET('HARGA SATUAN'!$I$6,MATCH(RAB!C239,'HARGA SATUAN'!$C$7:$C$1492,0),0)),0,OFFSET('HARGA SATUAN'!$I$6,MATCH(RAB!C239,'HARGA SATUAN'!$C$7:$C$1492,0),0))</f>
        <v>31200</v>
      </c>
      <c r="H239" s="356">
        <f t="shared" ca="1" si="24"/>
        <v>0</v>
      </c>
      <c r="I239" s="356">
        <f t="shared" ca="1" si="25"/>
        <v>0</v>
      </c>
      <c r="J239" s="356">
        <f t="shared" ca="1" si="26"/>
        <v>93600</v>
      </c>
      <c r="K239" s="357">
        <f t="shared" ca="1" si="27"/>
        <v>93600</v>
      </c>
      <c r="L239" s="362"/>
      <c r="M239" s="362"/>
      <c r="N239" s="362"/>
      <c r="O239" s="358"/>
      <c r="P239" s="358"/>
      <c r="Q239" s="341"/>
      <c r="R239" s="333"/>
      <c r="S239" s="359"/>
      <c r="T239" s="338"/>
      <c r="U239" s="338"/>
      <c r="V239" s="338"/>
    </row>
    <row r="240" spans="1:22" s="363" customFormat="1">
      <c r="A240" s="333"/>
      <c r="B240" s="483"/>
      <c r="C240" s="109"/>
      <c r="D240" s="353" t="str">
        <f ca="1">IF(ISERROR(OFFSET('HARGA SATUAN'!$D$6,MATCH(RAB!C240,'HARGA SATUAN'!$C$7:$C$1492,0),0)),"",OFFSET('HARGA SATUAN'!$D$6,MATCH(RAB!C240,'HARGA SATUAN'!$C$7:$C$1492,0),0))</f>
        <v/>
      </c>
      <c r="E240" s="354" t="str">
        <f ca="1">IF(B240="+","Unit",IF(ISERROR(OFFSET('HARGA SATUAN'!$E$6,MATCH(RAB!C240,'HARGA SATUAN'!$C$7:$C$1492,0),0)),"",OFFSET('HARGA SATUAN'!$E$6,MATCH(RAB!C240,'HARGA SATUAN'!$C$7:$C$1492,0),0)))</f>
        <v/>
      </c>
      <c r="F240" s="361"/>
      <c r="G240" s="355">
        <f ca="1">IF(ISERROR(OFFSET('HARGA SATUAN'!$I$6,MATCH(RAB!C240,'HARGA SATUAN'!$C$7:$C$1492,0),0)),0,OFFSET('HARGA SATUAN'!$I$6,MATCH(RAB!C240,'HARGA SATUAN'!$C$7:$C$1492,0),0))</f>
        <v>0</v>
      </c>
      <c r="H240" s="356">
        <f t="shared" ca="1" si="24"/>
        <v>0</v>
      </c>
      <c r="I240" s="356">
        <f t="shared" ca="1" si="25"/>
        <v>0</v>
      </c>
      <c r="J240" s="356">
        <f t="shared" ca="1" si="26"/>
        <v>0</v>
      </c>
      <c r="K240" s="357">
        <f t="shared" ca="1" si="27"/>
        <v>0</v>
      </c>
      <c r="L240" s="362"/>
      <c r="M240" s="362"/>
      <c r="N240" s="362"/>
      <c r="O240" s="358"/>
      <c r="P240" s="358"/>
      <c r="Q240" s="341"/>
      <c r="R240" s="333"/>
      <c r="S240" s="359"/>
      <c r="T240" s="338"/>
      <c r="U240" s="338"/>
      <c r="V240" s="338"/>
    </row>
    <row r="241" spans="1:22" s="363" customFormat="1">
      <c r="A241" s="333"/>
      <c r="B241" s="511" t="s">
        <v>1035</v>
      </c>
      <c r="C241" s="512" t="s">
        <v>1628</v>
      </c>
      <c r="D241" s="353" t="str">
        <f ca="1">IF(ISERROR(OFFSET('HARGA SATUAN'!$D$6,MATCH(RAB!C241,'HARGA SATUAN'!$C$7:$C$1492,0),0)),"",OFFSET('HARGA SATUAN'!$D$6,MATCH(RAB!C241,'HARGA SATUAN'!$C$7:$C$1492,0),0))</f>
        <v/>
      </c>
      <c r="E241" s="354" t="str">
        <f ca="1">IF(B241="+","Unit",IF(ISERROR(OFFSET('HARGA SATUAN'!$E$6,MATCH(RAB!C241,'HARGA SATUAN'!$C$7:$C$1492,0),0)),"",OFFSET('HARGA SATUAN'!$E$6,MATCH(RAB!C241,'HARGA SATUAN'!$C$7:$C$1492,0),0)))</f>
        <v>Unit</v>
      </c>
      <c r="F241" s="505">
        <v>3</v>
      </c>
      <c r="G241" s="355">
        <f ca="1">IF(ISERROR(OFFSET('HARGA SATUAN'!$I$6,MATCH(RAB!C241,'HARGA SATUAN'!$C$7:$C$1492,0),0)),0,OFFSET('HARGA SATUAN'!$I$6,MATCH(RAB!C241,'HARGA SATUAN'!$C$7:$C$1492,0),0))</f>
        <v>0</v>
      </c>
      <c r="H241" s="356">
        <f t="shared" ca="1" si="24"/>
        <v>0</v>
      </c>
      <c r="I241" s="356">
        <f t="shared" ca="1" si="25"/>
        <v>0</v>
      </c>
      <c r="J241" s="356">
        <f t="shared" ca="1" si="26"/>
        <v>0</v>
      </c>
      <c r="K241" s="357">
        <f t="shared" ca="1" si="27"/>
        <v>0</v>
      </c>
      <c r="L241" s="362"/>
      <c r="M241" s="362"/>
      <c r="N241" s="362"/>
      <c r="O241" s="358"/>
      <c r="P241" s="358"/>
      <c r="Q241" s="341"/>
      <c r="R241" s="333"/>
      <c r="S241" s="359"/>
      <c r="T241" s="338"/>
      <c r="U241" s="338"/>
      <c r="V241" s="338"/>
    </row>
    <row r="242" spans="1:22" s="363" customFormat="1">
      <c r="A242" s="333"/>
      <c r="B242" s="511">
        <v>1</v>
      </c>
      <c r="C242" s="109" t="s">
        <v>1565</v>
      </c>
      <c r="D242" s="353" t="str">
        <f ca="1">IF(ISERROR(OFFSET('HARGA SATUAN'!$D$6,MATCH(RAB!C242,'HARGA SATUAN'!$C$7:$C$1492,0),0)),"",OFFSET('HARGA SATUAN'!$D$6,MATCH(RAB!C242,'HARGA SATUAN'!$C$7:$C$1492,0),0))</f>
        <v>MDU-KD</v>
      </c>
      <c r="E242" s="354" t="str">
        <f ca="1">IF(B242="+","Unit",IF(ISERROR(OFFSET('HARGA SATUAN'!$E$6,MATCH(RAB!C242,'HARGA SATUAN'!$C$7:$C$1492,0),0)),"",OFFSET('HARGA SATUAN'!$E$6,MATCH(RAB!C242,'HARGA SATUAN'!$C$7:$C$1492,0),0)))</f>
        <v>Set</v>
      </c>
      <c r="F242" s="505">
        <f>F241*1</f>
        <v>3</v>
      </c>
      <c r="G242" s="355">
        <f ca="1">IF(ISERROR(OFFSET('HARGA SATUAN'!$I$6,MATCH(RAB!C242,'HARGA SATUAN'!$C$7:$C$1492,0),0)),0,OFFSET('HARGA SATUAN'!$I$6,MATCH(RAB!C242,'HARGA SATUAN'!$C$7:$C$1492,0),0))</f>
        <v>430000</v>
      </c>
      <c r="H242" s="356">
        <f t="shared" ca="1" si="24"/>
        <v>1290000</v>
      </c>
      <c r="I242" s="356">
        <f t="shared" ca="1" si="25"/>
        <v>0</v>
      </c>
      <c r="J242" s="356">
        <f t="shared" ca="1" si="26"/>
        <v>0</v>
      </c>
      <c r="K242" s="357">
        <f t="shared" ca="1" si="27"/>
        <v>1290000</v>
      </c>
      <c r="L242" s="362"/>
      <c r="M242" s="362"/>
      <c r="N242" s="362"/>
      <c r="O242" s="358"/>
      <c r="P242" s="358"/>
      <c r="Q242" s="341"/>
      <c r="R242" s="333"/>
      <c r="S242" s="359"/>
      <c r="T242" s="338"/>
      <c r="U242" s="338"/>
      <c r="V242" s="338"/>
    </row>
    <row r="243" spans="1:22" s="363" customFormat="1">
      <c r="A243" s="333"/>
      <c r="B243" s="511">
        <v>2</v>
      </c>
      <c r="C243" s="512" t="s">
        <v>223</v>
      </c>
      <c r="D243" s="353" t="str">
        <f ca="1">IF(ISERROR(OFFSET('HARGA SATUAN'!$D$6,MATCH(RAB!C243,'HARGA SATUAN'!$C$7:$C$1492,0),0)),"",OFFSET('HARGA SATUAN'!$D$6,MATCH(RAB!C243,'HARGA SATUAN'!$C$7:$C$1492,0),0))</f>
        <v>HDW</v>
      </c>
      <c r="E243" s="354" t="str">
        <f ca="1">IF(B243="+","Unit",IF(ISERROR(OFFSET('HARGA SATUAN'!$E$6,MATCH(RAB!C243,'HARGA SATUAN'!$C$7:$C$1492,0),0)),"",OFFSET('HARGA SATUAN'!$E$6,MATCH(RAB!C243,'HARGA SATUAN'!$C$7:$C$1492,0),0)))</f>
        <v>Bh</v>
      </c>
      <c r="F243" s="505">
        <f>F241*1</f>
        <v>3</v>
      </c>
      <c r="G243" s="355">
        <f ca="1">IF(ISERROR(OFFSET('HARGA SATUAN'!$I$6,MATCH(RAB!C243,'HARGA SATUAN'!$C$7:$C$1492,0),0)),0,OFFSET('HARGA SATUAN'!$I$6,MATCH(RAB!C243,'HARGA SATUAN'!$C$7:$C$1492,0),0))</f>
        <v>27815</v>
      </c>
      <c r="H243" s="356">
        <f t="shared" ca="1" si="24"/>
        <v>0</v>
      </c>
      <c r="I243" s="356">
        <f t="shared" ca="1" si="25"/>
        <v>83445</v>
      </c>
      <c r="J243" s="356">
        <f t="shared" ca="1" si="26"/>
        <v>0</v>
      </c>
      <c r="K243" s="357">
        <f t="shared" ca="1" si="27"/>
        <v>83445</v>
      </c>
      <c r="L243" s="362"/>
      <c r="M243" s="362"/>
      <c r="N243" s="362"/>
      <c r="O243" s="358"/>
      <c r="P243" s="358"/>
      <c r="Q243" s="341"/>
      <c r="R243" s="333"/>
      <c r="S243" s="359"/>
      <c r="T243" s="338"/>
      <c r="U243" s="338"/>
      <c r="V243" s="338"/>
    </row>
    <row r="244" spans="1:22" s="363" customFormat="1">
      <c r="A244" s="333"/>
      <c r="B244" s="511">
        <v>3</v>
      </c>
      <c r="C244" s="512" t="s">
        <v>27</v>
      </c>
      <c r="D244" s="353" t="str">
        <f ca="1">IF(ISERROR(OFFSET('HARGA SATUAN'!$D$6,MATCH(RAB!C244,'HARGA SATUAN'!$C$7:$C$1492,0),0)),"",OFFSET('HARGA SATUAN'!$D$6,MATCH(RAB!C244,'HARGA SATUAN'!$C$7:$C$1492,0),0))</f>
        <v>HDW</v>
      </c>
      <c r="E244" s="354" t="str">
        <f ca="1">IF(B244="+","Unit",IF(ISERROR(OFFSET('HARGA SATUAN'!$E$6,MATCH(RAB!C244,'HARGA SATUAN'!$C$7:$C$1492,0),0)),"",OFFSET('HARGA SATUAN'!$E$6,MATCH(RAB!C244,'HARGA SATUAN'!$C$7:$C$1492,0),0)))</f>
        <v>Bh</v>
      </c>
      <c r="F244" s="505">
        <f>F241*1</f>
        <v>3</v>
      </c>
      <c r="G244" s="355">
        <f ca="1">IF(ISERROR(OFFSET('HARGA SATUAN'!$I$6,MATCH(RAB!C244,'HARGA SATUAN'!$C$7:$C$1492,0),0)),0,OFFSET('HARGA SATUAN'!$I$6,MATCH(RAB!C244,'HARGA SATUAN'!$C$7:$C$1492,0),0))</f>
        <v>16000</v>
      </c>
      <c r="H244" s="356">
        <f t="shared" ca="1" si="24"/>
        <v>0</v>
      </c>
      <c r="I244" s="356">
        <f t="shared" ca="1" si="25"/>
        <v>48000</v>
      </c>
      <c r="J244" s="356">
        <f t="shared" ca="1" si="26"/>
        <v>0</v>
      </c>
      <c r="K244" s="357">
        <f t="shared" ca="1" si="27"/>
        <v>48000</v>
      </c>
      <c r="L244" s="362"/>
      <c r="M244" s="362"/>
      <c r="N244" s="362"/>
      <c r="O244" s="358"/>
      <c r="P244" s="358"/>
      <c r="Q244" s="341"/>
      <c r="R244" s="333"/>
      <c r="S244" s="359"/>
      <c r="T244" s="338"/>
      <c r="U244" s="338"/>
      <c r="V244" s="338"/>
    </row>
    <row r="245" spans="1:22" s="363" customFormat="1">
      <c r="A245" s="333"/>
      <c r="B245" s="511">
        <v>4</v>
      </c>
      <c r="C245" s="512" t="s">
        <v>26</v>
      </c>
      <c r="D245" s="353" t="str">
        <f ca="1">IF(ISERROR(OFFSET('HARGA SATUAN'!$D$6,MATCH(RAB!C245,'HARGA SATUAN'!$C$7:$C$1492,0),0)),"",OFFSET('HARGA SATUAN'!$D$6,MATCH(RAB!C245,'HARGA SATUAN'!$C$7:$C$1492,0),0))</f>
        <v>HDW</v>
      </c>
      <c r="E245" s="354" t="str">
        <f ca="1">IF(B245="+","Unit",IF(ISERROR(OFFSET('HARGA SATUAN'!$E$6,MATCH(RAB!C245,'HARGA SATUAN'!$C$7:$C$1492,0),0)),"",OFFSET('HARGA SATUAN'!$E$6,MATCH(RAB!C245,'HARGA SATUAN'!$C$7:$C$1492,0),0)))</f>
        <v>Bh</v>
      </c>
      <c r="F245" s="505">
        <f>F241*1</f>
        <v>3</v>
      </c>
      <c r="G245" s="355">
        <f ca="1">IF(ISERROR(OFFSET('HARGA SATUAN'!$I$6,MATCH(RAB!C245,'HARGA SATUAN'!$C$7:$C$1492,0),0)),0,OFFSET('HARGA SATUAN'!$I$6,MATCH(RAB!C245,'HARGA SATUAN'!$C$7:$C$1492,0),0))</f>
        <v>2500</v>
      </c>
      <c r="H245" s="356">
        <f t="shared" ca="1" si="24"/>
        <v>0</v>
      </c>
      <c r="I245" s="356">
        <f t="shared" ca="1" si="25"/>
        <v>7500</v>
      </c>
      <c r="J245" s="356">
        <f t="shared" ca="1" si="26"/>
        <v>0</v>
      </c>
      <c r="K245" s="357">
        <f t="shared" ca="1" si="27"/>
        <v>7500</v>
      </c>
      <c r="L245" s="362"/>
      <c r="M245" s="362"/>
      <c r="N245" s="362"/>
      <c r="O245" s="358"/>
      <c r="P245" s="358"/>
      <c r="Q245" s="341"/>
      <c r="R245" s="333"/>
      <c r="S245" s="359"/>
      <c r="T245" s="338"/>
      <c r="U245" s="338"/>
      <c r="V245" s="338"/>
    </row>
    <row r="246" spans="1:22" s="363" customFormat="1">
      <c r="A246" s="333"/>
      <c r="B246" s="511">
        <v>5</v>
      </c>
      <c r="C246" s="512" t="s">
        <v>746</v>
      </c>
      <c r="D246" s="353" t="str">
        <f ca="1">IF(ISERROR(OFFSET('HARGA SATUAN'!$D$6,MATCH(RAB!C246,'HARGA SATUAN'!$C$7:$C$1492,0),0)),"",OFFSET('HARGA SATUAN'!$D$6,MATCH(RAB!C246,'HARGA SATUAN'!$C$7:$C$1492,0),0))</f>
        <v>JASA</v>
      </c>
      <c r="E246" s="354" t="str">
        <f ca="1">IF(B246="+","Unit",IF(ISERROR(OFFSET('HARGA SATUAN'!$E$6,MATCH(RAB!C246,'HARGA SATUAN'!$C$7:$C$1492,0),0)),"",OFFSET('HARGA SATUAN'!$E$6,MATCH(RAB!C246,'HARGA SATUAN'!$C$7:$C$1492,0),0)))</f>
        <v>Unit</v>
      </c>
      <c r="F246" s="505">
        <f>F241*1</f>
        <v>3</v>
      </c>
      <c r="G246" s="355">
        <f ca="1">IF(ISERROR(OFFSET('HARGA SATUAN'!$I$6,MATCH(RAB!C246,'HARGA SATUAN'!$C$7:$C$1492,0),0)),0,OFFSET('HARGA SATUAN'!$I$6,MATCH(RAB!C246,'HARGA SATUAN'!$C$7:$C$1492,0),0))</f>
        <v>48800</v>
      </c>
      <c r="H246" s="356">
        <f t="shared" ca="1" si="24"/>
        <v>0</v>
      </c>
      <c r="I246" s="356">
        <f t="shared" ca="1" si="25"/>
        <v>0</v>
      </c>
      <c r="J246" s="356">
        <f t="shared" ca="1" si="26"/>
        <v>146400</v>
      </c>
      <c r="K246" s="357">
        <f t="shared" ca="1" si="27"/>
        <v>146400</v>
      </c>
      <c r="L246" s="362"/>
      <c r="M246" s="362"/>
      <c r="N246" s="362"/>
      <c r="O246" s="358"/>
      <c r="P246" s="358"/>
      <c r="Q246" s="341"/>
      <c r="R246" s="333"/>
      <c r="S246" s="359"/>
      <c r="T246" s="338"/>
      <c r="U246" s="338"/>
      <c r="V246" s="338"/>
    </row>
    <row r="247" spans="1:22" s="363" customFormat="1">
      <c r="A247" s="333"/>
      <c r="B247" s="483"/>
      <c r="C247" s="109"/>
      <c r="D247" s="353" t="str">
        <f ca="1">IF(ISERROR(OFFSET('HARGA SATUAN'!$D$6,MATCH(RAB!C247,'HARGA SATUAN'!$C$7:$C$1492,0),0)),"",OFFSET('HARGA SATUAN'!$D$6,MATCH(RAB!C247,'HARGA SATUAN'!$C$7:$C$1492,0),0))</f>
        <v/>
      </c>
      <c r="E247" s="354" t="str">
        <f ca="1">IF(B247="+","Unit",IF(ISERROR(OFFSET('HARGA SATUAN'!$E$6,MATCH(RAB!C247,'HARGA SATUAN'!$C$7:$C$1492,0),0)),"",OFFSET('HARGA SATUAN'!$E$6,MATCH(RAB!C247,'HARGA SATUAN'!$C$7:$C$1492,0),0)))</f>
        <v/>
      </c>
      <c r="F247" s="361"/>
      <c r="G247" s="355">
        <f ca="1">IF(ISERROR(OFFSET('HARGA SATUAN'!$I$6,MATCH(RAB!C247,'HARGA SATUAN'!$C$7:$C$1492,0),0)),0,OFFSET('HARGA SATUAN'!$I$6,MATCH(RAB!C247,'HARGA SATUAN'!$C$7:$C$1492,0),0))</f>
        <v>0</v>
      </c>
      <c r="H247" s="356">
        <f t="shared" ca="1" si="24"/>
        <v>0</v>
      </c>
      <c r="I247" s="356">
        <f t="shared" ca="1" si="25"/>
        <v>0</v>
      </c>
      <c r="J247" s="356">
        <f t="shared" ca="1" si="26"/>
        <v>0</v>
      </c>
      <c r="K247" s="357">
        <f t="shared" ca="1" si="27"/>
        <v>0</v>
      </c>
      <c r="L247" s="362"/>
      <c r="M247" s="362"/>
      <c r="N247" s="362"/>
      <c r="O247" s="358"/>
      <c r="P247" s="358"/>
      <c r="Q247" s="341"/>
      <c r="R247" s="333"/>
      <c r="S247" s="359"/>
      <c r="T247" s="338"/>
      <c r="U247" s="338"/>
      <c r="V247" s="338"/>
    </row>
    <row r="248" spans="1:22" s="363" customFormat="1">
      <c r="A248" s="333"/>
      <c r="B248" s="483"/>
      <c r="C248" s="504" t="s">
        <v>1673</v>
      </c>
      <c r="D248" s="353" t="str">
        <f ca="1">IF(ISERROR(OFFSET('HARGA SATUAN'!$D$6,MATCH(RAB!C248,'HARGA SATUAN'!$C$7:$C$1492,0),0)),"",OFFSET('HARGA SATUAN'!$D$6,MATCH(RAB!C248,'HARGA SATUAN'!$C$7:$C$1492,0),0))</f>
        <v/>
      </c>
      <c r="E248" s="354" t="str">
        <f ca="1">IF(B248="+","Unit",IF(ISERROR(OFFSET('HARGA SATUAN'!$E$6,MATCH(RAB!C248,'HARGA SATUAN'!$C$7:$C$1492,0),0)),"",OFFSET('HARGA SATUAN'!$E$6,MATCH(RAB!C248,'HARGA SATUAN'!$C$7:$C$1492,0),0)))</f>
        <v/>
      </c>
      <c r="F248" s="361"/>
      <c r="G248" s="355">
        <f ca="1">IF(ISERROR(OFFSET('HARGA SATUAN'!$I$6,MATCH(RAB!C248,'HARGA SATUAN'!$C$7:$C$1492,0),0)),0,OFFSET('HARGA SATUAN'!$I$6,MATCH(RAB!C248,'HARGA SATUAN'!$C$7:$C$1492,0),0))</f>
        <v>0</v>
      </c>
      <c r="H248" s="356">
        <f t="shared" ref="H248:H258" ca="1" si="28">IF(OR(D248="MDU",D248="MDU-KD"),(IF($O$3="RAB NON MDU","PLN KD",G248*F248)),0)</f>
        <v>0</v>
      </c>
      <c r="I248" s="356">
        <f t="shared" ref="I248:I258" ca="1" si="29">IF(D248="HDW",G248*F248,0)</f>
        <v>0</v>
      </c>
      <c r="J248" s="356">
        <f t="shared" ref="J248:J258" ca="1" si="30">IF(D248="JASA",G248*F248,0)</f>
        <v>0</v>
      </c>
      <c r="K248" s="357">
        <f t="shared" ref="K248:K258" ca="1" si="31">SUM(H248:J248)</f>
        <v>0</v>
      </c>
      <c r="L248" s="362"/>
      <c r="M248" s="362"/>
      <c r="N248" s="362"/>
      <c r="O248" s="358"/>
      <c r="P248" s="358"/>
      <c r="Q248" s="341"/>
      <c r="R248" s="333"/>
      <c r="S248" s="359"/>
      <c r="T248" s="338"/>
      <c r="U248" s="338"/>
      <c r="V248" s="338"/>
    </row>
    <row r="249" spans="1:22" s="363" customFormat="1">
      <c r="A249" s="333"/>
      <c r="B249" s="483"/>
      <c r="C249" s="109"/>
      <c r="D249" s="353" t="str">
        <f ca="1">IF(ISERROR(OFFSET('HARGA SATUAN'!$D$6,MATCH(RAB!C249,'HARGA SATUAN'!$C$7:$C$1492,0),0)),"",OFFSET('HARGA SATUAN'!$D$6,MATCH(RAB!C249,'HARGA SATUAN'!$C$7:$C$1492,0),0))</f>
        <v/>
      </c>
      <c r="E249" s="354" t="str">
        <f ca="1">IF(B249="+","Unit",IF(ISERROR(OFFSET('HARGA SATUAN'!$E$6,MATCH(RAB!C249,'HARGA SATUAN'!$C$7:$C$1492,0),0)),"",OFFSET('HARGA SATUAN'!$E$6,MATCH(RAB!C249,'HARGA SATUAN'!$C$7:$C$1492,0),0)))</f>
        <v/>
      </c>
      <c r="F249" s="361"/>
      <c r="G249" s="355">
        <f ca="1">IF(ISERROR(OFFSET('HARGA SATUAN'!$I$6,MATCH(RAB!C249,'HARGA SATUAN'!$C$7:$C$1492,0),0)),0,OFFSET('HARGA SATUAN'!$I$6,MATCH(RAB!C249,'HARGA SATUAN'!$C$7:$C$1492,0),0))</f>
        <v>0</v>
      </c>
      <c r="H249" s="356">
        <f t="shared" ca="1" si="28"/>
        <v>0</v>
      </c>
      <c r="I249" s="356">
        <f t="shared" ca="1" si="29"/>
        <v>0</v>
      </c>
      <c r="J249" s="356">
        <f t="shared" ca="1" si="30"/>
        <v>0</v>
      </c>
      <c r="K249" s="357">
        <f t="shared" ca="1" si="31"/>
        <v>0</v>
      </c>
      <c r="L249" s="362"/>
      <c r="M249" s="362"/>
      <c r="N249" s="362"/>
      <c r="O249" s="358"/>
      <c r="P249" s="358"/>
      <c r="Q249" s="341"/>
      <c r="R249" s="333"/>
      <c r="S249" s="359"/>
      <c r="T249" s="338"/>
      <c r="U249" s="338"/>
      <c r="V249" s="338"/>
    </row>
    <row r="250" spans="1:22" s="363" customFormat="1">
      <c r="A250" s="333"/>
      <c r="B250" s="511" t="s">
        <v>1035</v>
      </c>
      <c r="C250" s="498" t="s">
        <v>1674</v>
      </c>
      <c r="D250" s="353" t="str">
        <f ca="1">IF(ISERROR(OFFSET('HARGA SATUAN'!$D$6,MATCH(RAB!C250,'HARGA SATUAN'!$C$7:$C$1492,0),0)),"",OFFSET('HARGA SATUAN'!$D$6,MATCH(RAB!C250,'HARGA SATUAN'!$C$7:$C$1492,0),0))</f>
        <v/>
      </c>
      <c r="E250" s="354" t="str">
        <f ca="1">IF(B250="+","Unit",IF(ISERROR(OFFSET('HARGA SATUAN'!$E$6,MATCH(RAB!C250,'HARGA SATUAN'!$C$7:$C$1492,0),0)),"",OFFSET('HARGA SATUAN'!$E$6,MATCH(RAB!C250,'HARGA SATUAN'!$C$7:$C$1492,0),0)))</f>
        <v>Unit</v>
      </c>
      <c r="F250" s="513">
        <v>3</v>
      </c>
      <c r="G250" s="355">
        <f ca="1">IF(ISERROR(OFFSET('HARGA SATUAN'!$I$6,MATCH(RAB!C250,'HARGA SATUAN'!$C$7:$C$1492,0),0)),0,OFFSET('HARGA SATUAN'!$I$6,MATCH(RAB!C250,'HARGA SATUAN'!$C$7:$C$1492,0),0))</f>
        <v>0</v>
      </c>
      <c r="H250" s="356">
        <f t="shared" ca="1" si="28"/>
        <v>0</v>
      </c>
      <c r="I250" s="356">
        <f t="shared" ca="1" si="29"/>
        <v>0</v>
      </c>
      <c r="J250" s="356">
        <f t="shared" ca="1" si="30"/>
        <v>0</v>
      </c>
      <c r="K250" s="357">
        <f t="shared" ca="1" si="31"/>
        <v>0</v>
      </c>
      <c r="L250" s="362"/>
      <c r="M250" s="362"/>
      <c r="N250" s="362"/>
      <c r="O250" s="358"/>
      <c r="P250" s="358"/>
      <c r="Q250" s="341"/>
      <c r="R250" s="333"/>
      <c r="S250" s="359"/>
      <c r="T250" s="338"/>
      <c r="U250" s="338"/>
      <c r="V250" s="338"/>
    </row>
    <row r="251" spans="1:22" s="363" customFormat="1">
      <c r="A251" s="333"/>
      <c r="B251" s="511">
        <v>1</v>
      </c>
      <c r="C251" s="109" t="s">
        <v>1565</v>
      </c>
      <c r="D251" s="353" t="str">
        <f ca="1">IF(ISERROR(OFFSET('HARGA SATUAN'!$D$6,MATCH(RAB!C251,'HARGA SATUAN'!$C$7:$C$1492,0),0)),"",OFFSET('HARGA SATUAN'!$D$6,MATCH(RAB!C251,'HARGA SATUAN'!$C$7:$C$1492,0),0))</f>
        <v>MDU-KD</v>
      </c>
      <c r="E251" s="354" t="str">
        <f ca="1">IF(B251="+","Unit",IF(ISERROR(OFFSET('HARGA SATUAN'!$E$6,MATCH(RAB!C251,'HARGA SATUAN'!$C$7:$C$1492,0),0)),"",OFFSET('HARGA SATUAN'!$E$6,MATCH(RAB!C251,'HARGA SATUAN'!$C$7:$C$1492,0),0)))</f>
        <v>Set</v>
      </c>
      <c r="F251" s="513">
        <f>F250*1</f>
        <v>3</v>
      </c>
      <c r="G251" s="355">
        <f ca="1">IF(ISERROR(OFFSET('HARGA SATUAN'!$I$6,MATCH(RAB!C251,'HARGA SATUAN'!$C$7:$C$1492,0),0)),0,OFFSET('HARGA SATUAN'!$I$6,MATCH(RAB!C251,'HARGA SATUAN'!$C$7:$C$1492,0),0))</f>
        <v>430000</v>
      </c>
      <c r="H251" s="356">
        <f t="shared" ca="1" si="28"/>
        <v>1290000</v>
      </c>
      <c r="I251" s="356">
        <f t="shared" ca="1" si="29"/>
        <v>0</v>
      </c>
      <c r="J251" s="356">
        <f t="shared" ca="1" si="30"/>
        <v>0</v>
      </c>
      <c r="K251" s="357">
        <f t="shared" ca="1" si="31"/>
        <v>1290000</v>
      </c>
      <c r="L251" s="362"/>
      <c r="M251" s="362"/>
      <c r="N251" s="362"/>
      <c r="O251" s="358"/>
      <c r="P251" s="358"/>
      <c r="Q251" s="341"/>
      <c r="R251" s="333"/>
      <c r="S251" s="359"/>
      <c r="T251" s="338"/>
      <c r="U251" s="338"/>
      <c r="V251" s="338"/>
    </row>
    <row r="252" spans="1:22" s="363" customFormat="1">
      <c r="A252" s="333"/>
      <c r="B252" s="511">
        <v>2</v>
      </c>
      <c r="C252" s="498" t="s">
        <v>217</v>
      </c>
      <c r="D252" s="353" t="str">
        <f ca="1">IF(ISERROR(OFFSET('HARGA SATUAN'!$D$6,MATCH(RAB!C252,'HARGA SATUAN'!$C$7:$C$1492,0),0)),"",OFFSET('HARGA SATUAN'!$D$6,MATCH(RAB!C252,'HARGA SATUAN'!$C$7:$C$1492,0),0))</f>
        <v>HDW</v>
      </c>
      <c r="E252" s="354" t="str">
        <f ca="1">IF(B252="+","Unit",IF(ISERROR(OFFSET('HARGA SATUAN'!$E$6,MATCH(RAB!C252,'HARGA SATUAN'!$C$7:$C$1492,0),0)),"",OFFSET('HARGA SATUAN'!$E$6,MATCH(RAB!C252,'HARGA SATUAN'!$C$7:$C$1492,0),0)))</f>
        <v>Bh</v>
      </c>
      <c r="F252" s="513">
        <f>F250*1</f>
        <v>3</v>
      </c>
      <c r="G252" s="355">
        <f ca="1">IF(ISERROR(OFFSET('HARGA SATUAN'!$I$6,MATCH(RAB!C252,'HARGA SATUAN'!$C$7:$C$1492,0),0)),0,OFFSET('HARGA SATUAN'!$I$6,MATCH(RAB!C252,'HARGA SATUAN'!$C$7:$C$1492,0),0))</f>
        <v>11400</v>
      </c>
      <c r="H252" s="356">
        <f t="shared" ca="1" si="28"/>
        <v>0</v>
      </c>
      <c r="I252" s="356">
        <f t="shared" ca="1" si="29"/>
        <v>34200</v>
      </c>
      <c r="J252" s="356">
        <f t="shared" ca="1" si="30"/>
        <v>0</v>
      </c>
      <c r="K252" s="357">
        <f t="shared" ca="1" si="31"/>
        <v>34200</v>
      </c>
      <c r="L252" s="362"/>
      <c r="M252" s="362"/>
      <c r="N252" s="362"/>
      <c r="O252" s="358"/>
      <c r="P252" s="358"/>
      <c r="Q252" s="341"/>
      <c r="R252" s="333"/>
      <c r="S252" s="359"/>
      <c r="T252" s="338"/>
      <c r="U252" s="338"/>
      <c r="V252" s="338"/>
    </row>
    <row r="253" spans="1:22" s="363" customFormat="1">
      <c r="A253" s="333"/>
      <c r="B253" s="511">
        <v>3</v>
      </c>
      <c r="C253" s="498" t="s">
        <v>223</v>
      </c>
      <c r="D253" s="353" t="str">
        <f ca="1">IF(ISERROR(OFFSET('HARGA SATUAN'!$D$6,MATCH(RAB!C253,'HARGA SATUAN'!$C$7:$C$1492,0),0)),"",OFFSET('HARGA SATUAN'!$D$6,MATCH(RAB!C253,'HARGA SATUAN'!$C$7:$C$1492,0),0))</f>
        <v>HDW</v>
      </c>
      <c r="E253" s="354" t="str">
        <f ca="1">IF(B253="+","Unit",IF(ISERROR(OFFSET('HARGA SATUAN'!$E$6,MATCH(RAB!C253,'HARGA SATUAN'!$C$7:$C$1492,0),0)),"",OFFSET('HARGA SATUAN'!$E$6,MATCH(RAB!C253,'HARGA SATUAN'!$C$7:$C$1492,0),0)))</f>
        <v>Bh</v>
      </c>
      <c r="F253" s="513">
        <f>F250*1</f>
        <v>3</v>
      </c>
      <c r="G253" s="355">
        <f ca="1">IF(ISERROR(OFFSET('HARGA SATUAN'!$I$6,MATCH(RAB!C253,'HARGA SATUAN'!$C$7:$C$1492,0),0)),0,OFFSET('HARGA SATUAN'!$I$6,MATCH(RAB!C253,'HARGA SATUAN'!$C$7:$C$1492,0),0))</f>
        <v>27815</v>
      </c>
      <c r="H253" s="356">
        <f t="shared" ca="1" si="28"/>
        <v>0</v>
      </c>
      <c r="I253" s="356">
        <f t="shared" ca="1" si="29"/>
        <v>83445</v>
      </c>
      <c r="J253" s="356">
        <f t="shared" ca="1" si="30"/>
        <v>0</v>
      </c>
      <c r="K253" s="357">
        <f t="shared" ca="1" si="31"/>
        <v>83445</v>
      </c>
      <c r="L253" s="362"/>
      <c r="M253" s="362"/>
      <c r="N253" s="362"/>
      <c r="O253" s="358"/>
      <c r="P253" s="358"/>
      <c r="Q253" s="341"/>
      <c r="R253" s="333"/>
      <c r="S253" s="359"/>
      <c r="T253" s="338"/>
      <c r="U253" s="338"/>
      <c r="V253" s="338"/>
    </row>
    <row r="254" spans="1:22" s="363" customFormat="1">
      <c r="A254" s="333"/>
      <c r="B254" s="511">
        <v>4</v>
      </c>
      <c r="C254" s="498" t="s">
        <v>27</v>
      </c>
      <c r="D254" s="353" t="str">
        <f ca="1">IF(ISERROR(OFFSET('HARGA SATUAN'!$D$6,MATCH(RAB!C254,'HARGA SATUAN'!$C$7:$C$1492,0),0)),"",OFFSET('HARGA SATUAN'!$D$6,MATCH(RAB!C254,'HARGA SATUAN'!$C$7:$C$1492,0),0))</f>
        <v>HDW</v>
      </c>
      <c r="E254" s="354" t="str">
        <f ca="1">IF(B254="+","Unit",IF(ISERROR(OFFSET('HARGA SATUAN'!$E$6,MATCH(RAB!C254,'HARGA SATUAN'!$C$7:$C$1492,0),0)),"",OFFSET('HARGA SATUAN'!$E$6,MATCH(RAB!C254,'HARGA SATUAN'!$C$7:$C$1492,0),0)))</f>
        <v>Bh</v>
      </c>
      <c r="F254" s="513">
        <f>F250*1</f>
        <v>3</v>
      </c>
      <c r="G254" s="355">
        <f ca="1">IF(ISERROR(OFFSET('HARGA SATUAN'!$I$6,MATCH(RAB!C254,'HARGA SATUAN'!$C$7:$C$1492,0),0)),0,OFFSET('HARGA SATUAN'!$I$6,MATCH(RAB!C254,'HARGA SATUAN'!$C$7:$C$1492,0),0))</f>
        <v>16000</v>
      </c>
      <c r="H254" s="356">
        <f t="shared" ca="1" si="28"/>
        <v>0</v>
      </c>
      <c r="I254" s="356">
        <f t="shared" ca="1" si="29"/>
        <v>48000</v>
      </c>
      <c r="J254" s="356">
        <f t="shared" ca="1" si="30"/>
        <v>0</v>
      </c>
      <c r="K254" s="357">
        <f t="shared" ca="1" si="31"/>
        <v>48000</v>
      </c>
      <c r="L254" s="362"/>
      <c r="M254" s="362"/>
      <c r="N254" s="362"/>
      <c r="O254" s="358"/>
      <c r="P254" s="358"/>
      <c r="Q254" s="341"/>
      <c r="R254" s="333"/>
      <c r="S254" s="359"/>
      <c r="T254" s="338"/>
      <c r="U254" s="338"/>
      <c r="V254" s="338"/>
    </row>
    <row r="255" spans="1:22" s="363" customFormat="1">
      <c r="A255" s="333"/>
      <c r="B255" s="511">
        <v>5</v>
      </c>
      <c r="C255" s="498" t="s">
        <v>26</v>
      </c>
      <c r="D255" s="353" t="str">
        <f ca="1">IF(ISERROR(OFFSET('HARGA SATUAN'!$D$6,MATCH(RAB!C255,'HARGA SATUAN'!$C$7:$C$1492,0),0)),"",OFFSET('HARGA SATUAN'!$D$6,MATCH(RAB!C255,'HARGA SATUAN'!$C$7:$C$1492,0),0))</f>
        <v>HDW</v>
      </c>
      <c r="E255" s="354" t="str">
        <f ca="1">IF(B255="+","Unit",IF(ISERROR(OFFSET('HARGA SATUAN'!$E$6,MATCH(RAB!C255,'HARGA SATUAN'!$C$7:$C$1492,0),0)),"",OFFSET('HARGA SATUAN'!$E$6,MATCH(RAB!C255,'HARGA SATUAN'!$C$7:$C$1492,0),0)))</f>
        <v>Bh</v>
      </c>
      <c r="F255" s="513">
        <f>F250*1</f>
        <v>3</v>
      </c>
      <c r="G255" s="355">
        <f ca="1">IF(ISERROR(OFFSET('HARGA SATUAN'!$I$6,MATCH(RAB!C255,'HARGA SATUAN'!$C$7:$C$1492,0),0)),0,OFFSET('HARGA SATUAN'!$I$6,MATCH(RAB!C255,'HARGA SATUAN'!$C$7:$C$1492,0),0))</f>
        <v>2500</v>
      </c>
      <c r="H255" s="356">
        <f t="shared" ca="1" si="28"/>
        <v>0</v>
      </c>
      <c r="I255" s="356">
        <f t="shared" ca="1" si="29"/>
        <v>7500</v>
      </c>
      <c r="J255" s="356">
        <f t="shared" ca="1" si="30"/>
        <v>0</v>
      </c>
      <c r="K255" s="357">
        <f t="shared" ca="1" si="31"/>
        <v>7500</v>
      </c>
      <c r="L255" s="362"/>
      <c r="M255" s="362"/>
      <c r="N255" s="362"/>
      <c r="O255" s="358"/>
      <c r="P255" s="358"/>
      <c r="Q255" s="341"/>
      <c r="R255" s="333"/>
      <c r="S255" s="359"/>
      <c r="T255" s="338"/>
      <c r="U255" s="338"/>
      <c r="V255" s="338"/>
    </row>
    <row r="256" spans="1:22" s="363" customFormat="1">
      <c r="A256" s="333"/>
      <c r="B256" s="511">
        <v>6</v>
      </c>
      <c r="C256" s="498" t="s">
        <v>661</v>
      </c>
      <c r="D256" s="353" t="str">
        <f ca="1">IF(ISERROR(OFFSET('HARGA SATUAN'!$D$6,MATCH(RAB!C256,'HARGA SATUAN'!$C$7:$C$1492,0),0)),"",OFFSET('HARGA SATUAN'!$D$6,MATCH(RAB!C256,'HARGA SATUAN'!$C$7:$C$1492,0),0))</f>
        <v>JASA</v>
      </c>
      <c r="E256" s="354" t="str">
        <f ca="1">IF(B256="+","Unit",IF(ISERROR(OFFSET('HARGA SATUAN'!$E$6,MATCH(RAB!C256,'HARGA SATUAN'!$C$7:$C$1492,0),0)),"",OFFSET('HARGA SATUAN'!$E$6,MATCH(RAB!C256,'HARGA SATUAN'!$C$7:$C$1492,0),0)))</f>
        <v>Unit</v>
      </c>
      <c r="F256" s="513">
        <f>F250*1</f>
        <v>3</v>
      </c>
      <c r="G256" s="355">
        <f ca="1">IF(ISERROR(OFFSET('HARGA SATUAN'!$I$6,MATCH(RAB!C256,'HARGA SATUAN'!$C$7:$C$1492,0),0)),0,OFFSET('HARGA SATUAN'!$I$6,MATCH(RAB!C256,'HARGA SATUAN'!$C$7:$C$1492,0),0))</f>
        <v>45100</v>
      </c>
      <c r="H256" s="356">
        <f t="shared" ca="1" si="28"/>
        <v>0</v>
      </c>
      <c r="I256" s="356">
        <f t="shared" ca="1" si="29"/>
        <v>0</v>
      </c>
      <c r="J256" s="356">
        <f t="shared" ca="1" si="30"/>
        <v>135300</v>
      </c>
      <c r="K256" s="357">
        <f t="shared" ca="1" si="31"/>
        <v>135300</v>
      </c>
      <c r="L256" s="362"/>
      <c r="M256" s="362"/>
      <c r="N256" s="362"/>
      <c r="O256" s="358"/>
      <c r="P256" s="358"/>
      <c r="Q256" s="341"/>
      <c r="R256" s="333"/>
      <c r="S256" s="359"/>
      <c r="T256" s="338"/>
      <c r="U256" s="338"/>
      <c r="V256" s="338"/>
    </row>
    <row r="257" spans="1:22" s="363" customFormat="1">
      <c r="A257" s="333"/>
      <c r="B257" s="483"/>
      <c r="C257" s="109"/>
      <c r="D257" s="353" t="str">
        <f ca="1">IF(ISERROR(OFFSET('HARGA SATUAN'!$D$6,MATCH(RAB!C257,'HARGA SATUAN'!$C$7:$C$1492,0),0)),"",OFFSET('HARGA SATUAN'!$D$6,MATCH(RAB!C257,'HARGA SATUAN'!$C$7:$C$1492,0),0))</f>
        <v/>
      </c>
      <c r="E257" s="354" t="str">
        <f ca="1">IF(B257="+","Unit",IF(ISERROR(OFFSET('HARGA SATUAN'!$E$6,MATCH(RAB!C257,'HARGA SATUAN'!$C$7:$C$1492,0),0)),"",OFFSET('HARGA SATUAN'!$E$6,MATCH(RAB!C257,'HARGA SATUAN'!$C$7:$C$1492,0),0)))</f>
        <v/>
      </c>
      <c r="F257" s="361"/>
      <c r="G257" s="355">
        <f ca="1">IF(ISERROR(OFFSET('HARGA SATUAN'!$I$6,MATCH(RAB!C257,'HARGA SATUAN'!$C$7:$C$1492,0),0)),0,OFFSET('HARGA SATUAN'!$I$6,MATCH(RAB!C257,'HARGA SATUAN'!$C$7:$C$1492,0),0))</f>
        <v>0</v>
      </c>
      <c r="H257" s="356">
        <f t="shared" ca="1" si="28"/>
        <v>0</v>
      </c>
      <c r="I257" s="356">
        <f t="shared" ca="1" si="29"/>
        <v>0</v>
      </c>
      <c r="J257" s="356">
        <f t="shared" ca="1" si="30"/>
        <v>0</v>
      </c>
      <c r="K257" s="357">
        <f t="shared" ca="1" si="31"/>
        <v>0</v>
      </c>
      <c r="L257" s="362"/>
      <c r="M257" s="362"/>
      <c r="N257" s="362"/>
      <c r="O257" s="358"/>
      <c r="P257" s="358"/>
      <c r="Q257" s="341"/>
      <c r="R257" s="333"/>
      <c r="S257" s="359"/>
      <c r="T257" s="338"/>
      <c r="U257" s="338"/>
      <c r="V257" s="338"/>
    </row>
    <row r="258" spans="1:22" s="363" customFormat="1">
      <c r="A258" s="333"/>
      <c r="B258" s="483"/>
      <c r="C258" s="504" t="s">
        <v>1667</v>
      </c>
      <c r="D258" s="353" t="str">
        <f ca="1">IF(ISERROR(OFFSET('HARGA SATUAN'!$D$6,MATCH(RAB!C258,'HARGA SATUAN'!$C$7:$C$1492,0),0)),"",OFFSET('HARGA SATUAN'!$D$6,MATCH(RAB!C258,'HARGA SATUAN'!$C$7:$C$1492,0),0))</f>
        <v/>
      </c>
      <c r="E258" s="354" t="str">
        <f ca="1">IF(B258="+","Unit",IF(ISERROR(OFFSET('HARGA SATUAN'!$E$6,MATCH(RAB!C258,'HARGA SATUAN'!$C$7:$C$1492,0),0)),"",OFFSET('HARGA SATUAN'!$E$6,MATCH(RAB!C258,'HARGA SATUAN'!$C$7:$C$1492,0),0)))</f>
        <v/>
      </c>
      <c r="F258" s="361"/>
      <c r="G258" s="355">
        <f ca="1">IF(ISERROR(OFFSET('HARGA SATUAN'!$I$6,MATCH(RAB!C258,'HARGA SATUAN'!$C$7:$C$1492,0),0)),0,OFFSET('HARGA SATUAN'!$I$6,MATCH(RAB!C258,'HARGA SATUAN'!$C$7:$C$1492,0),0))</f>
        <v>0</v>
      </c>
      <c r="H258" s="356">
        <f t="shared" ca="1" si="28"/>
        <v>0</v>
      </c>
      <c r="I258" s="356">
        <f t="shared" ca="1" si="29"/>
        <v>0</v>
      </c>
      <c r="J258" s="356">
        <f t="shared" ca="1" si="30"/>
        <v>0</v>
      </c>
      <c r="K258" s="357">
        <f t="shared" ca="1" si="31"/>
        <v>0</v>
      </c>
      <c r="L258" s="362"/>
      <c r="M258" s="362"/>
      <c r="N258" s="362"/>
      <c r="O258" s="358"/>
      <c r="P258" s="358"/>
      <c r="Q258" s="341"/>
      <c r="R258" s="333"/>
      <c r="S258" s="359"/>
      <c r="T258" s="338"/>
      <c r="U258" s="338"/>
      <c r="V258" s="338"/>
    </row>
    <row r="259" spans="1:22" s="363" customFormat="1">
      <c r="A259" s="333"/>
      <c r="B259" s="511" t="s">
        <v>1035</v>
      </c>
      <c r="C259" s="512" t="s">
        <v>1645</v>
      </c>
      <c r="D259" s="353" t="str">
        <f ca="1">IF(ISERROR(OFFSET('HARGA SATUAN'!$D$6,MATCH(RAB!C259,'HARGA SATUAN'!$C$7:$C$1492,0),0)),"",OFFSET('HARGA SATUAN'!$D$6,MATCH(RAB!C259,'HARGA SATUAN'!$C$7:$C$1492,0),0))</f>
        <v/>
      </c>
      <c r="E259" s="354" t="str">
        <f ca="1">IF(B259="+","Unit",IF(ISERROR(OFFSET('HARGA SATUAN'!$E$6,MATCH(RAB!C259,'HARGA SATUAN'!$C$7:$C$1492,0),0)),"",OFFSET('HARGA SATUAN'!$E$6,MATCH(RAB!C259,'HARGA SATUAN'!$C$7:$C$1492,0),0)))</f>
        <v>Unit</v>
      </c>
      <c r="F259" s="513">
        <v>6</v>
      </c>
      <c r="G259" s="355">
        <f ca="1">IF(ISERROR(OFFSET('HARGA SATUAN'!$I$6,MATCH(RAB!C259,'HARGA SATUAN'!$C$7:$C$1492,0),0)),0,OFFSET('HARGA SATUAN'!$I$6,MATCH(RAB!C259,'HARGA SATUAN'!$C$7:$C$1492,0),0))</f>
        <v>0</v>
      </c>
      <c r="H259" s="356">
        <f t="shared" ca="1" si="24"/>
        <v>0</v>
      </c>
      <c r="I259" s="356">
        <f t="shared" ca="1" si="25"/>
        <v>0</v>
      </c>
      <c r="J259" s="356">
        <f t="shared" ca="1" si="26"/>
        <v>0</v>
      </c>
      <c r="K259" s="357">
        <f t="shared" ca="1" si="27"/>
        <v>0</v>
      </c>
      <c r="L259" s="362"/>
      <c r="M259" s="362"/>
      <c r="N259" s="362"/>
      <c r="O259" s="358"/>
      <c r="P259" s="358"/>
      <c r="Q259" s="341"/>
      <c r="R259" s="333"/>
      <c r="S259" s="359"/>
      <c r="T259" s="338"/>
      <c r="U259" s="338"/>
      <c r="V259" s="338"/>
    </row>
    <row r="260" spans="1:22" s="363" customFormat="1">
      <c r="A260" s="333"/>
      <c r="B260" s="511">
        <v>1</v>
      </c>
      <c r="C260" s="512" t="s">
        <v>159</v>
      </c>
      <c r="D260" s="353" t="str">
        <f ca="1">IF(ISERROR(OFFSET('HARGA SATUAN'!$D$6,MATCH(RAB!C260,'HARGA SATUAN'!$C$7:$C$1492,0),0)),"",OFFSET('HARGA SATUAN'!$D$6,MATCH(RAB!C260,'HARGA SATUAN'!$C$7:$C$1492,0),0))</f>
        <v>HDW</v>
      </c>
      <c r="E260" s="354" t="str">
        <f ca="1">IF(B260="+","Unit",IF(ISERROR(OFFSET('HARGA SATUAN'!$E$6,MATCH(RAB!C260,'HARGA SATUAN'!$C$7:$C$1492,0),0)),"",OFFSET('HARGA SATUAN'!$E$6,MATCH(RAB!C260,'HARGA SATUAN'!$C$7:$C$1492,0),0)))</f>
        <v>Bh</v>
      </c>
      <c r="F260" s="513">
        <f>F259*1</f>
        <v>6</v>
      </c>
      <c r="G260" s="355">
        <f ca="1">IF(ISERROR(OFFSET('HARGA SATUAN'!$I$6,MATCH(RAB!C260,'HARGA SATUAN'!$C$7:$C$1492,0),0)),0,OFFSET('HARGA SATUAN'!$I$6,MATCH(RAB!C260,'HARGA SATUAN'!$C$7:$C$1492,0),0))</f>
        <v>45500</v>
      </c>
      <c r="H260" s="356">
        <f t="shared" ca="1" si="24"/>
        <v>0</v>
      </c>
      <c r="I260" s="356">
        <f t="shared" ca="1" si="25"/>
        <v>273000</v>
      </c>
      <c r="J260" s="356">
        <f t="shared" ca="1" si="26"/>
        <v>0</v>
      </c>
      <c r="K260" s="357">
        <f t="shared" ca="1" si="27"/>
        <v>273000</v>
      </c>
      <c r="L260" s="362"/>
      <c r="M260" s="362"/>
      <c r="N260" s="362"/>
      <c r="O260" s="358"/>
      <c r="P260" s="358"/>
      <c r="Q260" s="341"/>
      <c r="R260" s="333"/>
      <c r="S260" s="359"/>
      <c r="T260" s="338"/>
      <c r="U260" s="338"/>
      <c r="V260" s="338"/>
    </row>
    <row r="261" spans="1:22" s="363" customFormat="1">
      <c r="A261" s="333"/>
      <c r="B261" s="511">
        <v>2</v>
      </c>
      <c r="C261" s="512" t="s">
        <v>264</v>
      </c>
      <c r="D261" s="353" t="str">
        <f ca="1">IF(ISERROR(OFFSET('HARGA SATUAN'!$D$6,MATCH(RAB!C261,'HARGA SATUAN'!$C$7:$C$1492,0),0)),"",OFFSET('HARGA SATUAN'!$D$6,MATCH(RAB!C261,'HARGA SATUAN'!$C$7:$C$1492,0),0))</f>
        <v>HDW</v>
      </c>
      <c r="E261" s="354" t="str">
        <f ca="1">IF(B261="+","Unit",IF(ISERROR(OFFSET('HARGA SATUAN'!$E$6,MATCH(RAB!C261,'HARGA SATUAN'!$C$7:$C$1492,0),0)),"",OFFSET('HARGA SATUAN'!$E$6,MATCH(RAB!C261,'HARGA SATUAN'!$C$7:$C$1492,0),0)))</f>
        <v>Bh</v>
      </c>
      <c r="F261" s="513">
        <f>F259*1</f>
        <v>6</v>
      </c>
      <c r="G261" s="355">
        <f ca="1">IF(ISERROR(OFFSET('HARGA SATUAN'!$I$6,MATCH(RAB!C261,'HARGA SATUAN'!$C$7:$C$1492,0),0)),0,OFFSET('HARGA SATUAN'!$I$6,MATCH(RAB!C261,'HARGA SATUAN'!$C$7:$C$1492,0),0))</f>
        <v>28000</v>
      </c>
      <c r="H261" s="356">
        <f t="shared" ca="1" si="24"/>
        <v>0</v>
      </c>
      <c r="I261" s="356">
        <f t="shared" ca="1" si="25"/>
        <v>168000</v>
      </c>
      <c r="J261" s="356">
        <f t="shared" ca="1" si="26"/>
        <v>0</v>
      </c>
      <c r="K261" s="357">
        <f t="shared" ca="1" si="27"/>
        <v>168000</v>
      </c>
      <c r="L261" s="362"/>
      <c r="M261" s="362"/>
      <c r="N261" s="362"/>
      <c r="O261" s="358"/>
      <c r="P261" s="358"/>
      <c r="Q261" s="341"/>
      <c r="R261" s="333"/>
      <c r="S261" s="359"/>
      <c r="T261" s="338"/>
      <c r="U261" s="338"/>
      <c r="V261" s="338"/>
    </row>
    <row r="262" spans="1:22" s="363" customFormat="1">
      <c r="A262" s="333"/>
      <c r="B262" s="511">
        <v>3</v>
      </c>
      <c r="C262" s="512" t="s">
        <v>38</v>
      </c>
      <c r="D262" s="353" t="str">
        <f ca="1">IF(ISERROR(OFFSET('HARGA SATUAN'!$D$6,MATCH(RAB!C262,'HARGA SATUAN'!$C$7:$C$1492,0),0)),"",OFFSET('HARGA SATUAN'!$D$6,MATCH(RAB!C262,'HARGA SATUAN'!$C$7:$C$1492,0),0))</f>
        <v>HDW</v>
      </c>
      <c r="E262" s="354" t="str">
        <f ca="1">IF(B262="+","Unit",IF(ISERROR(OFFSET('HARGA SATUAN'!$E$6,MATCH(RAB!C262,'HARGA SATUAN'!$C$7:$C$1492,0),0)),"",OFFSET('HARGA SATUAN'!$E$6,MATCH(RAB!C262,'HARGA SATUAN'!$C$7:$C$1492,0),0)))</f>
        <v>Mtr</v>
      </c>
      <c r="F262" s="489">
        <f>F259*0.8</f>
        <v>4.8000000000000007</v>
      </c>
      <c r="G262" s="355">
        <f ca="1">IF(ISERROR(OFFSET('HARGA SATUAN'!$I$6,MATCH(RAB!C262,'HARGA SATUAN'!$C$7:$C$1492,0),0)),0,OFFSET('HARGA SATUAN'!$I$6,MATCH(RAB!C262,'HARGA SATUAN'!$C$7:$C$1492,0),0))</f>
        <v>8550</v>
      </c>
      <c r="H262" s="356">
        <f t="shared" ca="1" si="24"/>
        <v>0</v>
      </c>
      <c r="I262" s="356">
        <f t="shared" ca="1" si="25"/>
        <v>41040.000000000007</v>
      </c>
      <c r="J262" s="356">
        <f t="shared" ca="1" si="26"/>
        <v>0</v>
      </c>
      <c r="K262" s="357">
        <f t="shared" ca="1" si="27"/>
        <v>41040.000000000007</v>
      </c>
      <c r="L262" s="362"/>
      <c r="M262" s="362"/>
      <c r="N262" s="362"/>
      <c r="O262" s="358"/>
      <c r="P262" s="358"/>
      <c r="Q262" s="341"/>
      <c r="R262" s="333"/>
      <c r="S262" s="359"/>
      <c r="T262" s="338"/>
      <c r="U262" s="338"/>
      <c r="V262" s="338"/>
    </row>
    <row r="263" spans="1:22" s="363" customFormat="1">
      <c r="A263" s="333"/>
      <c r="B263" s="511">
        <v>4</v>
      </c>
      <c r="C263" s="512" t="s">
        <v>26</v>
      </c>
      <c r="D263" s="353" t="str">
        <f ca="1">IF(ISERROR(OFFSET('HARGA SATUAN'!$D$6,MATCH(RAB!C263,'HARGA SATUAN'!$C$7:$C$1492,0),0)),"",OFFSET('HARGA SATUAN'!$D$6,MATCH(RAB!C263,'HARGA SATUAN'!$C$7:$C$1492,0),0))</f>
        <v>HDW</v>
      </c>
      <c r="E263" s="354" t="str">
        <f ca="1">IF(B263="+","Unit",IF(ISERROR(OFFSET('HARGA SATUAN'!$E$6,MATCH(RAB!C263,'HARGA SATUAN'!$C$7:$C$1492,0),0)),"",OFFSET('HARGA SATUAN'!$E$6,MATCH(RAB!C263,'HARGA SATUAN'!$C$7:$C$1492,0),0)))</f>
        <v>Bh</v>
      </c>
      <c r="F263" s="489">
        <f>F259*1</f>
        <v>6</v>
      </c>
      <c r="G263" s="355">
        <f ca="1">IF(ISERROR(OFFSET('HARGA SATUAN'!$I$6,MATCH(RAB!C263,'HARGA SATUAN'!$C$7:$C$1492,0),0)),0,OFFSET('HARGA SATUAN'!$I$6,MATCH(RAB!C263,'HARGA SATUAN'!$C$7:$C$1492,0),0))</f>
        <v>2500</v>
      </c>
      <c r="H263" s="356">
        <f t="shared" ca="1" si="24"/>
        <v>0</v>
      </c>
      <c r="I263" s="356">
        <f t="shared" ca="1" si="25"/>
        <v>15000</v>
      </c>
      <c r="J263" s="356">
        <f t="shared" ca="1" si="26"/>
        <v>0</v>
      </c>
      <c r="K263" s="357">
        <f t="shared" ca="1" si="27"/>
        <v>15000</v>
      </c>
      <c r="L263" s="362"/>
      <c r="M263" s="362"/>
      <c r="N263" s="362"/>
      <c r="O263" s="358"/>
      <c r="P263" s="358"/>
      <c r="Q263" s="341"/>
      <c r="R263" s="333"/>
      <c r="S263" s="359"/>
      <c r="T263" s="338"/>
      <c r="U263" s="338"/>
      <c r="V263" s="338"/>
    </row>
    <row r="264" spans="1:22" s="363" customFormat="1">
      <c r="A264" s="333"/>
      <c r="B264" s="511">
        <v>5</v>
      </c>
      <c r="C264" s="512" t="s">
        <v>623</v>
      </c>
      <c r="D264" s="353" t="str">
        <f ca="1">IF(ISERROR(OFFSET('HARGA SATUAN'!$D$6,MATCH(RAB!C264,'HARGA SATUAN'!$C$7:$C$1492,0),0)),"",OFFSET('HARGA SATUAN'!$D$6,MATCH(RAB!C264,'HARGA SATUAN'!$C$7:$C$1492,0),0))</f>
        <v>JASA</v>
      </c>
      <c r="E264" s="354" t="str">
        <f ca="1">IF(B264="+","Unit",IF(ISERROR(OFFSET('HARGA SATUAN'!$E$6,MATCH(RAB!C264,'HARGA SATUAN'!$C$7:$C$1492,0),0)),"",OFFSET('HARGA SATUAN'!$E$6,MATCH(RAB!C264,'HARGA SATUAN'!$C$7:$C$1492,0),0)))</f>
        <v>Unit</v>
      </c>
      <c r="F264" s="489">
        <f>F259*1</f>
        <v>6</v>
      </c>
      <c r="G264" s="355">
        <f ca="1">IF(ISERROR(OFFSET('HARGA SATUAN'!$I$6,MATCH(RAB!C264,'HARGA SATUAN'!$C$7:$C$1492,0),0)),0,OFFSET('HARGA SATUAN'!$I$6,MATCH(RAB!C264,'HARGA SATUAN'!$C$7:$C$1492,0),0))</f>
        <v>33200</v>
      </c>
      <c r="H264" s="356">
        <f t="shared" ca="1" si="24"/>
        <v>0</v>
      </c>
      <c r="I264" s="356">
        <f t="shared" ca="1" si="25"/>
        <v>0</v>
      </c>
      <c r="J264" s="356">
        <f t="shared" ca="1" si="26"/>
        <v>199200</v>
      </c>
      <c r="K264" s="357">
        <f t="shared" ca="1" si="27"/>
        <v>199200</v>
      </c>
      <c r="L264" s="362"/>
      <c r="M264" s="362"/>
      <c r="N264" s="362"/>
      <c r="O264" s="358"/>
      <c r="P264" s="358"/>
      <c r="Q264" s="341"/>
      <c r="R264" s="333"/>
      <c r="S264" s="359"/>
      <c r="T264" s="338"/>
      <c r="U264" s="338"/>
      <c r="V264" s="338"/>
    </row>
    <row r="265" spans="1:22" s="363" customFormat="1">
      <c r="A265" s="333"/>
      <c r="B265" s="511"/>
      <c r="C265" s="512"/>
      <c r="D265" s="353" t="str">
        <f ca="1">IF(ISERROR(OFFSET('HARGA SATUAN'!$D$6,MATCH(RAB!C265,'HARGA SATUAN'!$C$7:$C$1492,0),0)),"",OFFSET('HARGA SATUAN'!$D$6,MATCH(RAB!C265,'HARGA SATUAN'!$C$7:$C$1492,0),0))</f>
        <v/>
      </c>
      <c r="E265" s="354" t="str">
        <f ca="1">IF(B265="+","Unit",IF(ISERROR(OFFSET('HARGA SATUAN'!$E$6,MATCH(RAB!C265,'HARGA SATUAN'!$C$7:$C$1492,0),0)),"",OFFSET('HARGA SATUAN'!$E$6,MATCH(RAB!C265,'HARGA SATUAN'!$C$7:$C$1492,0),0)))</f>
        <v/>
      </c>
      <c r="F265" s="489"/>
      <c r="G265" s="355">
        <f ca="1">IF(ISERROR(OFFSET('HARGA SATUAN'!$I$6,MATCH(RAB!C265,'HARGA SATUAN'!$C$7:$C$1492,0),0)),0,OFFSET('HARGA SATUAN'!$I$6,MATCH(RAB!C265,'HARGA SATUAN'!$C$7:$C$1492,0),0))</f>
        <v>0</v>
      </c>
      <c r="H265" s="356">
        <f t="shared" ca="1" si="24"/>
        <v>0</v>
      </c>
      <c r="I265" s="356">
        <f t="shared" ca="1" si="25"/>
        <v>0</v>
      </c>
      <c r="J265" s="356">
        <f t="shared" ca="1" si="26"/>
        <v>0</v>
      </c>
      <c r="K265" s="357">
        <f t="shared" ca="1" si="27"/>
        <v>0</v>
      </c>
      <c r="L265" s="362"/>
      <c r="M265" s="362"/>
      <c r="N265" s="362"/>
      <c r="O265" s="358"/>
      <c r="P265" s="358"/>
      <c r="Q265" s="341"/>
      <c r="R265" s="333"/>
      <c r="S265" s="359"/>
      <c r="T265" s="338"/>
      <c r="U265" s="338"/>
      <c r="V265" s="338"/>
    </row>
    <row r="266" spans="1:22" s="363" customFormat="1">
      <c r="A266" s="333"/>
      <c r="B266" s="511" t="s">
        <v>1035</v>
      </c>
      <c r="C266" s="507" t="s">
        <v>1646</v>
      </c>
      <c r="D266" s="353" t="str">
        <f ca="1">IF(ISERROR(OFFSET('HARGA SATUAN'!$D$6,MATCH(RAB!C266,'HARGA SATUAN'!$C$7:$C$1492,0),0)),"",OFFSET('HARGA SATUAN'!$D$6,MATCH(RAB!C266,'HARGA SATUAN'!$C$7:$C$1492,0),0))</f>
        <v/>
      </c>
      <c r="E266" s="354" t="str">
        <f ca="1">IF(B266="+","Unit",IF(ISERROR(OFFSET('HARGA SATUAN'!$E$6,MATCH(RAB!C266,'HARGA SATUAN'!$C$7:$C$1492,0),0)),"",OFFSET('HARGA SATUAN'!$E$6,MATCH(RAB!C266,'HARGA SATUAN'!$C$7:$C$1492,0),0)))</f>
        <v>Unit</v>
      </c>
      <c r="F266" s="489">
        <v>6</v>
      </c>
      <c r="G266" s="355">
        <f ca="1">IF(ISERROR(OFFSET('HARGA SATUAN'!$I$6,MATCH(RAB!C266,'HARGA SATUAN'!$C$7:$C$1492,0),0)),0,OFFSET('HARGA SATUAN'!$I$6,MATCH(RAB!C266,'HARGA SATUAN'!$C$7:$C$1492,0),0))</f>
        <v>0</v>
      </c>
      <c r="H266" s="356">
        <f t="shared" ca="1" si="24"/>
        <v>0</v>
      </c>
      <c r="I266" s="356">
        <f t="shared" ca="1" si="25"/>
        <v>0</v>
      </c>
      <c r="J266" s="356">
        <f t="shared" ca="1" si="26"/>
        <v>0</v>
      </c>
      <c r="K266" s="357">
        <f t="shared" ca="1" si="27"/>
        <v>0</v>
      </c>
      <c r="L266" s="362"/>
      <c r="M266" s="362"/>
      <c r="N266" s="362"/>
      <c r="O266" s="358"/>
      <c r="P266" s="358"/>
      <c r="Q266" s="341"/>
      <c r="R266" s="333"/>
      <c r="S266" s="359"/>
      <c r="T266" s="338"/>
      <c r="U266" s="338"/>
      <c r="V266" s="338"/>
    </row>
    <row r="267" spans="1:22" s="363" customFormat="1">
      <c r="A267" s="333"/>
      <c r="B267" s="506">
        <v>1</v>
      </c>
      <c r="C267" s="498" t="s">
        <v>152</v>
      </c>
      <c r="D267" s="353" t="str">
        <f ca="1">IF(ISERROR(OFFSET('HARGA SATUAN'!$D$6,MATCH(RAB!C267,'HARGA SATUAN'!$C$7:$C$1492,0),0)),"",OFFSET('HARGA SATUAN'!$D$6,MATCH(RAB!C267,'HARGA SATUAN'!$C$7:$C$1492,0),0))</f>
        <v>HDW</v>
      </c>
      <c r="E267" s="354" t="str">
        <f ca="1">IF(B267="+","Unit",IF(ISERROR(OFFSET('HARGA SATUAN'!$E$6,MATCH(RAB!C267,'HARGA SATUAN'!$C$7:$C$1492,0),0)),"",OFFSET('HARGA SATUAN'!$E$6,MATCH(RAB!C267,'HARGA SATUAN'!$C$7:$C$1492,0),0)))</f>
        <v>Mtr</v>
      </c>
      <c r="F267" s="513">
        <f>F266*1</f>
        <v>6</v>
      </c>
      <c r="G267" s="355">
        <f ca="1">IF(ISERROR(OFFSET('HARGA SATUAN'!$I$6,MATCH(RAB!C267,'HARGA SATUAN'!$C$7:$C$1492,0),0)),0,OFFSET('HARGA SATUAN'!$I$6,MATCH(RAB!C267,'HARGA SATUAN'!$C$7:$C$1492,0),0))</f>
        <v>7789</v>
      </c>
      <c r="H267" s="356">
        <f t="shared" ca="1" si="24"/>
        <v>0</v>
      </c>
      <c r="I267" s="356">
        <f t="shared" ca="1" si="25"/>
        <v>46734</v>
      </c>
      <c r="J267" s="356">
        <f t="shared" ca="1" si="26"/>
        <v>0</v>
      </c>
      <c r="K267" s="357">
        <f t="shared" ca="1" si="27"/>
        <v>46734</v>
      </c>
      <c r="L267" s="362"/>
      <c r="M267" s="362"/>
      <c r="N267" s="362"/>
      <c r="O267" s="358"/>
      <c r="P267" s="358"/>
      <c r="Q267" s="341"/>
      <c r="R267" s="333"/>
      <c r="S267" s="359"/>
      <c r="T267" s="338"/>
      <c r="U267" s="338"/>
      <c r="V267" s="338"/>
    </row>
    <row r="268" spans="1:22" s="363" customFormat="1">
      <c r="A268" s="333"/>
      <c r="B268" s="511">
        <v>2</v>
      </c>
      <c r="C268" s="512" t="s">
        <v>179</v>
      </c>
      <c r="D268" s="353" t="str">
        <f ca="1">IF(ISERROR(OFFSET('HARGA SATUAN'!$D$6,MATCH(RAB!C268,'HARGA SATUAN'!$C$7:$C$1492,0),0)),"",OFFSET('HARGA SATUAN'!$D$6,MATCH(RAB!C268,'HARGA SATUAN'!$C$7:$C$1492,0),0))</f>
        <v>HDW</v>
      </c>
      <c r="E268" s="354" t="str">
        <f ca="1">IF(B268="+","Unit",IF(ISERROR(OFFSET('HARGA SATUAN'!$E$6,MATCH(RAB!C268,'HARGA SATUAN'!$C$7:$C$1492,0),0)),"",OFFSET('HARGA SATUAN'!$E$6,MATCH(RAB!C268,'HARGA SATUAN'!$C$7:$C$1492,0),0)))</f>
        <v>Bh</v>
      </c>
      <c r="F268" s="489">
        <f>F266*1</f>
        <v>6</v>
      </c>
      <c r="G268" s="355">
        <f ca="1">IF(ISERROR(OFFSET('HARGA SATUAN'!$I$6,MATCH(RAB!C268,'HARGA SATUAN'!$C$7:$C$1492,0),0)),0,OFFSET('HARGA SATUAN'!$I$6,MATCH(RAB!C268,'HARGA SATUAN'!$C$7:$C$1492,0),0))</f>
        <v>15500</v>
      </c>
      <c r="H268" s="356">
        <f t="shared" ca="1" si="24"/>
        <v>0</v>
      </c>
      <c r="I268" s="356">
        <f t="shared" ca="1" si="25"/>
        <v>93000</v>
      </c>
      <c r="J268" s="356">
        <f t="shared" ca="1" si="26"/>
        <v>0</v>
      </c>
      <c r="K268" s="357">
        <f t="shared" ca="1" si="27"/>
        <v>93000</v>
      </c>
      <c r="L268" s="362"/>
      <c r="M268" s="362"/>
      <c r="N268" s="362"/>
      <c r="O268" s="358"/>
      <c r="P268" s="358"/>
      <c r="Q268" s="341"/>
      <c r="R268" s="333"/>
      <c r="S268" s="359"/>
      <c r="T268" s="338"/>
      <c r="U268" s="338"/>
      <c r="V268" s="338"/>
    </row>
    <row r="269" spans="1:22" s="363" customFormat="1">
      <c r="A269" s="333"/>
      <c r="B269" s="511">
        <v>3</v>
      </c>
      <c r="C269" s="512" t="s">
        <v>217</v>
      </c>
      <c r="D269" s="353" t="str">
        <f ca="1">IF(ISERROR(OFFSET('HARGA SATUAN'!$D$6,MATCH(RAB!C269,'HARGA SATUAN'!$C$7:$C$1492,0),0)),"",OFFSET('HARGA SATUAN'!$D$6,MATCH(RAB!C269,'HARGA SATUAN'!$C$7:$C$1492,0),0))</f>
        <v>HDW</v>
      </c>
      <c r="E269" s="354" t="str">
        <f ca="1">IF(B269="+","Unit",IF(ISERROR(OFFSET('HARGA SATUAN'!$E$6,MATCH(RAB!C269,'HARGA SATUAN'!$C$7:$C$1492,0),0)),"",OFFSET('HARGA SATUAN'!$E$6,MATCH(RAB!C269,'HARGA SATUAN'!$C$7:$C$1492,0),0)))</f>
        <v>Bh</v>
      </c>
      <c r="F269" s="489">
        <f>F266*1</f>
        <v>6</v>
      </c>
      <c r="G269" s="355">
        <f ca="1">IF(ISERROR(OFFSET('HARGA SATUAN'!$I$6,MATCH(RAB!C269,'HARGA SATUAN'!$C$7:$C$1492,0),0)),0,OFFSET('HARGA SATUAN'!$I$6,MATCH(RAB!C269,'HARGA SATUAN'!$C$7:$C$1492,0),0))</f>
        <v>11400</v>
      </c>
      <c r="H269" s="356">
        <f t="shared" ca="1" si="24"/>
        <v>0</v>
      </c>
      <c r="I269" s="356">
        <f t="shared" ca="1" si="25"/>
        <v>68400</v>
      </c>
      <c r="J269" s="356">
        <f t="shared" ca="1" si="26"/>
        <v>0</v>
      </c>
      <c r="K269" s="357">
        <f t="shared" ca="1" si="27"/>
        <v>68400</v>
      </c>
      <c r="L269" s="362"/>
      <c r="M269" s="362"/>
      <c r="N269" s="362"/>
      <c r="O269" s="358"/>
      <c r="P269" s="358"/>
      <c r="Q269" s="341"/>
      <c r="R269" s="333"/>
      <c r="S269" s="359"/>
      <c r="T269" s="338"/>
      <c r="U269" s="338"/>
      <c r="V269" s="338"/>
    </row>
    <row r="270" spans="1:22" s="363" customFormat="1">
      <c r="A270" s="333"/>
      <c r="B270" s="511">
        <v>4</v>
      </c>
      <c r="C270" s="512" t="s">
        <v>218</v>
      </c>
      <c r="D270" s="353" t="str">
        <f ca="1">IF(ISERROR(OFFSET('HARGA SATUAN'!$D$6,MATCH(RAB!C270,'HARGA SATUAN'!$C$7:$C$1492,0),0)),"",OFFSET('HARGA SATUAN'!$D$6,MATCH(RAB!C270,'HARGA SATUAN'!$C$7:$C$1492,0),0))</f>
        <v>HDW</v>
      </c>
      <c r="E270" s="354" t="str">
        <f ca="1">IF(B270="+","Unit",IF(ISERROR(OFFSET('HARGA SATUAN'!$E$6,MATCH(RAB!C270,'HARGA SATUAN'!$C$7:$C$1492,0),0)),"",OFFSET('HARGA SATUAN'!$E$6,MATCH(RAB!C270,'HARGA SATUAN'!$C$7:$C$1492,0),0)))</f>
        <v>Bh</v>
      </c>
      <c r="F270" s="489">
        <f>F266*2</f>
        <v>12</v>
      </c>
      <c r="G270" s="355">
        <f ca="1">IF(ISERROR(OFFSET('HARGA SATUAN'!$I$6,MATCH(RAB!C270,'HARGA SATUAN'!$C$7:$C$1492,0),0)),0,OFFSET('HARGA SATUAN'!$I$6,MATCH(RAB!C270,'HARGA SATUAN'!$C$7:$C$1492,0),0))</f>
        <v>29600</v>
      </c>
      <c r="H270" s="356">
        <f t="shared" ca="1" si="24"/>
        <v>0</v>
      </c>
      <c r="I270" s="356">
        <f t="shared" ca="1" si="25"/>
        <v>355200</v>
      </c>
      <c r="J270" s="356">
        <f t="shared" ca="1" si="26"/>
        <v>0</v>
      </c>
      <c r="K270" s="357">
        <f t="shared" ca="1" si="27"/>
        <v>355200</v>
      </c>
      <c r="L270" s="362"/>
      <c r="M270" s="362"/>
      <c r="N270" s="362"/>
      <c r="O270" s="358"/>
      <c r="P270" s="358"/>
      <c r="Q270" s="341"/>
      <c r="R270" s="333"/>
      <c r="S270" s="359"/>
      <c r="T270" s="338"/>
      <c r="U270" s="338"/>
      <c r="V270" s="338"/>
    </row>
    <row r="271" spans="1:22" s="363" customFormat="1">
      <c r="A271" s="333"/>
      <c r="B271" s="511">
        <v>5</v>
      </c>
      <c r="C271" s="512" t="s">
        <v>223</v>
      </c>
      <c r="D271" s="353" t="str">
        <f ca="1">IF(ISERROR(OFFSET('HARGA SATUAN'!$D$6,MATCH(RAB!C271,'HARGA SATUAN'!$C$7:$C$1492,0),0)),"",OFFSET('HARGA SATUAN'!$D$6,MATCH(RAB!C271,'HARGA SATUAN'!$C$7:$C$1492,0),0))</f>
        <v>HDW</v>
      </c>
      <c r="E271" s="354" t="str">
        <f ca="1">IF(B271="+","Unit",IF(ISERROR(OFFSET('HARGA SATUAN'!$E$6,MATCH(RAB!C271,'HARGA SATUAN'!$C$7:$C$1492,0),0)),"",OFFSET('HARGA SATUAN'!$E$6,MATCH(RAB!C271,'HARGA SATUAN'!$C$7:$C$1492,0),0)))</f>
        <v>Bh</v>
      </c>
      <c r="F271" s="489">
        <f>F266*1</f>
        <v>6</v>
      </c>
      <c r="G271" s="355">
        <f ca="1">IF(ISERROR(OFFSET('HARGA SATUAN'!$I$6,MATCH(RAB!C271,'HARGA SATUAN'!$C$7:$C$1492,0),0)),0,OFFSET('HARGA SATUAN'!$I$6,MATCH(RAB!C271,'HARGA SATUAN'!$C$7:$C$1492,0),0))</f>
        <v>27815</v>
      </c>
      <c r="H271" s="356">
        <f t="shared" ca="1" si="24"/>
        <v>0</v>
      </c>
      <c r="I271" s="356">
        <f t="shared" ca="1" si="25"/>
        <v>166890</v>
      </c>
      <c r="J271" s="356">
        <f t="shared" ca="1" si="26"/>
        <v>0</v>
      </c>
      <c r="K271" s="357">
        <f t="shared" ca="1" si="27"/>
        <v>166890</v>
      </c>
      <c r="L271" s="362"/>
      <c r="M271" s="362"/>
      <c r="N271" s="362"/>
      <c r="O271" s="358"/>
      <c r="P271" s="358"/>
      <c r="Q271" s="341"/>
      <c r="R271" s="333"/>
      <c r="S271" s="359"/>
      <c r="T271" s="338"/>
      <c r="U271" s="338"/>
      <c r="V271" s="338"/>
    </row>
    <row r="272" spans="1:22" s="363" customFormat="1">
      <c r="A272" s="333"/>
      <c r="B272" s="511">
        <v>6</v>
      </c>
      <c r="C272" s="512" t="s">
        <v>265</v>
      </c>
      <c r="D272" s="353" t="str">
        <f ca="1">IF(ISERROR(OFFSET('HARGA SATUAN'!$D$6,MATCH(RAB!C272,'HARGA SATUAN'!$C$7:$C$1492,0),0)),"",OFFSET('HARGA SATUAN'!$D$6,MATCH(RAB!C272,'HARGA SATUAN'!$C$7:$C$1492,0),0))</f>
        <v>HDW</v>
      </c>
      <c r="E272" s="354" t="str">
        <f ca="1">IF(B272="+","Unit",IF(ISERROR(OFFSET('HARGA SATUAN'!$E$6,MATCH(RAB!C272,'HARGA SATUAN'!$C$7:$C$1492,0),0)),"",OFFSET('HARGA SATUAN'!$E$6,MATCH(RAB!C272,'HARGA SATUAN'!$C$7:$C$1492,0),0)))</f>
        <v>Bh</v>
      </c>
      <c r="F272" s="489">
        <f>F266*1</f>
        <v>6</v>
      </c>
      <c r="G272" s="355">
        <f ca="1">IF(ISERROR(OFFSET('HARGA SATUAN'!$I$6,MATCH(RAB!C272,'HARGA SATUAN'!$C$7:$C$1492,0),0)),0,OFFSET('HARGA SATUAN'!$I$6,MATCH(RAB!C272,'HARGA SATUAN'!$C$7:$C$1492,0),0))</f>
        <v>33501.866666666669</v>
      </c>
      <c r="H272" s="356">
        <f t="shared" ca="1" si="24"/>
        <v>0</v>
      </c>
      <c r="I272" s="356">
        <f t="shared" ca="1" si="25"/>
        <v>201011.20000000001</v>
      </c>
      <c r="J272" s="356">
        <f t="shared" ca="1" si="26"/>
        <v>0</v>
      </c>
      <c r="K272" s="357">
        <f t="shared" ca="1" si="27"/>
        <v>201011.20000000001</v>
      </c>
      <c r="L272" s="362"/>
      <c r="M272" s="362"/>
      <c r="N272" s="362"/>
      <c r="O272" s="358"/>
      <c r="P272" s="358"/>
      <c r="Q272" s="341"/>
      <c r="R272" s="333"/>
      <c r="S272" s="359"/>
      <c r="T272" s="338"/>
      <c r="U272" s="338"/>
      <c r="V272" s="338"/>
    </row>
    <row r="273" spans="1:22" s="363" customFormat="1">
      <c r="A273" s="333"/>
      <c r="B273" s="511">
        <v>7</v>
      </c>
      <c r="C273" s="512" t="s">
        <v>26</v>
      </c>
      <c r="D273" s="353" t="str">
        <f ca="1">IF(ISERROR(OFFSET('HARGA SATUAN'!$D$6,MATCH(RAB!C273,'HARGA SATUAN'!$C$7:$C$1492,0),0)),"",OFFSET('HARGA SATUAN'!$D$6,MATCH(RAB!C273,'HARGA SATUAN'!$C$7:$C$1492,0),0))</f>
        <v>HDW</v>
      </c>
      <c r="E273" s="354" t="str">
        <f ca="1">IF(B273="+","Unit",IF(ISERROR(OFFSET('HARGA SATUAN'!$E$6,MATCH(RAB!C273,'HARGA SATUAN'!$C$7:$C$1492,0),0)),"",OFFSET('HARGA SATUAN'!$E$6,MATCH(RAB!C273,'HARGA SATUAN'!$C$7:$C$1492,0),0)))</f>
        <v>Bh</v>
      </c>
      <c r="F273" s="489">
        <f>F266*1</f>
        <v>6</v>
      </c>
      <c r="G273" s="355">
        <f ca="1">IF(ISERROR(OFFSET('HARGA SATUAN'!$I$6,MATCH(RAB!C273,'HARGA SATUAN'!$C$7:$C$1492,0),0)),0,OFFSET('HARGA SATUAN'!$I$6,MATCH(RAB!C273,'HARGA SATUAN'!$C$7:$C$1492,0),0))</f>
        <v>2500</v>
      </c>
      <c r="H273" s="356">
        <f t="shared" ca="1" si="24"/>
        <v>0</v>
      </c>
      <c r="I273" s="356">
        <f t="shared" ca="1" si="25"/>
        <v>15000</v>
      </c>
      <c r="J273" s="356">
        <f t="shared" ca="1" si="26"/>
        <v>0</v>
      </c>
      <c r="K273" s="357">
        <f t="shared" ca="1" si="27"/>
        <v>15000</v>
      </c>
      <c r="L273" s="362"/>
      <c r="M273" s="362"/>
      <c r="N273" s="362"/>
      <c r="O273" s="358"/>
      <c r="P273" s="358"/>
      <c r="Q273" s="341"/>
      <c r="R273" s="333"/>
      <c r="S273" s="359"/>
      <c r="T273" s="338"/>
      <c r="U273" s="338"/>
      <c r="V273" s="338"/>
    </row>
    <row r="274" spans="1:22" s="363" customFormat="1">
      <c r="A274" s="333"/>
      <c r="B274" s="511">
        <v>8</v>
      </c>
      <c r="C274" s="512" t="s">
        <v>624</v>
      </c>
      <c r="D274" s="353" t="str">
        <f ca="1">IF(ISERROR(OFFSET('HARGA SATUAN'!$D$6,MATCH(RAB!C274,'HARGA SATUAN'!$C$7:$C$1492,0),0)),"",OFFSET('HARGA SATUAN'!$D$6,MATCH(RAB!C274,'HARGA SATUAN'!$C$7:$C$1492,0),0))</f>
        <v>JASA</v>
      </c>
      <c r="E274" s="354" t="str">
        <f ca="1">IF(B274="+","Unit",IF(ISERROR(OFFSET('HARGA SATUAN'!$E$6,MATCH(RAB!C274,'HARGA SATUAN'!$C$7:$C$1492,0),0)),"",OFFSET('HARGA SATUAN'!$E$6,MATCH(RAB!C274,'HARGA SATUAN'!$C$7:$C$1492,0),0)))</f>
        <v>Unit</v>
      </c>
      <c r="F274" s="489">
        <f>F266*1</f>
        <v>6</v>
      </c>
      <c r="G274" s="355">
        <f ca="1">IF(ISERROR(OFFSET('HARGA SATUAN'!$I$6,MATCH(RAB!C274,'HARGA SATUAN'!$C$7:$C$1492,0),0)),0,OFFSET('HARGA SATUAN'!$I$6,MATCH(RAB!C274,'HARGA SATUAN'!$C$7:$C$1492,0),0))</f>
        <v>35700</v>
      </c>
      <c r="H274" s="356">
        <f t="shared" ca="1" si="24"/>
        <v>0</v>
      </c>
      <c r="I274" s="356">
        <f t="shared" ca="1" si="25"/>
        <v>0</v>
      </c>
      <c r="J274" s="356">
        <f t="shared" ca="1" si="26"/>
        <v>214200</v>
      </c>
      <c r="K274" s="357">
        <f t="shared" ca="1" si="27"/>
        <v>214200</v>
      </c>
      <c r="L274" s="362"/>
      <c r="M274" s="362"/>
      <c r="N274" s="362"/>
      <c r="O274" s="358"/>
      <c r="P274" s="358"/>
      <c r="Q274" s="341"/>
      <c r="R274" s="333"/>
      <c r="S274" s="359"/>
      <c r="T274" s="338"/>
      <c r="U274" s="338"/>
      <c r="V274" s="338"/>
    </row>
    <row r="275" spans="1:22" s="363" customFormat="1">
      <c r="A275" s="333"/>
      <c r="B275" s="491"/>
      <c r="C275" s="109"/>
      <c r="D275" s="353" t="str">
        <f ca="1">IF(ISERROR(OFFSET('HARGA SATUAN'!$D$6,MATCH(RAB!C275,'HARGA SATUAN'!$C$7:$C$1492,0),0)),"",OFFSET('HARGA SATUAN'!$D$6,MATCH(RAB!C275,'HARGA SATUAN'!$C$7:$C$1492,0),0))</f>
        <v/>
      </c>
      <c r="E275" s="354" t="str">
        <f ca="1">IF(B275="+","Unit",IF(ISERROR(OFFSET('HARGA SATUAN'!$E$6,MATCH(RAB!C275,'HARGA SATUAN'!$C$7:$C$1492,0),0)),"",OFFSET('HARGA SATUAN'!$E$6,MATCH(RAB!C275,'HARGA SATUAN'!$C$7:$C$1492,0),0)))</f>
        <v/>
      </c>
      <c r="F275" s="489"/>
      <c r="G275" s="355">
        <f ca="1">IF(ISERROR(OFFSET('HARGA SATUAN'!$I$6,MATCH(RAB!C275,'HARGA SATUAN'!$C$7:$C$1492,0),0)),0,OFFSET('HARGA SATUAN'!$I$6,MATCH(RAB!C275,'HARGA SATUAN'!$C$7:$C$1492,0),0))</f>
        <v>0</v>
      </c>
      <c r="H275" s="356">
        <f t="shared" ref="H275" ca="1" si="32">IF(OR(D275="MDU",D275="MDU-KD"),(IF($O$3="RAB NON MDU","PLN KD",G275*F275)),0)</f>
        <v>0</v>
      </c>
      <c r="I275" s="356">
        <f t="shared" ref="I275" ca="1" si="33">IF(D275="HDW",G275*F275,0)</f>
        <v>0</v>
      </c>
      <c r="J275" s="356">
        <f t="shared" ref="J275" ca="1" si="34">IF(D275="JASA",G275*F275,0)</f>
        <v>0</v>
      </c>
      <c r="K275" s="357">
        <f t="shared" ref="K275" ca="1" si="35">SUM(H275:J275)</f>
        <v>0</v>
      </c>
      <c r="L275" s="362"/>
      <c r="M275" s="362"/>
      <c r="N275" s="362"/>
      <c r="O275" s="358"/>
      <c r="P275" s="358"/>
      <c r="Q275" s="341"/>
      <c r="R275" s="333"/>
      <c r="S275" s="359"/>
      <c r="T275" s="338"/>
      <c r="U275" s="338"/>
      <c r="V275" s="338"/>
    </row>
    <row r="276" spans="1:22" s="363" customFormat="1">
      <c r="A276" s="333"/>
      <c r="B276" s="484" t="s">
        <v>524</v>
      </c>
      <c r="C276" s="485" t="s">
        <v>1613</v>
      </c>
      <c r="D276" s="353" t="str">
        <f ca="1">IF(ISERROR(OFFSET('HARGA SATUAN'!$D$6,MATCH(RAB!C276,'HARGA SATUAN'!$C$7:$C$1492,0),0)),"",OFFSET('HARGA SATUAN'!$D$6,MATCH(RAB!C276,'HARGA SATUAN'!$C$7:$C$1492,0),0))</f>
        <v/>
      </c>
      <c r="E276" s="354" t="str">
        <f ca="1">IF(B276="+","Unit",IF(ISERROR(OFFSET('HARGA SATUAN'!$E$6,MATCH(RAB!C276,'HARGA SATUAN'!$C$7:$C$1492,0),0)),"",OFFSET('HARGA SATUAN'!$E$6,MATCH(RAB!C276,'HARGA SATUAN'!$C$7:$C$1492,0),0)))</f>
        <v/>
      </c>
      <c r="F276" s="489"/>
      <c r="G276" s="355">
        <f ca="1">IF(ISERROR(OFFSET('HARGA SATUAN'!$I$6,MATCH(RAB!C276,'HARGA SATUAN'!$C$7:$C$1492,0),0)),0,OFFSET('HARGA SATUAN'!$I$6,MATCH(RAB!C276,'HARGA SATUAN'!$C$7:$C$1492,0),0))</f>
        <v>0</v>
      </c>
      <c r="H276" s="356">
        <f t="shared" ref="H276:H308" ca="1" si="36">IF(OR(D276="MDU",D276="MDU-KD"),(IF($O$3="RAB NON MDU","PLN KD",G276*F276)),0)</f>
        <v>0</v>
      </c>
      <c r="I276" s="356">
        <f t="shared" ref="I276:I308" ca="1" si="37">IF(D276="HDW",G276*F276,0)</f>
        <v>0</v>
      </c>
      <c r="J276" s="356">
        <f t="shared" ref="J276:J308" ca="1" si="38">IF(D276="JASA",G276*F276,0)</f>
        <v>0</v>
      </c>
      <c r="K276" s="357">
        <f t="shared" ref="K276:K308" ca="1" si="39">SUM(H276:J276)</f>
        <v>0</v>
      </c>
      <c r="L276" s="362"/>
      <c r="M276" s="362"/>
      <c r="N276" s="362"/>
      <c r="O276" s="358"/>
      <c r="P276" s="358"/>
      <c r="Q276" s="341"/>
      <c r="R276" s="333"/>
      <c r="S276" s="359"/>
      <c r="T276" s="338"/>
      <c r="U276" s="338"/>
      <c r="V276" s="338"/>
    </row>
    <row r="277" spans="1:22" s="363" customFormat="1">
      <c r="A277" s="333"/>
      <c r="B277" s="484"/>
      <c r="C277" s="485"/>
      <c r="D277" s="353" t="str">
        <f ca="1">IF(ISERROR(OFFSET('HARGA SATUAN'!$D$6,MATCH(RAB!C277,'HARGA SATUAN'!$C$7:$C$1492,0),0)),"",OFFSET('HARGA SATUAN'!$D$6,MATCH(RAB!C277,'HARGA SATUAN'!$C$7:$C$1492,0),0))</f>
        <v/>
      </c>
      <c r="E277" s="354" t="str">
        <f ca="1">IF(B277="+","Unit",IF(ISERROR(OFFSET('HARGA SATUAN'!$E$6,MATCH(RAB!C277,'HARGA SATUAN'!$C$7:$C$1492,0),0)),"",OFFSET('HARGA SATUAN'!$E$6,MATCH(RAB!C277,'HARGA SATUAN'!$C$7:$C$1492,0),0)))</f>
        <v/>
      </c>
      <c r="F277" s="489"/>
      <c r="G277" s="355">
        <f ca="1">IF(ISERROR(OFFSET('HARGA SATUAN'!$I$6,MATCH(RAB!C277,'HARGA SATUAN'!$C$7:$C$1492,0),0)),0,OFFSET('HARGA SATUAN'!$I$6,MATCH(RAB!C277,'HARGA SATUAN'!$C$7:$C$1492,0),0))</f>
        <v>0</v>
      </c>
      <c r="H277" s="356">
        <f t="shared" ca="1" si="36"/>
        <v>0</v>
      </c>
      <c r="I277" s="356">
        <f t="shared" ca="1" si="37"/>
        <v>0</v>
      </c>
      <c r="J277" s="356">
        <f t="shared" ca="1" si="38"/>
        <v>0</v>
      </c>
      <c r="K277" s="357">
        <f t="shared" ca="1" si="39"/>
        <v>0</v>
      </c>
      <c r="L277" s="362"/>
      <c r="M277" s="362"/>
      <c r="N277" s="362"/>
      <c r="O277" s="358"/>
      <c r="P277" s="358"/>
      <c r="Q277" s="341"/>
      <c r="R277" s="333"/>
      <c r="S277" s="359"/>
      <c r="T277" s="338"/>
      <c r="U277" s="338"/>
      <c r="V277" s="338"/>
    </row>
    <row r="278" spans="1:22" s="363" customFormat="1">
      <c r="A278" s="333"/>
      <c r="B278" s="511" t="s">
        <v>1035</v>
      </c>
      <c r="C278" s="512" t="s">
        <v>1668</v>
      </c>
      <c r="D278" s="353" t="str">
        <f ca="1">IF(ISERROR(OFFSET('HARGA SATUAN'!$D$6,MATCH(RAB!C278,'HARGA SATUAN'!$C$7:$C$1492,0),0)),"",OFFSET('HARGA SATUAN'!$D$6,MATCH(RAB!C278,'HARGA SATUAN'!$C$7:$C$1492,0),0))</f>
        <v/>
      </c>
      <c r="E278" s="354" t="str">
        <f ca="1">IF(B278="+","Unit",IF(ISERROR(OFFSET('HARGA SATUAN'!$E$6,MATCH(RAB!C278,'HARGA SATUAN'!$C$7:$C$1492,0),0)),"",OFFSET('HARGA SATUAN'!$E$6,MATCH(RAB!C278,'HARGA SATUAN'!$C$7:$C$1492,0),0)))</f>
        <v>Unit</v>
      </c>
      <c r="F278" s="489">
        <v>1</v>
      </c>
      <c r="G278" s="355">
        <f ca="1">IF(ISERROR(OFFSET('HARGA SATUAN'!$I$6,MATCH(RAB!C278,'HARGA SATUAN'!$C$7:$C$1492,0),0)),0,OFFSET('HARGA SATUAN'!$I$6,MATCH(RAB!C278,'HARGA SATUAN'!$C$7:$C$1492,0),0))</f>
        <v>0</v>
      </c>
      <c r="H278" s="356">
        <f t="shared" ca="1" si="36"/>
        <v>0</v>
      </c>
      <c r="I278" s="356">
        <f t="shared" ca="1" si="37"/>
        <v>0</v>
      </c>
      <c r="J278" s="356">
        <f t="shared" ca="1" si="38"/>
        <v>0</v>
      </c>
      <c r="K278" s="357">
        <f t="shared" ca="1" si="39"/>
        <v>0</v>
      </c>
      <c r="L278" s="362"/>
      <c r="M278" s="362"/>
      <c r="N278" s="362"/>
      <c r="O278" s="358"/>
      <c r="P278" s="358"/>
      <c r="Q278" s="341"/>
      <c r="R278" s="333"/>
      <c r="S278" s="359"/>
      <c r="T278" s="338"/>
      <c r="U278" s="338"/>
      <c r="V278" s="338"/>
    </row>
    <row r="279" spans="1:22" s="363" customFormat="1">
      <c r="A279" s="333"/>
      <c r="B279" s="511">
        <v>1</v>
      </c>
      <c r="C279" s="109" t="s">
        <v>1147</v>
      </c>
      <c r="D279" s="353" t="str">
        <f ca="1">IF(ISERROR(OFFSET('HARGA SATUAN'!$D$6,MATCH(RAB!C279,'HARGA SATUAN'!$C$7:$C$1492,0),0)),"",OFFSET('HARGA SATUAN'!$D$6,MATCH(RAB!C279,'HARGA SATUAN'!$C$7:$C$1492,0),0))</f>
        <v>MDU-KD</v>
      </c>
      <c r="E279" s="354" t="str">
        <f ca="1">IF(B279="+","Unit",IF(ISERROR(OFFSET('HARGA SATUAN'!$E$6,MATCH(RAB!C279,'HARGA SATUAN'!$C$7:$C$1492,0),0)),"",OFFSET('HARGA SATUAN'!$E$6,MATCH(RAB!C279,'HARGA SATUAN'!$C$7:$C$1492,0),0)))</f>
        <v>Bh</v>
      </c>
      <c r="F279" s="489">
        <f>F278*1</f>
        <v>1</v>
      </c>
      <c r="G279" s="355">
        <f ca="1">IF(ISERROR(OFFSET('HARGA SATUAN'!$I$6,MATCH(RAB!C279,'HARGA SATUAN'!$C$7:$C$1492,0),0)),0,OFFSET('HARGA SATUAN'!$I$6,MATCH(RAB!C279,'HARGA SATUAN'!$C$7:$C$1492,0),0))</f>
        <v>56838600</v>
      </c>
      <c r="H279" s="356">
        <f t="shared" ca="1" si="36"/>
        <v>56838600</v>
      </c>
      <c r="I279" s="356">
        <f t="shared" ca="1" si="37"/>
        <v>0</v>
      </c>
      <c r="J279" s="356">
        <f t="shared" ca="1" si="38"/>
        <v>0</v>
      </c>
      <c r="K279" s="357">
        <f t="shared" ca="1" si="39"/>
        <v>56838600</v>
      </c>
      <c r="L279" s="362"/>
      <c r="M279" s="362"/>
      <c r="N279" s="362"/>
      <c r="O279" s="358"/>
      <c r="P279" s="358"/>
      <c r="Q279" s="341"/>
      <c r="R279" s="333"/>
      <c r="S279" s="359"/>
      <c r="T279" s="338"/>
      <c r="U279" s="338"/>
      <c r="V279" s="338"/>
    </row>
    <row r="280" spans="1:22" s="363" customFormat="1">
      <c r="A280" s="333"/>
      <c r="B280" s="506">
        <v>2</v>
      </c>
      <c r="C280" s="514" t="s">
        <v>1669</v>
      </c>
      <c r="D280" s="353" t="str">
        <f ca="1">IF(ISERROR(OFFSET('HARGA SATUAN'!$D$6,MATCH(RAB!C280,'HARGA SATUAN'!$C$7:$C$1492,0),0)),"",OFFSET('HARGA SATUAN'!$D$6,MATCH(RAB!C280,'HARGA SATUAN'!$C$7:$C$1492,0),0))</f>
        <v/>
      </c>
      <c r="E280" s="354" t="str">
        <f ca="1">IF(B280="+","Unit",IF(ISERROR(OFFSET('HARGA SATUAN'!$E$6,MATCH(RAB!C280,'HARGA SATUAN'!$C$7:$C$1492,0),0)),"",OFFSET('HARGA SATUAN'!$E$6,MATCH(RAB!C280,'HARGA SATUAN'!$C$7:$C$1492,0),0)))</f>
        <v/>
      </c>
      <c r="F280" s="515"/>
      <c r="G280" s="355">
        <f ca="1">IF(ISERROR(OFFSET('HARGA SATUAN'!$I$6,MATCH(RAB!C280,'HARGA SATUAN'!$C$7:$C$1492,0),0)),0,OFFSET('HARGA SATUAN'!$I$6,MATCH(RAB!C280,'HARGA SATUAN'!$C$7:$C$1492,0),0))</f>
        <v>0</v>
      </c>
      <c r="H280" s="356">
        <f t="shared" ca="1" si="36"/>
        <v>0</v>
      </c>
      <c r="I280" s="356">
        <f t="shared" ca="1" si="37"/>
        <v>0</v>
      </c>
      <c r="J280" s="356">
        <f t="shared" ca="1" si="38"/>
        <v>0</v>
      </c>
      <c r="K280" s="357">
        <f t="shared" ca="1" si="39"/>
        <v>0</v>
      </c>
      <c r="L280" s="362"/>
      <c r="M280" s="362"/>
      <c r="N280" s="362"/>
      <c r="O280" s="358"/>
      <c r="P280" s="358"/>
      <c r="Q280" s="341"/>
      <c r="R280" s="333"/>
      <c r="S280" s="359"/>
      <c r="T280" s="338"/>
      <c r="U280" s="338"/>
      <c r="V280" s="338"/>
    </row>
    <row r="281" spans="1:22" s="363" customFormat="1">
      <c r="A281" s="333"/>
      <c r="B281" s="511"/>
      <c r="C281" s="514" t="s">
        <v>65</v>
      </c>
      <c r="D281" s="353" t="str">
        <f ca="1">IF(ISERROR(OFFSET('HARGA SATUAN'!$D$6,MATCH(RAB!C281,'HARGA SATUAN'!$C$7:$C$1492,0),0)),"",OFFSET('HARGA SATUAN'!$D$6,MATCH(RAB!C281,'HARGA SATUAN'!$C$7:$C$1492,0),0))</f>
        <v>MDU-KD</v>
      </c>
      <c r="E281" s="354" t="str">
        <f ca="1">IF(B281="+","Unit",IF(ISERROR(OFFSET('HARGA SATUAN'!$E$6,MATCH(RAB!C281,'HARGA SATUAN'!$C$7:$C$1492,0),0)),"",OFFSET('HARGA SATUAN'!$E$6,MATCH(RAB!C281,'HARGA SATUAN'!$C$7:$C$1492,0),0)))</f>
        <v>Mtr</v>
      </c>
      <c r="F281" s="489">
        <f>F278*(3*3)</f>
        <v>9</v>
      </c>
      <c r="G281" s="355">
        <f ca="1">IF(ISERROR(OFFSET('HARGA SATUAN'!$I$6,MATCH(RAB!C281,'HARGA SATUAN'!$C$7:$C$1492,0),0)),0,OFFSET('HARGA SATUAN'!$I$6,MATCH(RAB!C281,'HARGA SATUAN'!$C$7:$C$1492,0),0))</f>
        <v>14200</v>
      </c>
      <c r="H281" s="356">
        <f t="shared" ca="1" si="36"/>
        <v>127800</v>
      </c>
      <c r="I281" s="356">
        <f t="shared" ca="1" si="37"/>
        <v>0</v>
      </c>
      <c r="J281" s="356">
        <f t="shared" ca="1" si="38"/>
        <v>0</v>
      </c>
      <c r="K281" s="357">
        <f t="shared" ca="1" si="39"/>
        <v>127800</v>
      </c>
      <c r="L281" s="362"/>
      <c r="M281" s="362"/>
      <c r="N281" s="362"/>
      <c r="O281" s="358"/>
      <c r="P281" s="358"/>
      <c r="Q281" s="341"/>
      <c r="R281" s="333"/>
      <c r="S281" s="359"/>
      <c r="T281" s="338"/>
      <c r="U281" s="338"/>
      <c r="V281" s="338"/>
    </row>
    <row r="282" spans="1:22" s="363" customFormat="1">
      <c r="A282" s="333"/>
      <c r="B282" s="511"/>
      <c r="C282" s="109" t="s">
        <v>1459</v>
      </c>
      <c r="D282" s="353" t="str">
        <f ca="1">IF(ISERROR(OFFSET('HARGA SATUAN'!$D$6,MATCH(RAB!C282,'HARGA SATUAN'!$C$7:$C$1492,0),0)),"",OFFSET('HARGA SATUAN'!$D$6,MATCH(RAB!C282,'HARGA SATUAN'!$C$7:$C$1492,0),0))</f>
        <v>MDU-KD</v>
      </c>
      <c r="E282" s="354" t="str">
        <f ca="1">IF(B282="+","Unit",IF(ISERROR(OFFSET('HARGA SATUAN'!$E$6,MATCH(RAB!C282,'HARGA SATUAN'!$C$7:$C$1492,0),0)),"",OFFSET('HARGA SATUAN'!$E$6,MATCH(RAB!C282,'HARGA SATUAN'!$C$7:$C$1492,0),0)))</f>
        <v>Mtr</v>
      </c>
      <c r="F282" s="489">
        <f>F278*3</f>
        <v>3</v>
      </c>
      <c r="G282" s="355">
        <f ca="1">IF(ISERROR(OFFSET('HARGA SATUAN'!$I$6,MATCH(RAB!C282,'HARGA SATUAN'!$C$7:$C$1492,0),0)),0,OFFSET('HARGA SATUAN'!$I$6,MATCH(RAB!C282,'HARGA SATUAN'!$C$7:$C$1492,0),0))</f>
        <v>54500</v>
      </c>
      <c r="H282" s="356">
        <f t="shared" ca="1" si="36"/>
        <v>163500</v>
      </c>
      <c r="I282" s="356">
        <f t="shared" ca="1" si="37"/>
        <v>0</v>
      </c>
      <c r="J282" s="356">
        <f t="shared" ca="1" si="38"/>
        <v>0</v>
      </c>
      <c r="K282" s="357">
        <f t="shared" ca="1" si="39"/>
        <v>163500</v>
      </c>
      <c r="L282" s="362"/>
      <c r="M282" s="362"/>
      <c r="N282" s="362"/>
      <c r="O282" s="358"/>
      <c r="P282" s="358"/>
      <c r="Q282" s="341"/>
      <c r="R282" s="333"/>
      <c r="S282" s="359"/>
      <c r="T282" s="338"/>
      <c r="U282" s="338"/>
      <c r="V282" s="338"/>
    </row>
    <row r="283" spans="1:22" s="363" customFormat="1">
      <c r="A283" s="333"/>
      <c r="B283" s="511">
        <v>3</v>
      </c>
      <c r="C283" s="109" t="s">
        <v>559</v>
      </c>
      <c r="D283" s="353" t="str">
        <f ca="1">IF(ISERROR(OFFSET('HARGA SATUAN'!$D$6,MATCH(RAB!C283,'HARGA SATUAN'!$C$7:$C$1492,0),0)),"",OFFSET('HARGA SATUAN'!$D$6,MATCH(RAB!C283,'HARGA SATUAN'!$C$7:$C$1492,0),0))</f>
        <v>MDU-KD</v>
      </c>
      <c r="E283" s="354" t="str">
        <f ca="1">IF(B283="+","Unit",IF(ISERROR(OFFSET('HARGA SATUAN'!$E$6,MATCH(RAB!C283,'HARGA SATUAN'!$C$7:$C$1492,0),0)),"",OFFSET('HARGA SATUAN'!$E$6,MATCH(RAB!C283,'HARGA SATUAN'!$C$7:$C$1492,0),0)))</f>
        <v>Bh</v>
      </c>
      <c r="F283" s="489">
        <f>F278*3</f>
        <v>3</v>
      </c>
      <c r="G283" s="355">
        <f ca="1">IF(ISERROR(OFFSET('HARGA SATUAN'!$I$6,MATCH(RAB!C283,'HARGA SATUAN'!$C$7:$C$1492,0),0)),0,OFFSET('HARGA SATUAN'!$I$6,MATCH(RAB!C283,'HARGA SATUAN'!$C$7:$C$1492,0),0))</f>
        <v>725900</v>
      </c>
      <c r="H283" s="356">
        <f t="shared" ca="1" si="36"/>
        <v>2177700</v>
      </c>
      <c r="I283" s="356">
        <f t="shared" ca="1" si="37"/>
        <v>0</v>
      </c>
      <c r="J283" s="356">
        <f t="shared" ca="1" si="38"/>
        <v>0</v>
      </c>
      <c r="K283" s="357">
        <f t="shared" ca="1" si="39"/>
        <v>2177700</v>
      </c>
      <c r="L283" s="362"/>
      <c r="M283" s="362"/>
      <c r="N283" s="362"/>
      <c r="O283" s="358"/>
      <c r="P283" s="358"/>
      <c r="Q283" s="341"/>
      <c r="R283" s="333"/>
      <c r="S283" s="359"/>
      <c r="T283" s="338"/>
      <c r="U283" s="338"/>
      <c r="V283" s="338"/>
    </row>
    <row r="284" spans="1:22" s="363" customFormat="1">
      <c r="A284" s="333"/>
      <c r="B284" s="511">
        <v>4</v>
      </c>
      <c r="C284" s="512" t="s">
        <v>535</v>
      </c>
      <c r="D284" s="353" t="str">
        <f ca="1">IF(ISERROR(OFFSET('HARGA SATUAN'!$D$6,MATCH(RAB!C284,'HARGA SATUAN'!$C$7:$C$1492,0),0)),"",OFFSET('HARGA SATUAN'!$D$6,MATCH(RAB!C284,'HARGA SATUAN'!$C$7:$C$1492,0),0))</f>
        <v>MDU-KD</v>
      </c>
      <c r="E284" s="354" t="str">
        <f ca="1">IF(B284="+","Unit",IF(ISERROR(OFFSET('HARGA SATUAN'!$E$6,MATCH(RAB!C284,'HARGA SATUAN'!$C$7:$C$1492,0),0)),"",OFFSET('HARGA SATUAN'!$E$6,MATCH(RAB!C284,'HARGA SATUAN'!$C$7:$C$1492,0),0)))</f>
        <v>Bh</v>
      </c>
      <c r="F284" s="489">
        <f>F278*3</f>
        <v>3</v>
      </c>
      <c r="G284" s="355">
        <f ca="1">IF(ISERROR(OFFSET('HARGA SATUAN'!$I$6,MATCH(RAB!C284,'HARGA SATUAN'!$C$7:$C$1492,0),0)),0,OFFSET('HARGA SATUAN'!$I$6,MATCH(RAB!C284,'HARGA SATUAN'!$C$7:$C$1492,0),0))</f>
        <v>848250</v>
      </c>
      <c r="H284" s="356">
        <f t="shared" ca="1" si="36"/>
        <v>2544750</v>
      </c>
      <c r="I284" s="356">
        <f t="shared" ca="1" si="37"/>
        <v>0</v>
      </c>
      <c r="J284" s="356">
        <f t="shared" ca="1" si="38"/>
        <v>0</v>
      </c>
      <c r="K284" s="357">
        <f t="shared" ca="1" si="39"/>
        <v>2544750</v>
      </c>
      <c r="L284" s="362"/>
      <c r="M284" s="362"/>
      <c r="N284" s="362"/>
      <c r="O284" s="358"/>
      <c r="P284" s="358"/>
      <c r="Q284" s="341"/>
      <c r="R284" s="333"/>
      <c r="S284" s="359"/>
      <c r="T284" s="338"/>
      <c r="U284" s="338"/>
      <c r="V284" s="338"/>
    </row>
    <row r="285" spans="1:22" s="363" customFormat="1">
      <c r="A285" s="333"/>
      <c r="B285" s="511">
        <v>5</v>
      </c>
      <c r="C285" s="512" t="s">
        <v>55</v>
      </c>
      <c r="D285" s="353" t="str">
        <f ca="1">IF(ISERROR(OFFSET('HARGA SATUAN'!$D$6,MATCH(RAB!C285,'HARGA SATUAN'!$C$7:$C$1492,0),0)),"",OFFSET('HARGA SATUAN'!$D$6,MATCH(RAB!C285,'HARGA SATUAN'!$C$7:$C$1492,0),0))</f>
        <v>HDW</v>
      </c>
      <c r="E285" s="354" t="str">
        <f ca="1">IF(B285="+","Unit",IF(ISERROR(OFFSET('HARGA SATUAN'!$E$6,MATCH(RAB!C285,'HARGA SATUAN'!$C$7:$C$1492,0),0)),"",OFFSET('HARGA SATUAN'!$E$6,MATCH(RAB!C285,'HARGA SATUAN'!$C$7:$C$1492,0),0)))</f>
        <v>Bh</v>
      </c>
      <c r="F285" s="489">
        <f>F278*3</f>
        <v>3</v>
      </c>
      <c r="G285" s="355">
        <f ca="1">IF(ISERROR(OFFSET('HARGA SATUAN'!$I$6,MATCH(RAB!C285,'HARGA SATUAN'!$C$7:$C$1492,0),0)),0,OFFSET('HARGA SATUAN'!$I$6,MATCH(RAB!C285,'HARGA SATUAN'!$C$7:$C$1492,0),0))</f>
        <v>18000</v>
      </c>
      <c r="H285" s="356">
        <f t="shared" ca="1" si="36"/>
        <v>0</v>
      </c>
      <c r="I285" s="356">
        <f t="shared" ca="1" si="37"/>
        <v>54000</v>
      </c>
      <c r="J285" s="356">
        <f t="shared" ca="1" si="38"/>
        <v>0</v>
      </c>
      <c r="K285" s="357">
        <f t="shared" ca="1" si="39"/>
        <v>54000</v>
      </c>
      <c r="L285" s="362"/>
      <c r="M285" s="362"/>
      <c r="N285" s="362"/>
      <c r="O285" s="358"/>
      <c r="P285" s="358"/>
      <c r="Q285" s="341"/>
      <c r="R285" s="333"/>
      <c r="S285" s="359"/>
      <c r="T285" s="338"/>
      <c r="U285" s="338"/>
      <c r="V285" s="338"/>
    </row>
    <row r="286" spans="1:22" s="363" customFormat="1">
      <c r="A286" s="333"/>
      <c r="B286" s="511">
        <v>6</v>
      </c>
      <c r="C286" s="109" t="s">
        <v>1569</v>
      </c>
      <c r="D286" s="353" t="str">
        <f ca="1">IF(ISERROR(OFFSET('HARGA SATUAN'!$D$6,MATCH(RAB!C286,'HARGA SATUAN'!$C$7:$C$1492,0),0)),"",OFFSET('HARGA SATUAN'!$D$6,MATCH(RAB!C286,'HARGA SATUAN'!$C$7:$C$1492,0),0))</f>
        <v>HDW</v>
      </c>
      <c r="E286" s="354" t="str">
        <f ca="1">IF(B286="+","Unit",IF(ISERROR(OFFSET('HARGA SATUAN'!$E$6,MATCH(RAB!C286,'HARGA SATUAN'!$C$7:$C$1492,0),0)),"",OFFSET('HARGA SATUAN'!$E$6,MATCH(RAB!C286,'HARGA SATUAN'!$C$7:$C$1492,0),0)))</f>
        <v>Bh</v>
      </c>
      <c r="F286" s="489">
        <f>F278*13</f>
        <v>13</v>
      </c>
      <c r="G286" s="355">
        <f ca="1">IF(ISERROR(OFFSET('HARGA SATUAN'!$I$6,MATCH(RAB!C286,'HARGA SATUAN'!$C$7:$C$1492,0),0)),0,OFFSET('HARGA SATUAN'!$I$6,MATCH(RAB!C286,'HARGA SATUAN'!$C$7:$C$1492,0),0))</f>
        <v>49000</v>
      </c>
      <c r="H286" s="356">
        <f t="shared" ca="1" si="36"/>
        <v>0</v>
      </c>
      <c r="I286" s="356">
        <f t="shared" ca="1" si="37"/>
        <v>637000</v>
      </c>
      <c r="J286" s="356">
        <f t="shared" ca="1" si="38"/>
        <v>0</v>
      </c>
      <c r="K286" s="357">
        <f t="shared" ca="1" si="39"/>
        <v>637000</v>
      </c>
      <c r="L286" s="362"/>
      <c r="M286" s="362"/>
      <c r="N286" s="362"/>
      <c r="O286" s="358"/>
      <c r="P286" s="358"/>
      <c r="Q286" s="341"/>
      <c r="R286" s="333"/>
      <c r="S286" s="359"/>
      <c r="T286" s="338"/>
      <c r="U286" s="338"/>
      <c r="V286" s="338"/>
    </row>
    <row r="287" spans="1:22" s="363" customFormat="1">
      <c r="A287" s="333"/>
      <c r="B287" s="511">
        <v>7</v>
      </c>
      <c r="C287" s="512" t="s">
        <v>163</v>
      </c>
      <c r="D287" s="353" t="str">
        <f ca="1">IF(ISERROR(OFFSET('HARGA SATUAN'!$D$6,MATCH(RAB!C287,'HARGA SATUAN'!$C$7:$C$1492,0),0)),"",OFFSET('HARGA SATUAN'!$D$6,MATCH(RAB!C287,'HARGA SATUAN'!$C$7:$C$1492,0),0))</f>
        <v>HDW</v>
      </c>
      <c r="E287" s="354" t="str">
        <f ca="1">IF(B287="+","Unit",IF(ISERROR(OFFSET('HARGA SATUAN'!$E$6,MATCH(RAB!C287,'HARGA SATUAN'!$C$7:$C$1492,0),0)),"",OFFSET('HARGA SATUAN'!$E$6,MATCH(RAB!C287,'HARGA SATUAN'!$C$7:$C$1492,0),0)))</f>
        <v>Bh</v>
      </c>
      <c r="F287" s="489">
        <f>F278*28</f>
        <v>28</v>
      </c>
      <c r="G287" s="355">
        <f ca="1">IF(ISERROR(OFFSET('HARGA SATUAN'!$I$6,MATCH(RAB!C287,'HARGA SATUAN'!$C$7:$C$1492,0),0)),0,OFFSET('HARGA SATUAN'!$I$6,MATCH(RAB!C287,'HARGA SATUAN'!$C$7:$C$1492,0),0))</f>
        <v>7938</v>
      </c>
      <c r="H287" s="356">
        <f t="shared" ca="1" si="36"/>
        <v>0</v>
      </c>
      <c r="I287" s="356">
        <f t="shared" ca="1" si="37"/>
        <v>222264</v>
      </c>
      <c r="J287" s="356">
        <f t="shared" ca="1" si="38"/>
        <v>0</v>
      </c>
      <c r="K287" s="357">
        <f t="shared" ca="1" si="39"/>
        <v>222264</v>
      </c>
      <c r="L287" s="362"/>
      <c r="M287" s="362"/>
      <c r="N287" s="362"/>
      <c r="O287" s="358"/>
      <c r="P287" s="358"/>
      <c r="Q287" s="341"/>
      <c r="R287" s="333"/>
      <c r="S287" s="359"/>
      <c r="T287" s="338"/>
      <c r="U287" s="338"/>
      <c r="V287" s="338"/>
    </row>
    <row r="288" spans="1:22" s="363" customFormat="1">
      <c r="A288" s="333"/>
      <c r="B288" s="511">
        <v>8</v>
      </c>
      <c r="C288" s="512" t="s">
        <v>176</v>
      </c>
      <c r="D288" s="353" t="str">
        <f ca="1">IF(ISERROR(OFFSET('HARGA SATUAN'!$D$6,MATCH(RAB!C288,'HARGA SATUAN'!$C$7:$C$1492,0),0)),"",OFFSET('HARGA SATUAN'!$D$6,MATCH(RAB!C288,'HARGA SATUAN'!$C$7:$C$1492,0),0))</f>
        <v>HDW</v>
      </c>
      <c r="E288" s="354" t="str">
        <f ca="1">IF(B288="+","Unit",IF(ISERROR(OFFSET('HARGA SATUAN'!$E$6,MATCH(RAB!C288,'HARGA SATUAN'!$C$7:$C$1492,0),0)),"",OFFSET('HARGA SATUAN'!$E$6,MATCH(RAB!C288,'HARGA SATUAN'!$C$7:$C$1492,0),0)))</f>
        <v>Bh</v>
      </c>
      <c r="F288" s="489">
        <f>F278*2</f>
        <v>2</v>
      </c>
      <c r="G288" s="355">
        <f ca="1">IF(ISERROR(OFFSET('HARGA SATUAN'!$I$6,MATCH(RAB!C288,'HARGA SATUAN'!$C$7:$C$1492,0),0)),0,OFFSET('HARGA SATUAN'!$I$6,MATCH(RAB!C288,'HARGA SATUAN'!$C$7:$C$1492,0),0))</f>
        <v>404600</v>
      </c>
      <c r="H288" s="356">
        <f t="shared" ca="1" si="36"/>
        <v>0</v>
      </c>
      <c r="I288" s="356">
        <f t="shared" ca="1" si="37"/>
        <v>809200</v>
      </c>
      <c r="J288" s="356">
        <f t="shared" ca="1" si="38"/>
        <v>0</v>
      </c>
      <c r="K288" s="357">
        <f t="shared" ca="1" si="39"/>
        <v>809200</v>
      </c>
      <c r="L288" s="362"/>
      <c r="M288" s="362"/>
      <c r="N288" s="362"/>
      <c r="O288" s="358"/>
      <c r="P288" s="358"/>
      <c r="Q288" s="341"/>
      <c r="R288" s="333"/>
      <c r="S288" s="359"/>
      <c r="T288" s="338"/>
      <c r="U288" s="338"/>
      <c r="V288" s="338"/>
    </row>
    <row r="289" spans="1:22" s="363" customFormat="1">
      <c r="A289" s="333"/>
      <c r="B289" s="511">
        <v>9</v>
      </c>
      <c r="C289" s="512" t="s">
        <v>184</v>
      </c>
      <c r="D289" s="353" t="str">
        <f ca="1">IF(ISERROR(OFFSET('HARGA SATUAN'!$D$6,MATCH(RAB!C289,'HARGA SATUAN'!$C$7:$C$1492,0),0)),"",OFFSET('HARGA SATUAN'!$D$6,MATCH(RAB!C289,'HARGA SATUAN'!$C$7:$C$1492,0),0))</f>
        <v>HDW</v>
      </c>
      <c r="E289" s="354" t="str">
        <f ca="1">IF(B289="+","Unit",IF(ISERROR(OFFSET('HARGA SATUAN'!$E$6,MATCH(RAB!C289,'HARGA SATUAN'!$C$7:$C$1492,0),0)),"",OFFSET('HARGA SATUAN'!$E$6,MATCH(RAB!C289,'HARGA SATUAN'!$C$7:$C$1492,0),0)))</f>
        <v>Bh</v>
      </c>
      <c r="F289" s="489">
        <f>F278*3</f>
        <v>3</v>
      </c>
      <c r="G289" s="355">
        <f ca="1">IF(ISERROR(OFFSET('HARGA SATUAN'!$I$6,MATCH(RAB!C289,'HARGA SATUAN'!$C$7:$C$1492,0),0)),0,OFFSET('HARGA SATUAN'!$I$6,MATCH(RAB!C289,'HARGA SATUAN'!$C$7:$C$1492,0),0))</f>
        <v>15900</v>
      </c>
      <c r="H289" s="356">
        <f t="shared" ca="1" si="36"/>
        <v>0</v>
      </c>
      <c r="I289" s="356">
        <f t="shared" ca="1" si="37"/>
        <v>47700</v>
      </c>
      <c r="J289" s="356">
        <f t="shared" ca="1" si="38"/>
        <v>0</v>
      </c>
      <c r="K289" s="357">
        <f t="shared" ca="1" si="39"/>
        <v>47700</v>
      </c>
      <c r="L289" s="362"/>
      <c r="M289" s="362"/>
      <c r="N289" s="362"/>
      <c r="O289" s="358"/>
      <c r="P289" s="358"/>
      <c r="Q289" s="341"/>
      <c r="R289" s="333"/>
      <c r="S289" s="359"/>
      <c r="T289" s="338"/>
      <c r="U289" s="338"/>
      <c r="V289" s="338"/>
    </row>
    <row r="290" spans="1:22" s="363" customFormat="1">
      <c r="A290" s="333"/>
      <c r="B290" s="511">
        <v>10</v>
      </c>
      <c r="C290" s="512" t="s">
        <v>593</v>
      </c>
      <c r="D290" s="353" t="str">
        <f ca="1">IF(ISERROR(OFFSET('HARGA SATUAN'!$D$6,MATCH(RAB!C290,'HARGA SATUAN'!$C$7:$C$1492,0),0)),"",OFFSET('HARGA SATUAN'!$D$6,MATCH(RAB!C290,'HARGA SATUAN'!$C$7:$C$1492,0),0))</f>
        <v>HDW</v>
      </c>
      <c r="E290" s="354" t="str">
        <f ca="1">IF(B290="+","Unit",IF(ISERROR(OFFSET('HARGA SATUAN'!$E$6,MATCH(RAB!C290,'HARGA SATUAN'!$C$7:$C$1492,0),0)),"",OFFSET('HARGA SATUAN'!$E$6,MATCH(RAB!C290,'HARGA SATUAN'!$C$7:$C$1492,0),0)))</f>
        <v>Bh</v>
      </c>
      <c r="F290" s="489">
        <f>F278*5</f>
        <v>5</v>
      </c>
      <c r="G290" s="355">
        <f ca="1">IF(ISERROR(OFFSET('HARGA SATUAN'!$I$6,MATCH(RAB!C290,'HARGA SATUAN'!$C$7:$C$1492,0),0)),0,OFFSET('HARGA SATUAN'!$I$6,MATCH(RAB!C290,'HARGA SATUAN'!$C$7:$C$1492,0),0))</f>
        <v>380500</v>
      </c>
      <c r="H290" s="356">
        <f t="shared" ca="1" si="36"/>
        <v>0</v>
      </c>
      <c r="I290" s="356">
        <f t="shared" ca="1" si="37"/>
        <v>1902500</v>
      </c>
      <c r="J290" s="356">
        <f t="shared" ca="1" si="38"/>
        <v>0</v>
      </c>
      <c r="K290" s="357">
        <f t="shared" ca="1" si="39"/>
        <v>1902500</v>
      </c>
      <c r="L290" s="362"/>
      <c r="M290" s="362"/>
      <c r="N290" s="362"/>
      <c r="O290" s="358"/>
      <c r="P290" s="358"/>
      <c r="Q290" s="341"/>
      <c r="R290" s="333"/>
      <c r="S290" s="359"/>
      <c r="T290" s="338"/>
      <c r="U290" s="338"/>
      <c r="V290" s="338"/>
    </row>
    <row r="291" spans="1:22" s="363" customFormat="1">
      <c r="A291" s="333"/>
      <c r="B291" s="511">
        <v>11</v>
      </c>
      <c r="C291" s="512" t="s">
        <v>594</v>
      </c>
      <c r="D291" s="353" t="str">
        <f ca="1">IF(ISERROR(OFFSET('HARGA SATUAN'!$D$6,MATCH(RAB!C291,'HARGA SATUAN'!$C$7:$C$1492,0),0)),"",OFFSET('HARGA SATUAN'!$D$6,MATCH(RAB!C291,'HARGA SATUAN'!$C$7:$C$1492,0),0))</f>
        <v>HDW</v>
      </c>
      <c r="E291" s="354" t="str">
        <f ca="1">IF(B291="+","Unit",IF(ISERROR(OFFSET('HARGA SATUAN'!$E$6,MATCH(RAB!C291,'HARGA SATUAN'!$C$7:$C$1492,0),0)),"",OFFSET('HARGA SATUAN'!$E$6,MATCH(RAB!C291,'HARGA SATUAN'!$C$7:$C$1492,0),0)))</f>
        <v>Bh</v>
      </c>
      <c r="F291" s="489">
        <f>F278*4</f>
        <v>4</v>
      </c>
      <c r="G291" s="355">
        <f ca="1">IF(ISERROR(OFFSET('HARGA SATUAN'!$I$6,MATCH(RAB!C291,'HARGA SATUAN'!$C$7:$C$1492,0),0)),0,OFFSET('HARGA SATUAN'!$I$6,MATCH(RAB!C291,'HARGA SATUAN'!$C$7:$C$1492,0),0))</f>
        <v>559200</v>
      </c>
      <c r="H291" s="356">
        <f t="shared" ca="1" si="36"/>
        <v>0</v>
      </c>
      <c r="I291" s="356">
        <f t="shared" ca="1" si="37"/>
        <v>2236800</v>
      </c>
      <c r="J291" s="356">
        <f t="shared" ca="1" si="38"/>
        <v>0</v>
      </c>
      <c r="K291" s="357">
        <f t="shared" ca="1" si="39"/>
        <v>2236800</v>
      </c>
      <c r="L291" s="362"/>
      <c r="M291" s="362"/>
      <c r="N291" s="362"/>
      <c r="O291" s="358"/>
      <c r="P291" s="358"/>
      <c r="Q291" s="341"/>
      <c r="R291" s="333"/>
      <c r="S291" s="359"/>
      <c r="T291" s="338"/>
      <c r="U291" s="338"/>
      <c r="V291" s="338"/>
    </row>
    <row r="292" spans="1:22" s="363" customFormat="1">
      <c r="A292" s="333"/>
      <c r="B292" s="511">
        <v>12</v>
      </c>
      <c r="C292" s="512" t="s">
        <v>208</v>
      </c>
      <c r="D292" s="353" t="str">
        <f ca="1">IF(ISERROR(OFFSET('HARGA SATUAN'!$D$6,MATCH(RAB!C292,'HARGA SATUAN'!$C$7:$C$1492,0),0)),"",OFFSET('HARGA SATUAN'!$D$6,MATCH(RAB!C292,'HARGA SATUAN'!$C$7:$C$1492,0),0))</f>
        <v>HDW</v>
      </c>
      <c r="E292" s="354" t="str">
        <f ca="1">IF(B292="+","Unit",IF(ISERROR(OFFSET('HARGA SATUAN'!$E$6,MATCH(RAB!C292,'HARGA SATUAN'!$C$7:$C$1492,0),0)),"",OFFSET('HARGA SATUAN'!$E$6,MATCH(RAB!C292,'HARGA SATUAN'!$C$7:$C$1492,0),0)))</f>
        <v>Bh</v>
      </c>
      <c r="F292" s="489">
        <f>F278*3</f>
        <v>3</v>
      </c>
      <c r="G292" s="355">
        <f ca="1">IF(ISERROR(OFFSET('HARGA SATUAN'!$I$6,MATCH(RAB!C292,'HARGA SATUAN'!$C$7:$C$1492,0),0)),0,OFFSET('HARGA SATUAN'!$I$6,MATCH(RAB!C292,'HARGA SATUAN'!$C$7:$C$1492,0),0))</f>
        <v>173400</v>
      </c>
      <c r="H292" s="356">
        <f t="shared" ca="1" si="36"/>
        <v>0</v>
      </c>
      <c r="I292" s="356">
        <f t="shared" ca="1" si="37"/>
        <v>520200</v>
      </c>
      <c r="J292" s="356">
        <f t="shared" ca="1" si="38"/>
        <v>0</v>
      </c>
      <c r="K292" s="357">
        <f t="shared" ca="1" si="39"/>
        <v>520200</v>
      </c>
      <c r="L292" s="362"/>
      <c r="M292" s="362"/>
      <c r="N292" s="362"/>
      <c r="O292" s="358"/>
      <c r="P292" s="358"/>
      <c r="Q292" s="341"/>
      <c r="R292" s="333"/>
      <c r="S292" s="359"/>
      <c r="T292" s="338"/>
      <c r="U292" s="338"/>
      <c r="V292" s="338"/>
    </row>
    <row r="293" spans="1:22" s="363" customFormat="1">
      <c r="A293" s="333"/>
      <c r="B293" s="511">
        <v>13</v>
      </c>
      <c r="C293" s="512" t="s">
        <v>247</v>
      </c>
      <c r="D293" s="353" t="str">
        <f ca="1">IF(ISERROR(OFFSET('HARGA SATUAN'!$D$6,MATCH(RAB!C293,'HARGA SATUAN'!$C$7:$C$1492,0),0)),"",OFFSET('HARGA SATUAN'!$D$6,MATCH(RAB!C293,'HARGA SATUAN'!$C$7:$C$1492,0),0))</f>
        <v>HDW</v>
      </c>
      <c r="E293" s="354" t="str">
        <f ca="1">IF(B293="+","Unit",IF(ISERROR(OFFSET('HARGA SATUAN'!$E$6,MATCH(RAB!C293,'HARGA SATUAN'!$C$7:$C$1492,0),0)),"",OFFSET('HARGA SATUAN'!$E$6,MATCH(RAB!C293,'HARGA SATUAN'!$C$7:$C$1492,0),0)))</f>
        <v>Bh</v>
      </c>
      <c r="F293" s="489">
        <f>F278*2</f>
        <v>2</v>
      </c>
      <c r="G293" s="355">
        <f ca="1">IF(ISERROR(OFFSET('HARGA SATUAN'!$I$6,MATCH(RAB!C293,'HARGA SATUAN'!$C$7:$C$1492,0),0)),0,OFFSET('HARGA SATUAN'!$I$6,MATCH(RAB!C293,'HARGA SATUAN'!$C$7:$C$1492,0),0))</f>
        <v>57690</v>
      </c>
      <c r="H293" s="356">
        <f t="shared" ca="1" si="36"/>
        <v>0</v>
      </c>
      <c r="I293" s="356">
        <f t="shared" ca="1" si="37"/>
        <v>115380</v>
      </c>
      <c r="J293" s="356">
        <f t="shared" ca="1" si="38"/>
        <v>0</v>
      </c>
      <c r="K293" s="357">
        <f t="shared" ca="1" si="39"/>
        <v>115380</v>
      </c>
      <c r="L293" s="362"/>
      <c r="M293" s="362"/>
      <c r="N293" s="362"/>
      <c r="O293" s="358"/>
      <c r="P293" s="358"/>
      <c r="Q293" s="341"/>
      <c r="R293" s="333"/>
      <c r="S293" s="359"/>
      <c r="T293" s="338"/>
      <c r="U293" s="338"/>
      <c r="V293" s="338"/>
    </row>
    <row r="294" spans="1:22" s="363" customFormat="1">
      <c r="A294" s="333"/>
      <c r="B294" s="511">
        <v>14</v>
      </c>
      <c r="C294" s="512" t="s">
        <v>248</v>
      </c>
      <c r="D294" s="353" t="str">
        <f ca="1">IF(ISERROR(OFFSET('HARGA SATUAN'!$D$6,MATCH(RAB!C294,'HARGA SATUAN'!$C$7:$C$1492,0),0)),"",OFFSET('HARGA SATUAN'!$D$6,MATCH(RAB!C294,'HARGA SATUAN'!$C$7:$C$1492,0),0))</f>
        <v>HDW</v>
      </c>
      <c r="E294" s="354" t="str">
        <f ca="1">IF(B294="+","Unit",IF(ISERROR(OFFSET('HARGA SATUAN'!$E$6,MATCH(RAB!C294,'HARGA SATUAN'!$C$7:$C$1492,0),0)),"",OFFSET('HARGA SATUAN'!$E$6,MATCH(RAB!C294,'HARGA SATUAN'!$C$7:$C$1492,0),0)))</f>
        <v>Bh</v>
      </c>
      <c r="F294" s="489">
        <f>F278*2</f>
        <v>2</v>
      </c>
      <c r="G294" s="355">
        <f ca="1">IF(ISERROR(OFFSET('HARGA SATUAN'!$I$6,MATCH(RAB!C294,'HARGA SATUAN'!$C$7:$C$1492,0),0)),0,OFFSET('HARGA SATUAN'!$I$6,MATCH(RAB!C294,'HARGA SATUAN'!$C$7:$C$1492,0),0))</f>
        <v>60300</v>
      </c>
      <c r="H294" s="356">
        <f t="shared" ca="1" si="36"/>
        <v>0</v>
      </c>
      <c r="I294" s="356">
        <f t="shared" ca="1" si="37"/>
        <v>120600</v>
      </c>
      <c r="J294" s="356">
        <f t="shared" ca="1" si="38"/>
        <v>0</v>
      </c>
      <c r="K294" s="357">
        <f t="shared" ca="1" si="39"/>
        <v>120600</v>
      </c>
      <c r="L294" s="362"/>
      <c r="M294" s="362"/>
      <c r="N294" s="362"/>
      <c r="O294" s="358"/>
      <c r="P294" s="358"/>
      <c r="Q294" s="341"/>
      <c r="R294" s="333"/>
      <c r="S294" s="359"/>
      <c r="T294" s="338"/>
      <c r="U294" s="338"/>
      <c r="V294" s="338"/>
    </row>
    <row r="295" spans="1:22" s="363" customFormat="1">
      <c r="A295" s="333"/>
      <c r="B295" s="511">
        <v>15</v>
      </c>
      <c r="C295" s="512" t="s">
        <v>267</v>
      </c>
      <c r="D295" s="353" t="str">
        <f ca="1">IF(ISERROR(OFFSET('HARGA SATUAN'!$D$6,MATCH(RAB!C295,'HARGA SATUAN'!$C$7:$C$1492,0),0)),"",OFFSET('HARGA SATUAN'!$D$6,MATCH(RAB!C295,'HARGA SATUAN'!$C$7:$C$1492,0),0))</f>
        <v>HDW</v>
      </c>
      <c r="E295" s="354" t="str">
        <f ca="1">IF(B295="+","Unit",IF(ISERROR(OFFSET('HARGA SATUAN'!$E$6,MATCH(RAB!C295,'HARGA SATUAN'!$C$7:$C$1492,0),0)),"",OFFSET('HARGA SATUAN'!$E$6,MATCH(RAB!C295,'HARGA SATUAN'!$C$7:$C$1492,0),0)))</f>
        <v>Bh</v>
      </c>
      <c r="F295" s="489">
        <f>F278*4</f>
        <v>4</v>
      </c>
      <c r="G295" s="355">
        <f ca="1">IF(ISERROR(OFFSET('HARGA SATUAN'!$I$6,MATCH(RAB!C295,'HARGA SATUAN'!$C$7:$C$1492,0),0)),0,OFFSET('HARGA SATUAN'!$I$6,MATCH(RAB!C295,'HARGA SATUAN'!$C$7:$C$1492,0),0))</f>
        <v>129000</v>
      </c>
      <c r="H295" s="356">
        <f t="shared" ca="1" si="36"/>
        <v>0</v>
      </c>
      <c r="I295" s="356">
        <f t="shared" ca="1" si="37"/>
        <v>516000</v>
      </c>
      <c r="J295" s="356">
        <f t="shared" ca="1" si="38"/>
        <v>0</v>
      </c>
      <c r="K295" s="357">
        <f t="shared" ca="1" si="39"/>
        <v>516000</v>
      </c>
      <c r="L295" s="362"/>
      <c r="M295" s="362"/>
      <c r="N295" s="362"/>
      <c r="O295" s="358"/>
      <c r="P295" s="358"/>
      <c r="Q295" s="341"/>
      <c r="R295" s="333"/>
      <c r="S295" s="359"/>
      <c r="T295" s="338"/>
      <c r="U295" s="338"/>
      <c r="V295" s="338"/>
    </row>
    <row r="296" spans="1:22" s="363" customFormat="1">
      <c r="A296" s="333"/>
      <c r="B296" s="511">
        <v>16</v>
      </c>
      <c r="C296" s="512" t="s">
        <v>786</v>
      </c>
      <c r="D296" s="353" t="str">
        <f ca="1">IF(ISERROR(OFFSET('HARGA SATUAN'!$D$6,MATCH(RAB!C296,'HARGA SATUAN'!$C$7:$C$1492,0),0)),"",OFFSET('HARGA SATUAN'!$D$6,MATCH(RAB!C296,'HARGA SATUAN'!$C$7:$C$1492,0),0))</f>
        <v>JASA</v>
      </c>
      <c r="E296" s="354" t="str">
        <f ca="1">IF(B296="+","Unit",IF(ISERROR(OFFSET('HARGA SATUAN'!$E$6,MATCH(RAB!C296,'HARGA SATUAN'!$C$7:$C$1492,0),0)),"",OFFSET('HARGA SATUAN'!$E$6,MATCH(RAB!C296,'HARGA SATUAN'!$C$7:$C$1492,0),0)))</f>
        <v>Unit</v>
      </c>
      <c r="F296" s="489">
        <f>F278*1</f>
        <v>1</v>
      </c>
      <c r="G296" s="355">
        <f ca="1">IF(ISERROR(OFFSET('HARGA SATUAN'!$I$6,MATCH(RAB!C296,'HARGA SATUAN'!$C$7:$C$1492,0),0)),0,OFFSET('HARGA SATUAN'!$I$6,MATCH(RAB!C296,'HARGA SATUAN'!$C$7:$C$1492,0),0))</f>
        <v>3686500</v>
      </c>
      <c r="H296" s="356">
        <f t="shared" ca="1" si="36"/>
        <v>0</v>
      </c>
      <c r="I296" s="356">
        <f t="shared" ca="1" si="37"/>
        <v>0</v>
      </c>
      <c r="J296" s="356">
        <f t="shared" ca="1" si="38"/>
        <v>3686500</v>
      </c>
      <c r="K296" s="357">
        <f t="shared" ca="1" si="39"/>
        <v>3686500</v>
      </c>
      <c r="L296" s="362"/>
      <c r="M296" s="362"/>
      <c r="N296" s="362"/>
      <c r="O296" s="358"/>
      <c r="P296" s="358"/>
      <c r="Q296" s="341"/>
      <c r="R296" s="333"/>
      <c r="S296" s="359"/>
      <c r="T296" s="338"/>
      <c r="U296" s="338"/>
      <c r="V296" s="338"/>
    </row>
    <row r="297" spans="1:22" s="363" customFormat="1">
      <c r="A297" s="333"/>
      <c r="B297" s="484"/>
      <c r="C297" s="485"/>
      <c r="D297" s="353" t="str">
        <f ca="1">IF(ISERROR(OFFSET('HARGA SATUAN'!$D$6,MATCH(RAB!C297,'HARGA SATUAN'!$C$7:$C$1492,0),0)),"",OFFSET('HARGA SATUAN'!$D$6,MATCH(RAB!C297,'HARGA SATUAN'!$C$7:$C$1492,0),0))</f>
        <v/>
      </c>
      <c r="E297" s="354" t="str">
        <f ca="1">IF(B297="+","Unit",IF(ISERROR(OFFSET('HARGA SATUAN'!$E$6,MATCH(RAB!C297,'HARGA SATUAN'!$C$7:$C$1492,0),0)),"",OFFSET('HARGA SATUAN'!$E$6,MATCH(RAB!C297,'HARGA SATUAN'!$C$7:$C$1492,0),0)))</f>
        <v/>
      </c>
      <c r="F297" s="489"/>
      <c r="G297" s="355">
        <f ca="1">IF(ISERROR(OFFSET('HARGA SATUAN'!$I$6,MATCH(RAB!C297,'HARGA SATUAN'!$C$7:$C$1492,0),0)),0,OFFSET('HARGA SATUAN'!$I$6,MATCH(RAB!C297,'HARGA SATUAN'!$C$7:$C$1492,0),0))</f>
        <v>0</v>
      </c>
      <c r="H297" s="356">
        <f t="shared" ca="1" si="36"/>
        <v>0</v>
      </c>
      <c r="I297" s="356">
        <f t="shared" ca="1" si="37"/>
        <v>0</v>
      </c>
      <c r="J297" s="356">
        <f t="shared" ca="1" si="38"/>
        <v>0</v>
      </c>
      <c r="K297" s="357">
        <f t="shared" ca="1" si="39"/>
        <v>0</v>
      </c>
      <c r="L297" s="362"/>
      <c r="M297" s="362"/>
      <c r="N297" s="362"/>
      <c r="O297" s="358"/>
      <c r="P297" s="358"/>
      <c r="Q297" s="341"/>
      <c r="R297" s="333"/>
      <c r="S297" s="359"/>
      <c r="T297" s="338"/>
      <c r="U297" s="338"/>
      <c r="V297" s="338"/>
    </row>
    <row r="298" spans="1:22" s="363" customFormat="1">
      <c r="A298" s="333"/>
      <c r="B298" s="506" t="s">
        <v>1035</v>
      </c>
      <c r="C298" s="507" t="s">
        <v>1662</v>
      </c>
      <c r="D298" s="353" t="str">
        <f ca="1">IF(ISERROR(OFFSET('HARGA SATUAN'!$D$6,MATCH(RAB!C298,'HARGA SATUAN'!$C$7:$C$1492,0),0)),"",OFFSET('HARGA SATUAN'!$D$6,MATCH(RAB!C298,'HARGA SATUAN'!$C$7:$C$1492,0),0))</f>
        <v/>
      </c>
      <c r="E298" s="354" t="str">
        <f ca="1">IF(B298="+","Unit",IF(ISERROR(OFFSET('HARGA SATUAN'!$E$6,MATCH(RAB!C298,'HARGA SATUAN'!$C$7:$C$1492,0),0)),"",OFFSET('HARGA SATUAN'!$E$6,MATCH(RAB!C298,'HARGA SATUAN'!$C$7:$C$1492,0),0)))</f>
        <v>Unit</v>
      </c>
      <c r="F298" s="489">
        <v>2</v>
      </c>
      <c r="G298" s="355">
        <f ca="1">IF(ISERROR(OFFSET('HARGA SATUAN'!$I$6,MATCH(RAB!C298,'HARGA SATUAN'!$C$7:$C$1492,0),0)),0,OFFSET('HARGA SATUAN'!$I$6,MATCH(RAB!C298,'HARGA SATUAN'!$C$7:$C$1492,0),0))</f>
        <v>0</v>
      </c>
      <c r="H298" s="356">
        <f t="shared" ca="1" si="36"/>
        <v>0</v>
      </c>
      <c r="I298" s="356">
        <f t="shared" ca="1" si="37"/>
        <v>0</v>
      </c>
      <c r="J298" s="356">
        <f t="shared" ca="1" si="38"/>
        <v>0</v>
      </c>
      <c r="K298" s="357">
        <f t="shared" ca="1" si="39"/>
        <v>0</v>
      </c>
      <c r="L298" s="362"/>
      <c r="M298" s="362"/>
      <c r="N298" s="362"/>
      <c r="O298" s="358"/>
      <c r="P298" s="358"/>
      <c r="Q298" s="341"/>
      <c r="R298" s="333"/>
      <c r="S298" s="359"/>
      <c r="T298" s="338"/>
      <c r="U298" s="338"/>
      <c r="V298" s="338"/>
    </row>
    <row r="299" spans="1:22" s="363" customFormat="1">
      <c r="A299" s="333"/>
      <c r="B299" s="506">
        <v>1</v>
      </c>
      <c r="C299" s="498" t="s">
        <v>29</v>
      </c>
      <c r="D299" s="353" t="str">
        <f ca="1">IF(ISERROR(OFFSET('HARGA SATUAN'!$D$6,MATCH(RAB!C299,'HARGA SATUAN'!$C$7:$C$1492,0),0)),"",OFFSET('HARGA SATUAN'!$D$6,MATCH(RAB!C299,'HARGA SATUAN'!$C$7:$C$1492,0),0))</f>
        <v>HDW</v>
      </c>
      <c r="E299" s="354" t="str">
        <f ca="1">IF(B299="+","Unit",IF(ISERROR(OFFSET('HARGA SATUAN'!$E$6,MATCH(RAB!C299,'HARGA SATUAN'!$C$7:$C$1492,0),0)),"",OFFSET('HARGA SATUAN'!$E$6,MATCH(RAB!C299,'HARGA SATUAN'!$C$7:$C$1492,0),0)))</f>
        <v>Bh</v>
      </c>
      <c r="F299" s="489">
        <f>F298*1</f>
        <v>2</v>
      </c>
      <c r="G299" s="355">
        <f ca="1">IF(ISERROR(OFFSET('HARGA SATUAN'!$I$6,MATCH(RAB!C299,'HARGA SATUAN'!$C$7:$C$1492,0),0)),0,OFFSET('HARGA SATUAN'!$I$6,MATCH(RAB!C299,'HARGA SATUAN'!$C$7:$C$1492,0),0))</f>
        <v>185200</v>
      </c>
      <c r="H299" s="356">
        <f t="shared" ca="1" si="36"/>
        <v>0</v>
      </c>
      <c r="I299" s="356">
        <f t="shared" ca="1" si="37"/>
        <v>370400</v>
      </c>
      <c r="J299" s="356">
        <f t="shared" ca="1" si="38"/>
        <v>0</v>
      </c>
      <c r="K299" s="357">
        <f t="shared" ca="1" si="39"/>
        <v>370400</v>
      </c>
      <c r="L299" s="362"/>
      <c r="M299" s="362"/>
      <c r="N299" s="362"/>
      <c r="O299" s="358"/>
      <c r="P299" s="358"/>
      <c r="Q299" s="341"/>
      <c r="R299" s="333"/>
      <c r="S299" s="359"/>
      <c r="T299" s="338"/>
      <c r="U299" s="338"/>
      <c r="V299" s="338"/>
    </row>
    <row r="300" spans="1:22" s="363" customFormat="1">
      <c r="A300" s="333"/>
      <c r="B300" s="511">
        <v>2</v>
      </c>
      <c r="C300" s="512" t="s">
        <v>30</v>
      </c>
      <c r="D300" s="353" t="str">
        <f ca="1">IF(ISERROR(OFFSET('HARGA SATUAN'!$D$6,MATCH(RAB!C300,'HARGA SATUAN'!$C$7:$C$1492,0),0)),"",OFFSET('HARGA SATUAN'!$D$6,MATCH(RAB!C300,'HARGA SATUAN'!$C$7:$C$1492,0),0))</f>
        <v>HDW</v>
      </c>
      <c r="E300" s="354" t="str">
        <f ca="1">IF(B300="+","Unit",IF(ISERROR(OFFSET('HARGA SATUAN'!$E$6,MATCH(RAB!C300,'HARGA SATUAN'!$C$7:$C$1492,0),0)),"",OFFSET('HARGA SATUAN'!$E$6,MATCH(RAB!C300,'HARGA SATUAN'!$C$7:$C$1492,0),0)))</f>
        <v>Bh</v>
      </c>
      <c r="F300" s="489">
        <f>F298*1</f>
        <v>2</v>
      </c>
      <c r="G300" s="355">
        <f ca="1">IF(ISERROR(OFFSET('HARGA SATUAN'!$I$6,MATCH(RAB!C300,'HARGA SATUAN'!$C$7:$C$1492,0),0)),0,OFFSET('HARGA SATUAN'!$I$6,MATCH(RAB!C300,'HARGA SATUAN'!$C$7:$C$1492,0),0))</f>
        <v>47459</v>
      </c>
      <c r="H300" s="356">
        <f t="shared" ca="1" si="36"/>
        <v>0</v>
      </c>
      <c r="I300" s="356">
        <f t="shared" ca="1" si="37"/>
        <v>94918</v>
      </c>
      <c r="J300" s="356">
        <f t="shared" ca="1" si="38"/>
        <v>0</v>
      </c>
      <c r="K300" s="357">
        <f t="shared" ca="1" si="39"/>
        <v>94918</v>
      </c>
      <c r="L300" s="362"/>
      <c r="M300" s="362"/>
      <c r="N300" s="362"/>
      <c r="O300" s="358"/>
      <c r="P300" s="358"/>
      <c r="Q300" s="341"/>
      <c r="R300" s="333"/>
      <c r="S300" s="359"/>
      <c r="T300" s="338"/>
      <c r="U300" s="338"/>
      <c r="V300" s="338"/>
    </row>
    <row r="301" spans="1:22" s="363" customFormat="1">
      <c r="A301" s="333"/>
      <c r="B301" s="511">
        <v>3</v>
      </c>
      <c r="C301" s="512" t="s">
        <v>31</v>
      </c>
      <c r="D301" s="353" t="str">
        <f ca="1">IF(ISERROR(OFFSET('HARGA SATUAN'!$D$6,MATCH(RAB!C301,'HARGA SATUAN'!$C$7:$C$1492,0),0)),"",OFFSET('HARGA SATUAN'!$D$6,MATCH(RAB!C301,'HARGA SATUAN'!$C$7:$C$1492,0),0))</f>
        <v>HDW</v>
      </c>
      <c r="E301" s="354" t="str">
        <f ca="1">IF(B301="+","Unit",IF(ISERROR(OFFSET('HARGA SATUAN'!$E$6,MATCH(RAB!C301,'HARGA SATUAN'!$C$7:$C$1492,0),0)),"",OFFSET('HARGA SATUAN'!$E$6,MATCH(RAB!C301,'HARGA SATUAN'!$C$7:$C$1492,0),0)))</f>
        <v>Bh</v>
      </c>
      <c r="F301" s="489">
        <f>F298*1</f>
        <v>2</v>
      </c>
      <c r="G301" s="355">
        <f ca="1">IF(ISERROR(OFFSET('HARGA SATUAN'!$I$6,MATCH(RAB!C301,'HARGA SATUAN'!$C$7:$C$1492,0),0)),0,OFFSET('HARGA SATUAN'!$I$6,MATCH(RAB!C301,'HARGA SATUAN'!$C$7:$C$1492,0),0))</f>
        <v>4880</v>
      </c>
      <c r="H301" s="356">
        <f t="shared" ca="1" si="36"/>
        <v>0</v>
      </c>
      <c r="I301" s="356">
        <f t="shared" ca="1" si="37"/>
        <v>9760</v>
      </c>
      <c r="J301" s="356">
        <f t="shared" ca="1" si="38"/>
        <v>0</v>
      </c>
      <c r="K301" s="357">
        <f t="shared" ca="1" si="39"/>
        <v>9760</v>
      </c>
      <c r="L301" s="362"/>
      <c r="M301" s="362"/>
      <c r="N301" s="362"/>
      <c r="O301" s="358"/>
      <c r="P301" s="358"/>
      <c r="Q301" s="341"/>
      <c r="R301" s="333"/>
      <c r="S301" s="359"/>
      <c r="T301" s="338"/>
      <c r="U301" s="338"/>
      <c r="V301" s="338"/>
    </row>
    <row r="302" spans="1:22" s="363" customFormat="1">
      <c r="A302" s="333"/>
      <c r="B302" s="511">
        <v>4</v>
      </c>
      <c r="C302" s="512" t="s">
        <v>32</v>
      </c>
      <c r="D302" s="353" t="str">
        <f ca="1">IF(ISERROR(OFFSET('HARGA SATUAN'!$D$6,MATCH(RAB!C302,'HARGA SATUAN'!$C$7:$C$1492,0),0)),"",OFFSET('HARGA SATUAN'!$D$6,MATCH(RAB!C302,'HARGA SATUAN'!$C$7:$C$1492,0),0))</f>
        <v>HDW</v>
      </c>
      <c r="E302" s="354" t="str">
        <f ca="1">IF(B302="+","Unit",IF(ISERROR(OFFSET('HARGA SATUAN'!$E$6,MATCH(RAB!C302,'HARGA SATUAN'!$C$7:$C$1492,0),0)),"",OFFSET('HARGA SATUAN'!$E$6,MATCH(RAB!C302,'HARGA SATUAN'!$C$7:$C$1492,0),0)))</f>
        <v>Mtr</v>
      </c>
      <c r="F302" s="489">
        <f>F298*10</f>
        <v>20</v>
      </c>
      <c r="G302" s="355">
        <f ca="1">IF(ISERROR(OFFSET('HARGA SATUAN'!$I$6,MATCH(RAB!C302,'HARGA SATUAN'!$C$7:$C$1492,0),0)),0,OFFSET('HARGA SATUAN'!$I$6,MATCH(RAB!C302,'HARGA SATUAN'!$C$7:$C$1492,0),0))</f>
        <v>30000</v>
      </c>
      <c r="H302" s="356">
        <f t="shared" ca="1" si="36"/>
        <v>0</v>
      </c>
      <c r="I302" s="356">
        <f t="shared" ca="1" si="37"/>
        <v>600000</v>
      </c>
      <c r="J302" s="356">
        <f t="shared" ca="1" si="38"/>
        <v>0</v>
      </c>
      <c r="K302" s="357">
        <f t="shared" ca="1" si="39"/>
        <v>600000</v>
      </c>
      <c r="L302" s="362"/>
      <c r="M302" s="362"/>
      <c r="N302" s="362"/>
      <c r="O302" s="358"/>
      <c r="P302" s="358"/>
      <c r="Q302" s="341"/>
      <c r="R302" s="333"/>
      <c r="S302" s="359"/>
      <c r="T302" s="338"/>
      <c r="U302" s="338"/>
      <c r="V302" s="338"/>
    </row>
    <row r="303" spans="1:22" s="363" customFormat="1">
      <c r="A303" s="333"/>
      <c r="B303" s="511">
        <v>5</v>
      </c>
      <c r="C303" s="512" t="s">
        <v>33</v>
      </c>
      <c r="D303" s="353" t="str">
        <f ca="1">IF(ISERROR(OFFSET('HARGA SATUAN'!$D$6,MATCH(RAB!C303,'HARGA SATUAN'!$C$7:$C$1492,0),0)),"",OFFSET('HARGA SATUAN'!$D$6,MATCH(RAB!C303,'HARGA SATUAN'!$C$7:$C$1492,0),0))</f>
        <v>HDW</v>
      </c>
      <c r="E303" s="354" t="str">
        <f ca="1">IF(B303="+","Unit",IF(ISERROR(OFFSET('HARGA SATUAN'!$E$6,MATCH(RAB!C303,'HARGA SATUAN'!$C$7:$C$1492,0),0)),"",OFFSET('HARGA SATUAN'!$E$6,MATCH(RAB!C303,'HARGA SATUAN'!$C$7:$C$1492,0),0)))</f>
        <v>Bh</v>
      </c>
      <c r="F303" s="489">
        <f>F298*2</f>
        <v>4</v>
      </c>
      <c r="G303" s="355">
        <f ca="1">IF(ISERROR(OFFSET('HARGA SATUAN'!$I$6,MATCH(RAB!C303,'HARGA SATUAN'!$C$7:$C$1492,0),0)),0,OFFSET('HARGA SATUAN'!$I$6,MATCH(RAB!C303,'HARGA SATUAN'!$C$7:$C$1492,0),0))</f>
        <v>9500</v>
      </c>
      <c r="H303" s="356">
        <f t="shared" ca="1" si="36"/>
        <v>0</v>
      </c>
      <c r="I303" s="356">
        <f t="shared" ca="1" si="37"/>
        <v>38000</v>
      </c>
      <c r="J303" s="356">
        <f t="shared" ca="1" si="38"/>
        <v>0</v>
      </c>
      <c r="K303" s="357">
        <f t="shared" ca="1" si="39"/>
        <v>38000</v>
      </c>
      <c r="L303" s="362"/>
      <c r="M303" s="362"/>
      <c r="N303" s="362"/>
      <c r="O303" s="358"/>
      <c r="P303" s="358"/>
      <c r="Q303" s="341"/>
      <c r="R303" s="333"/>
      <c r="S303" s="359"/>
      <c r="T303" s="338"/>
      <c r="U303" s="338"/>
      <c r="V303" s="338"/>
    </row>
    <row r="304" spans="1:22" s="363" customFormat="1">
      <c r="A304" s="333"/>
      <c r="B304" s="511">
        <v>6</v>
      </c>
      <c r="C304" s="512" t="s">
        <v>34</v>
      </c>
      <c r="D304" s="353" t="str">
        <f ca="1">IF(ISERROR(OFFSET('HARGA SATUAN'!$D$6,MATCH(RAB!C304,'HARGA SATUAN'!$C$7:$C$1492,0),0)),"",OFFSET('HARGA SATUAN'!$D$6,MATCH(RAB!C304,'HARGA SATUAN'!$C$7:$C$1492,0),0))</f>
        <v>HDW</v>
      </c>
      <c r="E304" s="354" t="str">
        <f ca="1">IF(B304="+","Unit",IF(ISERROR(OFFSET('HARGA SATUAN'!$E$6,MATCH(RAB!C304,'HARGA SATUAN'!$C$7:$C$1492,0),0)),"",OFFSET('HARGA SATUAN'!$E$6,MATCH(RAB!C304,'HARGA SATUAN'!$C$7:$C$1492,0),0)))</f>
        <v>Bh</v>
      </c>
      <c r="F304" s="489">
        <f>F298*5.5</f>
        <v>11</v>
      </c>
      <c r="G304" s="355">
        <f ca="1">IF(ISERROR(OFFSET('HARGA SATUAN'!$I$6,MATCH(RAB!C304,'HARGA SATUAN'!$C$7:$C$1492,0),0)),0,OFFSET('HARGA SATUAN'!$I$6,MATCH(RAB!C304,'HARGA SATUAN'!$C$7:$C$1492,0),0))</f>
        <v>6100</v>
      </c>
      <c r="H304" s="356">
        <f t="shared" ca="1" si="36"/>
        <v>0</v>
      </c>
      <c r="I304" s="356">
        <f t="shared" ca="1" si="37"/>
        <v>67100</v>
      </c>
      <c r="J304" s="356">
        <f t="shared" ca="1" si="38"/>
        <v>0</v>
      </c>
      <c r="K304" s="357">
        <f t="shared" ca="1" si="39"/>
        <v>67100</v>
      </c>
      <c r="L304" s="362"/>
      <c r="M304" s="362"/>
      <c r="N304" s="362"/>
      <c r="O304" s="358"/>
      <c r="P304" s="358"/>
      <c r="Q304" s="341"/>
      <c r="R304" s="333"/>
      <c r="S304" s="359"/>
      <c r="T304" s="338"/>
      <c r="U304" s="338"/>
      <c r="V304" s="338"/>
    </row>
    <row r="305" spans="1:22" s="363" customFormat="1">
      <c r="A305" s="333"/>
      <c r="B305" s="511">
        <v>7</v>
      </c>
      <c r="C305" s="512" t="s">
        <v>35</v>
      </c>
      <c r="D305" s="353" t="str">
        <f ca="1">IF(ISERROR(OFFSET('HARGA SATUAN'!$D$6,MATCH(RAB!C305,'HARGA SATUAN'!$C$7:$C$1492,0),0)),"",OFFSET('HARGA SATUAN'!$D$6,MATCH(RAB!C305,'HARGA SATUAN'!$C$7:$C$1492,0),0))</f>
        <v>HDW</v>
      </c>
      <c r="E305" s="354" t="str">
        <f ca="1">IF(B305="+","Unit",IF(ISERROR(OFFSET('HARGA SATUAN'!$E$6,MATCH(RAB!C305,'HARGA SATUAN'!$C$7:$C$1492,0),0)),"",OFFSET('HARGA SATUAN'!$E$6,MATCH(RAB!C305,'HARGA SATUAN'!$C$7:$C$1492,0),0)))</f>
        <v>Bh</v>
      </c>
      <c r="F305" s="489">
        <f>F298*6</f>
        <v>12</v>
      </c>
      <c r="G305" s="355">
        <f ca="1">IF(ISERROR(OFFSET('HARGA SATUAN'!$I$6,MATCH(RAB!C305,'HARGA SATUAN'!$C$7:$C$1492,0),0)),0,OFFSET('HARGA SATUAN'!$I$6,MATCH(RAB!C305,'HARGA SATUAN'!$C$7:$C$1492,0),0))</f>
        <v>2300</v>
      </c>
      <c r="H305" s="356">
        <f t="shared" ca="1" si="36"/>
        <v>0</v>
      </c>
      <c r="I305" s="356">
        <f t="shared" ca="1" si="37"/>
        <v>27600</v>
      </c>
      <c r="J305" s="356">
        <f t="shared" ca="1" si="38"/>
        <v>0</v>
      </c>
      <c r="K305" s="357">
        <f t="shared" ca="1" si="39"/>
        <v>27600</v>
      </c>
      <c r="L305" s="362"/>
      <c r="M305" s="362"/>
      <c r="N305" s="362"/>
      <c r="O305" s="358"/>
      <c r="P305" s="358"/>
      <c r="Q305" s="341"/>
      <c r="R305" s="333"/>
      <c r="S305" s="359"/>
      <c r="T305" s="338"/>
      <c r="U305" s="338"/>
      <c r="V305" s="338"/>
    </row>
    <row r="306" spans="1:22" s="363" customFormat="1">
      <c r="A306" s="333"/>
      <c r="B306" s="511">
        <v>8</v>
      </c>
      <c r="C306" s="512" t="s">
        <v>1663</v>
      </c>
      <c r="D306" s="353" t="str">
        <f ca="1">IF(ISERROR(OFFSET('HARGA SATUAN'!$D$6,MATCH(RAB!C306,'HARGA SATUAN'!$C$7:$C$1492,0),0)),"",OFFSET('HARGA SATUAN'!$D$6,MATCH(RAB!C306,'HARGA SATUAN'!$C$7:$C$1492,0),0))</f>
        <v>HDW</v>
      </c>
      <c r="E306" s="354" t="str">
        <f ca="1">IF(B306="+","Unit",IF(ISERROR(OFFSET('HARGA SATUAN'!$E$6,MATCH(RAB!C306,'HARGA SATUAN'!$C$7:$C$1492,0),0)),"",OFFSET('HARGA SATUAN'!$E$6,MATCH(RAB!C306,'HARGA SATUAN'!$C$7:$C$1492,0),0)))</f>
        <v>Mtr</v>
      </c>
      <c r="F306" s="489">
        <f>F298*4.8</f>
        <v>9.6</v>
      </c>
      <c r="G306" s="355">
        <f ca="1">IF(ISERROR(OFFSET('HARGA SATUAN'!$I$6,MATCH(RAB!C306,'HARGA SATUAN'!$C$7:$C$1492,0),0)),0,OFFSET('HARGA SATUAN'!$I$6,MATCH(RAB!C306,'HARGA SATUAN'!$C$7:$C$1492,0),0))</f>
        <v>23310</v>
      </c>
      <c r="H306" s="356">
        <f t="shared" ca="1" si="36"/>
        <v>0</v>
      </c>
      <c r="I306" s="356">
        <f t="shared" ca="1" si="37"/>
        <v>223776</v>
      </c>
      <c r="J306" s="356">
        <f t="shared" ca="1" si="38"/>
        <v>0</v>
      </c>
      <c r="K306" s="357">
        <f t="shared" ca="1" si="39"/>
        <v>223776</v>
      </c>
      <c r="L306" s="362"/>
      <c r="M306" s="362"/>
      <c r="N306" s="362"/>
      <c r="O306" s="358"/>
      <c r="P306" s="358"/>
      <c r="Q306" s="341"/>
      <c r="R306" s="333"/>
      <c r="S306" s="359"/>
      <c r="T306" s="338"/>
      <c r="U306" s="338"/>
      <c r="V306" s="338"/>
    </row>
    <row r="307" spans="1:22" s="363" customFormat="1">
      <c r="A307" s="333"/>
      <c r="B307" s="511">
        <v>9</v>
      </c>
      <c r="C307" s="512" t="s">
        <v>736</v>
      </c>
      <c r="D307" s="353" t="str">
        <f ca="1">IF(ISERROR(OFFSET('HARGA SATUAN'!$D$6,MATCH(RAB!C307,'HARGA SATUAN'!$C$7:$C$1492,0),0)),"",OFFSET('HARGA SATUAN'!$D$6,MATCH(RAB!C307,'HARGA SATUAN'!$C$7:$C$1492,0),0))</f>
        <v>JASA</v>
      </c>
      <c r="E307" s="354" t="str">
        <f ca="1">IF(B307="+","Unit",IF(ISERROR(OFFSET('HARGA SATUAN'!$E$6,MATCH(RAB!C307,'HARGA SATUAN'!$C$7:$C$1492,0),0)),"",OFFSET('HARGA SATUAN'!$E$6,MATCH(RAB!C307,'HARGA SATUAN'!$C$7:$C$1492,0),0)))</f>
        <v>Unit</v>
      </c>
      <c r="F307" s="489">
        <f>F298*1</f>
        <v>2</v>
      </c>
      <c r="G307" s="355">
        <f ca="1">IF(ISERROR(OFFSET('HARGA SATUAN'!$I$6,MATCH(RAB!C307,'HARGA SATUAN'!$C$7:$C$1492,0),0)),0,OFFSET('HARGA SATUAN'!$I$6,MATCH(RAB!C307,'HARGA SATUAN'!$C$7:$C$1492,0),0))</f>
        <v>65400</v>
      </c>
      <c r="H307" s="356">
        <f t="shared" ca="1" si="36"/>
        <v>0</v>
      </c>
      <c r="I307" s="356">
        <f t="shared" ca="1" si="37"/>
        <v>0</v>
      </c>
      <c r="J307" s="356">
        <f t="shared" ca="1" si="38"/>
        <v>130800</v>
      </c>
      <c r="K307" s="357">
        <f t="shared" ca="1" si="39"/>
        <v>130800</v>
      </c>
      <c r="L307" s="362"/>
      <c r="M307" s="362"/>
      <c r="N307" s="362"/>
      <c r="O307" s="358"/>
      <c r="P307" s="358"/>
      <c r="Q307" s="341"/>
      <c r="R307" s="333"/>
      <c r="S307" s="359"/>
      <c r="T307" s="338"/>
      <c r="U307" s="338"/>
      <c r="V307" s="338"/>
    </row>
    <row r="308" spans="1:22" s="363" customFormat="1">
      <c r="A308" s="333"/>
      <c r="B308" s="484"/>
      <c r="C308" s="485"/>
      <c r="D308" s="353" t="str">
        <f ca="1">IF(ISERROR(OFFSET('HARGA SATUAN'!$D$6,MATCH(RAB!C308,'HARGA SATUAN'!$C$7:$C$1492,0),0)),"",OFFSET('HARGA SATUAN'!$D$6,MATCH(RAB!C308,'HARGA SATUAN'!$C$7:$C$1492,0),0))</f>
        <v/>
      </c>
      <c r="E308" s="354" t="str">
        <f ca="1">IF(B308="+","Unit",IF(ISERROR(OFFSET('HARGA SATUAN'!$E$6,MATCH(RAB!C308,'HARGA SATUAN'!$C$7:$C$1492,0),0)),"",OFFSET('HARGA SATUAN'!$E$6,MATCH(RAB!C308,'HARGA SATUAN'!$C$7:$C$1492,0),0)))</f>
        <v/>
      </c>
      <c r="F308" s="489"/>
      <c r="G308" s="355">
        <f ca="1">IF(ISERROR(OFFSET('HARGA SATUAN'!$I$6,MATCH(RAB!C308,'HARGA SATUAN'!$C$7:$C$1492,0),0)),0,OFFSET('HARGA SATUAN'!$I$6,MATCH(RAB!C308,'HARGA SATUAN'!$C$7:$C$1492,0),0))</f>
        <v>0</v>
      </c>
      <c r="H308" s="356">
        <f t="shared" ca="1" si="36"/>
        <v>0</v>
      </c>
      <c r="I308" s="356">
        <f t="shared" ca="1" si="37"/>
        <v>0</v>
      </c>
      <c r="J308" s="356">
        <f t="shared" ca="1" si="38"/>
        <v>0</v>
      </c>
      <c r="K308" s="357">
        <f t="shared" ca="1" si="39"/>
        <v>0</v>
      </c>
      <c r="L308" s="362"/>
      <c r="M308" s="362"/>
      <c r="N308" s="362"/>
      <c r="O308" s="358"/>
      <c r="P308" s="358"/>
      <c r="Q308" s="341"/>
      <c r="R308" s="333"/>
      <c r="S308" s="359"/>
      <c r="T308" s="338"/>
      <c r="U308" s="338"/>
      <c r="V308" s="338"/>
    </row>
    <row r="309" spans="1:22" s="360" customFormat="1">
      <c r="A309" s="333"/>
      <c r="B309" s="481" t="s">
        <v>526</v>
      </c>
      <c r="C309" s="482" t="s">
        <v>1614</v>
      </c>
      <c r="D309" s="353" t="str">
        <f ca="1">IF(ISERROR(OFFSET('HARGA SATUAN'!$D$6,MATCH(RAB!C309,'HARGA SATUAN'!$C$7:$C$1492,0),0)),"",OFFSET('HARGA SATUAN'!$D$6,MATCH(RAB!C309,'HARGA SATUAN'!$C$7:$C$1492,0),0))</f>
        <v/>
      </c>
      <c r="E309" s="354" t="str">
        <f ca="1">IF(B309="+","Unit",IF(ISERROR(OFFSET('HARGA SATUAN'!$E$6,MATCH(RAB!C309,'HARGA SATUAN'!$C$7:$C$1492,0),0)),"",OFFSET('HARGA SATUAN'!$E$6,MATCH(RAB!C309,'HARGA SATUAN'!$C$7:$C$1492,0),0)))</f>
        <v/>
      </c>
      <c r="F309" s="489"/>
      <c r="G309" s="355">
        <f ca="1">IF(ISERROR(OFFSET('HARGA SATUAN'!$I$6,MATCH(RAB!C309,'HARGA SATUAN'!$C$7:$C$1492,0),0)),0,OFFSET('HARGA SATUAN'!$I$6,MATCH(RAB!C309,'HARGA SATUAN'!$C$7:$C$1492,0),0))</f>
        <v>0</v>
      </c>
      <c r="H309" s="356">
        <f t="shared" ref="H309:H317" ca="1" si="40">IF(OR(D309="MDU",D309="MDU-KD"),(IF($O$3="RAB NON MDU","PLN KD",G309*F309)),0)</f>
        <v>0</v>
      </c>
      <c r="I309" s="356">
        <f t="shared" ref="I309:I317" ca="1" si="41">IF(D309="HDW",G309*F309,0)</f>
        <v>0</v>
      </c>
      <c r="J309" s="356">
        <f t="shared" ref="J309:J317" ca="1" si="42">IF(D309="JASA",G309*F309,0)</f>
        <v>0</v>
      </c>
      <c r="K309" s="357">
        <f t="shared" ref="K309:K317" ca="1" si="43">SUM(H309:J309)</f>
        <v>0</v>
      </c>
      <c r="L309" s="339"/>
      <c r="M309" s="339"/>
      <c r="N309" s="362"/>
      <c r="O309" s="341"/>
      <c r="P309" s="386"/>
      <c r="Q309" s="341"/>
    </row>
    <row r="310" spans="1:22" s="360" customFormat="1">
      <c r="A310" s="333"/>
      <c r="B310" s="481"/>
      <c r="C310" s="482"/>
      <c r="D310" s="353" t="str">
        <f ca="1">IF(ISERROR(OFFSET('HARGA SATUAN'!$D$6,MATCH(RAB!C310,'HARGA SATUAN'!$C$7:$C$1492,0),0)),"",OFFSET('HARGA SATUAN'!$D$6,MATCH(RAB!C310,'HARGA SATUAN'!$C$7:$C$1492,0),0))</f>
        <v/>
      </c>
      <c r="E310" s="354" t="str">
        <f ca="1">IF(B310="+","Unit",IF(ISERROR(OFFSET('HARGA SATUAN'!$E$6,MATCH(RAB!C310,'HARGA SATUAN'!$C$7:$C$1492,0),0)),"",OFFSET('HARGA SATUAN'!$E$6,MATCH(RAB!C310,'HARGA SATUAN'!$C$7:$C$1492,0),0)))</f>
        <v/>
      </c>
      <c r="F310" s="489"/>
      <c r="G310" s="355">
        <f ca="1">IF(ISERROR(OFFSET('HARGA SATUAN'!$I$6,MATCH(RAB!C310,'HARGA SATUAN'!$C$7:$C$1492,0),0)),0,OFFSET('HARGA SATUAN'!$I$6,MATCH(RAB!C310,'HARGA SATUAN'!$C$7:$C$1492,0),0))</f>
        <v>0</v>
      </c>
      <c r="H310" s="356">
        <f t="shared" ca="1" si="40"/>
        <v>0</v>
      </c>
      <c r="I310" s="356">
        <f t="shared" ca="1" si="41"/>
        <v>0</v>
      </c>
      <c r="J310" s="356">
        <f t="shared" ca="1" si="42"/>
        <v>0</v>
      </c>
      <c r="K310" s="357">
        <f t="shared" ca="1" si="43"/>
        <v>0</v>
      </c>
      <c r="L310" s="339"/>
      <c r="M310" s="339"/>
      <c r="N310" s="362"/>
      <c r="O310" s="341"/>
      <c r="P310" s="386"/>
      <c r="Q310" s="341"/>
    </row>
    <row r="311" spans="1:22" s="360" customFormat="1">
      <c r="A311" s="333"/>
      <c r="B311" s="490" t="s">
        <v>1035</v>
      </c>
      <c r="C311" s="492" t="s">
        <v>1670</v>
      </c>
      <c r="D311" s="353" t="str">
        <f ca="1">IF(ISERROR(OFFSET('HARGA SATUAN'!$D$6,MATCH(RAB!C311,'HARGA SATUAN'!$C$7:$C$1492,0),0)),"",OFFSET('HARGA SATUAN'!$D$6,MATCH(RAB!C311,'HARGA SATUAN'!$C$7:$C$1492,0),0))</f>
        <v/>
      </c>
      <c r="E311" s="354" t="str">
        <f ca="1">IF(B311="+","Unit",IF(ISERROR(OFFSET('HARGA SATUAN'!$E$6,MATCH(RAB!C311,'HARGA SATUAN'!$C$7:$C$1492,0),0)),"",OFFSET('HARGA SATUAN'!$E$6,MATCH(RAB!C311,'HARGA SATUAN'!$C$7:$C$1492,0),0)))</f>
        <v>Unit</v>
      </c>
      <c r="F311" s="513">
        <v>1</v>
      </c>
      <c r="G311" s="355">
        <f ca="1">IF(ISERROR(OFFSET('HARGA SATUAN'!$I$6,MATCH(RAB!C311,'HARGA SATUAN'!$C$7:$C$1492,0),0)),0,OFFSET('HARGA SATUAN'!$I$6,MATCH(RAB!C311,'HARGA SATUAN'!$C$7:$C$1492,0),0))</f>
        <v>0</v>
      </c>
      <c r="H311" s="356">
        <f t="shared" ca="1" si="40"/>
        <v>0</v>
      </c>
      <c r="I311" s="356">
        <f t="shared" ca="1" si="41"/>
        <v>0</v>
      </c>
      <c r="J311" s="356">
        <f t="shared" ca="1" si="42"/>
        <v>0</v>
      </c>
      <c r="K311" s="357">
        <f t="shared" ca="1" si="43"/>
        <v>0</v>
      </c>
      <c r="L311" s="339"/>
      <c r="M311" s="339"/>
      <c r="N311" s="362"/>
      <c r="O311" s="341"/>
      <c r="P311" s="386"/>
      <c r="Q311" s="341"/>
    </row>
    <row r="312" spans="1:22" s="360" customFormat="1" ht="30">
      <c r="A312" s="333"/>
      <c r="B312" s="511">
        <v>1</v>
      </c>
      <c r="C312" s="109" t="s">
        <v>1196</v>
      </c>
      <c r="D312" s="353" t="str">
        <f ca="1">IF(ISERROR(OFFSET('HARGA SATUAN'!$D$6,MATCH(RAB!C312,'HARGA SATUAN'!$C$7:$C$1492,0),0)),"",OFFSET('HARGA SATUAN'!$D$6,MATCH(RAB!C312,'HARGA SATUAN'!$C$7:$C$1492,0),0))</f>
        <v>MDU-KD</v>
      </c>
      <c r="E312" s="354" t="str">
        <f ca="1">IF(B312="+","Unit",IF(ISERROR(OFFSET('HARGA SATUAN'!$E$6,MATCH(RAB!C312,'HARGA SATUAN'!$C$7:$C$1492,0),0)),"",OFFSET('HARGA SATUAN'!$E$6,MATCH(RAB!C312,'HARGA SATUAN'!$C$7:$C$1492,0),0)))</f>
        <v>Bh</v>
      </c>
      <c r="F312" s="513">
        <f>F311*1</f>
        <v>1</v>
      </c>
      <c r="G312" s="355">
        <f ca="1">IF(ISERROR(OFFSET('HARGA SATUAN'!$I$6,MATCH(RAB!C312,'HARGA SATUAN'!$C$7:$C$1492,0),0)),0,OFFSET('HARGA SATUAN'!$I$6,MATCH(RAB!C312,'HARGA SATUAN'!$C$7:$C$1492,0),0))</f>
        <v>1504200</v>
      </c>
      <c r="H312" s="356">
        <f t="shared" ca="1" si="40"/>
        <v>1504200</v>
      </c>
      <c r="I312" s="356">
        <f t="shared" ca="1" si="41"/>
        <v>0</v>
      </c>
      <c r="J312" s="356">
        <f t="shared" ca="1" si="42"/>
        <v>0</v>
      </c>
      <c r="K312" s="357">
        <f t="shared" ca="1" si="43"/>
        <v>1504200</v>
      </c>
      <c r="L312" s="339"/>
      <c r="M312" s="339"/>
      <c r="N312" s="362"/>
      <c r="O312" s="341"/>
      <c r="P312" s="386"/>
      <c r="Q312" s="341"/>
    </row>
    <row r="313" spans="1:22" s="360" customFormat="1">
      <c r="A313" s="333"/>
      <c r="B313" s="511">
        <v>2</v>
      </c>
      <c r="C313" s="516" t="s">
        <v>518</v>
      </c>
      <c r="D313" s="353" t="str">
        <f ca="1">IF(ISERROR(OFFSET('HARGA SATUAN'!$D$6,MATCH(RAB!C313,'HARGA SATUAN'!$C$7:$C$1492,0),0)),"",OFFSET('HARGA SATUAN'!$D$6,MATCH(RAB!C313,'HARGA SATUAN'!$C$7:$C$1492,0),0))</f>
        <v>MDU-KD</v>
      </c>
      <c r="E313" s="354" t="str">
        <f ca="1">IF(B313="+","Unit",IF(ISERROR(OFFSET('HARGA SATUAN'!$E$6,MATCH(RAB!C313,'HARGA SATUAN'!$C$7:$C$1492,0),0)),"",OFFSET('HARGA SATUAN'!$E$6,MATCH(RAB!C313,'HARGA SATUAN'!$C$7:$C$1492,0),0)))</f>
        <v>Unit</v>
      </c>
      <c r="F313" s="513">
        <f>F311*1</f>
        <v>1</v>
      </c>
      <c r="G313" s="355">
        <f ca="1">IF(ISERROR(OFFSET('HARGA SATUAN'!$I$6,MATCH(RAB!C313,'HARGA SATUAN'!$C$7:$C$1492,0),0)),0,OFFSET('HARGA SATUAN'!$I$6,MATCH(RAB!C313,'HARGA SATUAN'!$C$7:$C$1492,0),0))</f>
        <v>14217900</v>
      </c>
      <c r="H313" s="356">
        <f t="shared" ca="1" si="40"/>
        <v>14217900</v>
      </c>
      <c r="I313" s="356">
        <f t="shared" ca="1" si="41"/>
        <v>0</v>
      </c>
      <c r="J313" s="356">
        <f t="shared" ca="1" si="42"/>
        <v>0</v>
      </c>
      <c r="K313" s="357">
        <f t="shared" ca="1" si="43"/>
        <v>14217900</v>
      </c>
      <c r="L313" s="339"/>
      <c r="M313" s="339"/>
      <c r="N313" s="362"/>
      <c r="O313" s="341"/>
      <c r="P313" s="386"/>
      <c r="Q313" s="341"/>
    </row>
    <row r="314" spans="1:22" s="360" customFormat="1">
      <c r="A314" s="333"/>
      <c r="B314" s="511">
        <v>3</v>
      </c>
      <c r="C314" s="516" t="s">
        <v>1142</v>
      </c>
      <c r="D314" s="353" t="str">
        <f ca="1">IF(ISERROR(OFFSET('HARGA SATUAN'!$D$6,MATCH(RAB!C314,'HARGA SATUAN'!$C$7:$C$1492,0),0)),"",OFFSET('HARGA SATUAN'!$D$6,MATCH(RAB!C314,'HARGA SATUAN'!$C$7:$C$1492,0),0))</f>
        <v>HDW</v>
      </c>
      <c r="E314" s="354" t="str">
        <f ca="1">IF(B314="+","Unit",IF(ISERROR(OFFSET('HARGA SATUAN'!$E$6,MATCH(RAB!C314,'HARGA SATUAN'!$C$7:$C$1492,0),0)),"",OFFSET('HARGA SATUAN'!$E$6,MATCH(RAB!C314,'HARGA SATUAN'!$C$7:$C$1492,0),0)))</f>
        <v>Unit</v>
      </c>
      <c r="F314" s="513">
        <f>F311*1</f>
        <v>1</v>
      </c>
      <c r="G314" s="355">
        <f ca="1">IF(ISERROR(OFFSET('HARGA SATUAN'!$I$6,MATCH(RAB!C314,'HARGA SATUAN'!$C$7:$C$1492,0),0)),0,OFFSET('HARGA SATUAN'!$I$6,MATCH(RAB!C314,'HARGA SATUAN'!$C$7:$C$1492,0),0))</f>
        <v>1113900</v>
      </c>
      <c r="H314" s="356">
        <f t="shared" ca="1" si="40"/>
        <v>0</v>
      </c>
      <c r="I314" s="356">
        <f t="shared" ca="1" si="41"/>
        <v>1113900</v>
      </c>
      <c r="J314" s="356">
        <f t="shared" ca="1" si="42"/>
        <v>0</v>
      </c>
      <c r="K314" s="357">
        <f t="shared" ca="1" si="43"/>
        <v>1113900</v>
      </c>
      <c r="L314" s="339"/>
      <c r="M314" s="339"/>
      <c r="N314" s="362"/>
      <c r="O314" s="341"/>
      <c r="P314" s="386"/>
      <c r="Q314" s="341"/>
    </row>
    <row r="315" spans="1:22" s="360" customFormat="1">
      <c r="A315" s="333"/>
      <c r="B315" s="511">
        <v>4</v>
      </c>
      <c r="C315" s="109" t="s">
        <v>80</v>
      </c>
      <c r="D315" s="353" t="str">
        <f ca="1">IF(ISERROR(OFFSET('HARGA SATUAN'!$D$6,MATCH(RAB!C315,'HARGA SATUAN'!$C$7:$C$1492,0),0)),"",OFFSET('HARGA SATUAN'!$D$6,MATCH(RAB!C315,'HARGA SATUAN'!$C$7:$C$1492,0),0))</f>
        <v>MDU-KD</v>
      </c>
      <c r="E315" s="354" t="str">
        <f ca="1">IF(B315="+","Unit",IF(ISERROR(OFFSET('HARGA SATUAN'!$E$6,MATCH(RAB!C315,'HARGA SATUAN'!$C$7:$C$1492,0),0)),"",OFFSET('HARGA SATUAN'!$E$6,MATCH(RAB!C315,'HARGA SATUAN'!$C$7:$C$1492,0),0)))</f>
        <v>Mtr</v>
      </c>
      <c r="F315" s="513">
        <v>44</v>
      </c>
      <c r="G315" s="355">
        <f ca="1">IF(ISERROR(OFFSET('HARGA SATUAN'!$I$6,MATCH(RAB!C315,'HARGA SATUAN'!$C$7:$C$1492,0),0)),0,OFFSET('HARGA SATUAN'!$I$6,MATCH(RAB!C315,'HARGA SATUAN'!$C$7:$C$1492,0),0))</f>
        <v>94700</v>
      </c>
      <c r="H315" s="356">
        <f t="shared" ca="1" si="40"/>
        <v>4166800</v>
      </c>
      <c r="I315" s="356">
        <f t="shared" ca="1" si="41"/>
        <v>0</v>
      </c>
      <c r="J315" s="356">
        <f t="shared" ca="1" si="42"/>
        <v>0</v>
      </c>
      <c r="K315" s="357">
        <f t="shared" ca="1" si="43"/>
        <v>4166800</v>
      </c>
      <c r="L315" s="339"/>
      <c r="M315" s="339"/>
      <c r="N315" s="362"/>
      <c r="O315" s="341"/>
      <c r="P315" s="386"/>
      <c r="Q315" s="341"/>
    </row>
    <row r="316" spans="1:22">
      <c r="B316" s="511">
        <v>5</v>
      </c>
      <c r="C316" s="516" t="s">
        <v>799</v>
      </c>
      <c r="D316" s="353" t="str">
        <f ca="1">IF(ISERROR(OFFSET('HARGA SATUAN'!$D$6,MATCH(RAB!C316,'HARGA SATUAN'!$C$7:$C$1492,0),0)),"",OFFSET('HARGA SATUAN'!$D$6,MATCH(RAB!C316,'HARGA SATUAN'!$C$7:$C$1492,0),0))</f>
        <v>JASA</v>
      </c>
      <c r="E316" s="354" t="str">
        <f ca="1">IF(B316="+","Unit",IF(ISERROR(OFFSET('HARGA SATUAN'!$E$6,MATCH(RAB!C316,'HARGA SATUAN'!$C$7:$C$1492,0),0)),"",OFFSET('HARGA SATUAN'!$E$6,MATCH(RAB!C316,'HARGA SATUAN'!$C$7:$C$1492,0),0)))</f>
        <v>Unit</v>
      </c>
      <c r="F316" s="513">
        <f>F311*1</f>
        <v>1</v>
      </c>
      <c r="G316" s="355">
        <f ca="1">IF(ISERROR(OFFSET('HARGA SATUAN'!$I$6,MATCH(RAB!C316,'HARGA SATUAN'!$C$7:$C$1492,0),0)),0,OFFSET('HARGA SATUAN'!$I$6,MATCH(RAB!C316,'HARGA SATUAN'!$C$7:$C$1492,0),0))</f>
        <v>106400</v>
      </c>
      <c r="H316" s="356">
        <f t="shared" ca="1" si="40"/>
        <v>0</v>
      </c>
      <c r="I316" s="356">
        <f t="shared" ca="1" si="41"/>
        <v>0</v>
      </c>
      <c r="J316" s="356">
        <f t="shared" ca="1" si="42"/>
        <v>106400</v>
      </c>
      <c r="K316" s="357">
        <f t="shared" ca="1" si="43"/>
        <v>106400</v>
      </c>
    </row>
    <row r="317" spans="1:22">
      <c r="B317" s="364"/>
      <c r="C317" s="486"/>
      <c r="D317" s="353" t="str">
        <f ca="1">IF(ISERROR(OFFSET('HARGA SATUAN'!$D$6,MATCH(RAB!C317,'HARGA SATUAN'!$C$7:$C$1492,0),0)),"",OFFSET('HARGA SATUAN'!$D$6,MATCH(RAB!C317,'HARGA SATUAN'!$C$7:$C$1492,0),0))</f>
        <v/>
      </c>
      <c r="E317" s="354" t="str">
        <f ca="1">IF(B317="+","Unit",IF(ISERROR(OFFSET('HARGA SATUAN'!$E$6,MATCH(RAB!C317,'HARGA SATUAN'!$C$7:$C$1492,0),0)),"",OFFSET('HARGA SATUAN'!$E$6,MATCH(RAB!C317,'HARGA SATUAN'!$C$7:$C$1492,0),0)))</f>
        <v/>
      </c>
      <c r="F317" s="489"/>
      <c r="G317" s="355">
        <f ca="1">IF(ISERROR(OFFSET('HARGA SATUAN'!$I$6,MATCH(RAB!C317,'HARGA SATUAN'!$C$7:$C$1492,0),0)),0,OFFSET('HARGA SATUAN'!$I$6,MATCH(RAB!C317,'HARGA SATUAN'!$C$7:$C$1492,0),0))</f>
        <v>0</v>
      </c>
      <c r="H317" s="356">
        <f t="shared" ca="1" si="40"/>
        <v>0</v>
      </c>
      <c r="I317" s="356">
        <f t="shared" ca="1" si="41"/>
        <v>0</v>
      </c>
      <c r="J317" s="356">
        <f t="shared" ca="1" si="42"/>
        <v>0</v>
      </c>
      <c r="K317" s="357">
        <f t="shared" ca="1" si="43"/>
        <v>0</v>
      </c>
    </row>
    <row r="318" spans="1:22">
      <c r="B318" s="487" t="s">
        <v>1035</v>
      </c>
      <c r="C318" s="488" t="s">
        <v>1615</v>
      </c>
      <c r="D318" s="353" t="str">
        <f ca="1">IF(ISERROR(OFFSET('HARGA SATUAN'!$D$6,MATCH(RAB!C318,'HARGA SATUAN'!$C$7:$C$1492,0),0)),"",OFFSET('HARGA SATUAN'!$D$6,MATCH(RAB!C318,'HARGA SATUAN'!$C$7:$C$1492,0),0))</f>
        <v/>
      </c>
      <c r="E318" s="354" t="str">
        <f ca="1">IF(B318="+","Unit",IF(ISERROR(OFFSET('HARGA SATUAN'!$E$6,MATCH(RAB!C318,'HARGA SATUAN'!$C$7:$C$1492,0),0)),"",OFFSET('HARGA SATUAN'!$E$6,MATCH(RAB!C318,'HARGA SATUAN'!$C$7:$C$1492,0),0)))</f>
        <v>Unit</v>
      </c>
      <c r="F318" s="489">
        <v>1</v>
      </c>
      <c r="G318" s="355">
        <f ca="1">IF(ISERROR(OFFSET('HARGA SATUAN'!$I$6,MATCH(RAB!C318,'HARGA SATUAN'!$C$7:$C$1492,0),0)),0,OFFSET('HARGA SATUAN'!$I$6,MATCH(RAB!C318,'HARGA SATUAN'!$C$7:$C$1492,0),0))</f>
        <v>0</v>
      </c>
      <c r="H318" s="356">
        <f t="shared" ref="H318:H323" ca="1" si="44">IF(OR(D318="MDU",D318="MDU-KD"),(IF($O$3="RAB NON MDU","PLN KD",G318*F318)),0)</f>
        <v>0</v>
      </c>
      <c r="I318" s="356">
        <f t="shared" ref="I318:I323" ca="1" si="45">IF(D318="HDW",G318*F318,0)</f>
        <v>0</v>
      </c>
      <c r="J318" s="356">
        <f t="shared" ref="J318:J323" ca="1" si="46">IF(D318="JASA",G318*F318,0)</f>
        <v>0</v>
      </c>
      <c r="K318" s="357">
        <f t="shared" ref="K318:K323" ca="1" si="47">SUM(H318:J318)</f>
        <v>0</v>
      </c>
    </row>
    <row r="319" spans="1:22">
      <c r="B319" s="487">
        <v>1</v>
      </c>
      <c r="C319" s="488" t="s">
        <v>29</v>
      </c>
      <c r="D319" s="353" t="str">
        <f ca="1">IF(ISERROR(OFFSET('HARGA SATUAN'!$D$6,MATCH(RAB!C319,'HARGA SATUAN'!$C$7:$C$1492,0),0)),"",OFFSET('HARGA SATUAN'!$D$6,MATCH(RAB!C319,'HARGA SATUAN'!$C$7:$C$1492,0),0))</f>
        <v>HDW</v>
      </c>
      <c r="E319" s="354" t="str">
        <f ca="1">IF(B319="+","Unit",IF(ISERROR(OFFSET('HARGA SATUAN'!$E$6,MATCH(RAB!C319,'HARGA SATUAN'!$C$7:$C$1492,0),0)),"",OFFSET('HARGA SATUAN'!$E$6,MATCH(RAB!C319,'HARGA SATUAN'!$C$7:$C$1492,0),0)))</f>
        <v>Bh</v>
      </c>
      <c r="F319" s="489">
        <f>F318*1</f>
        <v>1</v>
      </c>
      <c r="G319" s="355">
        <f ca="1">IF(ISERROR(OFFSET('HARGA SATUAN'!$I$6,MATCH(RAB!C319,'HARGA SATUAN'!$C$7:$C$1492,0),0)),0,OFFSET('HARGA SATUAN'!$I$6,MATCH(RAB!C319,'HARGA SATUAN'!$C$7:$C$1492,0),0))</f>
        <v>185200</v>
      </c>
      <c r="H319" s="356">
        <f t="shared" ca="1" si="44"/>
        <v>0</v>
      </c>
      <c r="I319" s="356">
        <f t="shared" ca="1" si="45"/>
        <v>185200</v>
      </c>
      <c r="J319" s="356">
        <f t="shared" ca="1" si="46"/>
        <v>0</v>
      </c>
      <c r="K319" s="357">
        <f t="shared" ca="1" si="47"/>
        <v>185200</v>
      </c>
    </row>
    <row r="320" spans="1:22">
      <c r="B320" s="487">
        <v>2</v>
      </c>
      <c r="C320" s="488" t="s">
        <v>30</v>
      </c>
      <c r="D320" s="353" t="str">
        <f ca="1">IF(ISERROR(OFFSET('HARGA SATUAN'!$D$6,MATCH(RAB!C320,'HARGA SATUAN'!$C$7:$C$1492,0),0)),"",OFFSET('HARGA SATUAN'!$D$6,MATCH(RAB!C320,'HARGA SATUAN'!$C$7:$C$1492,0),0))</f>
        <v>HDW</v>
      </c>
      <c r="E320" s="354" t="str">
        <f ca="1">IF(B320="+","Unit",IF(ISERROR(OFFSET('HARGA SATUAN'!$E$6,MATCH(RAB!C320,'HARGA SATUAN'!$C$7:$C$1492,0),0)),"",OFFSET('HARGA SATUAN'!$E$6,MATCH(RAB!C320,'HARGA SATUAN'!$C$7:$C$1492,0),0)))</f>
        <v>Bh</v>
      </c>
      <c r="F320" s="489">
        <f>F318*1</f>
        <v>1</v>
      </c>
      <c r="G320" s="355">
        <f ca="1">IF(ISERROR(OFFSET('HARGA SATUAN'!$I$6,MATCH(RAB!C320,'HARGA SATUAN'!$C$7:$C$1492,0),0)),0,OFFSET('HARGA SATUAN'!$I$6,MATCH(RAB!C320,'HARGA SATUAN'!$C$7:$C$1492,0),0))</f>
        <v>47459</v>
      </c>
      <c r="H320" s="356">
        <f t="shared" ca="1" si="44"/>
        <v>0</v>
      </c>
      <c r="I320" s="356">
        <f t="shared" ca="1" si="45"/>
        <v>47459</v>
      </c>
      <c r="J320" s="356">
        <f t="shared" ca="1" si="46"/>
        <v>0</v>
      </c>
      <c r="K320" s="357">
        <f t="shared" ca="1" si="47"/>
        <v>47459</v>
      </c>
    </row>
    <row r="321" spans="2:11">
      <c r="B321" s="487">
        <v>3</v>
      </c>
      <c r="C321" s="488" t="s">
        <v>32</v>
      </c>
      <c r="D321" s="353" t="str">
        <f ca="1">IF(ISERROR(OFFSET('HARGA SATUAN'!$D$6,MATCH(RAB!C321,'HARGA SATUAN'!$C$7:$C$1492,0),0)),"",OFFSET('HARGA SATUAN'!$D$6,MATCH(RAB!C321,'HARGA SATUAN'!$C$7:$C$1492,0),0))</f>
        <v>HDW</v>
      </c>
      <c r="E321" s="354" t="str">
        <f ca="1">IF(B321="+","Unit",IF(ISERROR(OFFSET('HARGA SATUAN'!$E$6,MATCH(RAB!C321,'HARGA SATUAN'!$C$7:$C$1492,0),0)),"",OFFSET('HARGA SATUAN'!$E$6,MATCH(RAB!C321,'HARGA SATUAN'!$C$7:$C$1492,0),0)))</f>
        <v>Mtr</v>
      </c>
      <c r="F321" s="489">
        <f>F318*1.5</f>
        <v>1.5</v>
      </c>
      <c r="G321" s="355">
        <f ca="1">IF(ISERROR(OFFSET('HARGA SATUAN'!$I$6,MATCH(RAB!C321,'HARGA SATUAN'!$C$7:$C$1492,0),0)),0,OFFSET('HARGA SATUAN'!$I$6,MATCH(RAB!C321,'HARGA SATUAN'!$C$7:$C$1492,0),0))</f>
        <v>30000</v>
      </c>
      <c r="H321" s="356">
        <f t="shared" ca="1" si="44"/>
        <v>0</v>
      </c>
      <c r="I321" s="356">
        <f t="shared" ca="1" si="45"/>
        <v>45000</v>
      </c>
      <c r="J321" s="356">
        <f t="shared" ca="1" si="46"/>
        <v>0</v>
      </c>
      <c r="K321" s="357">
        <f t="shared" ca="1" si="47"/>
        <v>45000</v>
      </c>
    </row>
    <row r="322" spans="2:11">
      <c r="B322" s="487">
        <v>4</v>
      </c>
      <c r="C322" s="488" t="s">
        <v>33</v>
      </c>
      <c r="D322" s="353" t="str">
        <f ca="1">IF(ISERROR(OFFSET('HARGA SATUAN'!$D$6,MATCH(RAB!C322,'HARGA SATUAN'!$C$7:$C$1492,0),0)),"",OFFSET('HARGA SATUAN'!$D$6,MATCH(RAB!C322,'HARGA SATUAN'!$C$7:$C$1492,0),0))</f>
        <v>HDW</v>
      </c>
      <c r="E322" s="354" t="str">
        <f ca="1">IF(B322="+","Unit",IF(ISERROR(OFFSET('HARGA SATUAN'!$E$6,MATCH(RAB!C322,'HARGA SATUAN'!$C$7:$C$1492,0),0)),"",OFFSET('HARGA SATUAN'!$E$6,MATCH(RAB!C322,'HARGA SATUAN'!$C$7:$C$1492,0),0)))</f>
        <v>Bh</v>
      </c>
      <c r="F322" s="489">
        <f>F318*2</f>
        <v>2</v>
      </c>
      <c r="G322" s="355">
        <f ca="1">IF(ISERROR(OFFSET('HARGA SATUAN'!$I$6,MATCH(RAB!C322,'HARGA SATUAN'!$C$7:$C$1492,0),0)),0,OFFSET('HARGA SATUAN'!$I$6,MATCH(RAB!C322,'HARGA SATUAN'!$C$7:$C$1492,0),0))</f>
        <v>9500</v>
      </c>
      <c r="H322" s="356">
        <f t="shared" ca="1" si="44"/>
        <v>0</v>
      </c>
      <c r="I322" s="356">
        <f t="shared" ca="1" si="45"/>
        <v>19000</v>
      </c>
      <c r="J322" s="356">
        <f t="shared" ca="1" si="46"/>
        <v>0</v>
      </c>
      <c r="K322" s="357">
        <f t="shared" ca="1" si="47"/>
        <v>19000</v>
      </c>
    </row>
    <row r="323" spans="2:11">
      <c r="B323" s="487">
        <v>5</v>
      </c>
      <c r="C323" s="488" t="s">
        <v>735</v>
      </c>
      <c r="D323" s="353" t="str">
        <f ca="1">IF(ISERROR(OFFSET('HARGA SATUAN'!$D$6,MATCH(RAB!C323,'HARGA SATUAN'!$C$7:$C$1492,0),0)),"",OFFSET('HARGA SATUAN'!$D$6,MATCH(RAB!C323,'HARGA SATUAN'!$C$7:$C$1492,0),0))</f>
        <v>JASA</v>
      </c>
      <c r="E323" s="354" t="str">
        <f ca="1">IF(B323="+","Unit",IF(ISERROR(OFFSET('HARGA SATUAN'!$E$6,MATCH(RAB!C323,'HARGA SATUAN'!$C$7:$C$1492,0),0)),"",OFFSET('HARGA SATUAN'!$E$6,MATCH(RAB!C323,'HARGA SATUAN'!$C$7:$C$1492,0),0)))</f>
        <v>Unit</v>
      </c>
      <c r="F323" s="489">
        <f>F318*1</f>
        <v>1</v>
      </c>
      <c r="G323" s="355">
        <f ca="1">IF(ISERROR(OFFSET('HARGA SATUAN'!$I$6,MATCH(RAB!C323,'HARGA SATUAN'!$C$7:$C$1492,0),0)),0,OFFSET('HARGA SATUAN'!$I$6,MATCH(RAB!C323,'HARGA SATUAN'!$C$7:$C$1492,0),0))</f>
        <v>56400</v>
      </c>
      <c r="H323" s="356">
        <f t="shared" ca="1" si="44"/>
        <v>0</v>
      </c>
      <c r="I323" s="356">
        <f t="shared" ca="1" si="45"/>
        <v>0</v>
      </c>
      <c r="J323" s="356">
        <f t="shared" ca="1" si="46"/>
        <v>56400</v>
      </c>
      <c r="K323" s="357">
        <f t="shared" ca="1" si="47"/>
        <v>56400</v>
      </c>
    </row>
    <row r="324" spans="2:11">
      <c r="B324" s="364"/>
      <c r="C324" s="486"/>
      <c r="D324" s="353" t="str">
        <f ca="1">IF(ISERROR(OFFSET('HARGA SATUAN'!$D$6,MATCH(RAB!C324,'HARGA SATUAN'!$C$7:$C$1492,0),0)),"",OFFSET('HARGA SATUAN'!$D$6,MATCH(RAB!C324,'HARGA SATUAN'!$C$7:$C$1492,0),0))</f>
        <v/>
      </c>
      <c r="E324" s="354" t="str">
        <f ca="1">IF(B324="+","Unit",IF(ISERROR(OFFSET('HARGA SATUAN'!$E$6,MATCH(RAB!C324,'HARGA SATUAN'!$C$7:$C$1492,0),0)),"",OFFSET('HARGA SATUAN'!$E$6,MATCH(RAB!C324,'HARGA SATUAN'!$C$7:$C$1492,0),0)))</f>
        <v/>
      </c>
      <c r="F324" s="361"/>
      <c r="G324" s="355">
        <f ca="1">IF(ISERROR(OFFSET('HARGA SATUAN'!$I$6,MATCH(RAB!C324,'HARGA SATUAN'!$C$7:$C$1492,0),0)),0,OFFSET('HARGA SATUAN'!$I$6,MATCH(RAB!C324,'HARGA SATUAN'!$C$7:$C$1492,0),0))</f>
        <v>0</v>
      </c>
      <c r="H324" s="356">
        <f t="shared" ref="H324" ca="1" si="48">IF(OR(D324="MDU",D324="MDU-KD"),(IF($O$3="RAB NON MDU","PLN KD",G324*F324)),0)</f>
        <v>0</v>
      </c>
      <c r="I324" s="356">
        <f t="shared" ref="I324" ca="1" si="49">IF(D324="HDW",G324*F324,0)</f>
        <v>0</v>
      </c>
      <c r="J324" s="356">
        <f t="shared" ref="J324" ca="1" si="50">IF(D324="JASA",G324*F324,0)</f>
        <v>0</v>
      </c>
      <c r="K324" s="357">
        <f t="shared" ref="K324" ca="1" si="51">SUM(H324:J324)</f>
        <v>0</v>
      </c>
    </row>
    <row r="325" spans="2:11">
      <c r="B325" s="511" t="s">
        <v>1035</v>
      </c>
      <c r="C325" s="516" t="s">
        <v>1671</v>
      </c>
      <c r="D325" s="353" t="str">
        <f ca="1">IF(ISERROR(OFFSET('HARGA SATUAN'!$D$6,MATCH(RAB!C325,'HARGA SATUAN'!$C$7:$C$1492,0),0)),"",OFFSET('HARGA SATUAN'!$D$6,MATCH(RAB!C325,'HARGA SATUAN'!$C$7:$C$1492,0),0))</f>
        <v/>
      </c>
      <c r="E325" s="354" t="str">
        <f ca="1">IF(B325="+","Unit",IF(ISERROR(OFFSET('HARGA SATUAN'!$E$6,MATCH(RAB!C325,'HARGA SATUAN'!$C$7:$C$1492,0),0)),"",OFFSET('HARGA SATUAN'!$E$6,MATCH(RAB!C325,'HARGA SATUAN'!$C$7:$C$1492,0),0)))</f>
        <v>Unit</v>
      </c>
      <c r="F325" s="513">
        <v>1</v>
      </c>
      <c r="G325" s="355">
        <f ca="1">IF(ISERROR(OFFSET('HARGA SATUAN'!$I$6,MATCH(RAB!C325,'HARGA SATUAN'!$C$7:$C$1492,0),0)),0,OFFSET('HARGA SATUAN'!$I$6,MATCH(RAB!C325,'HARGA SATUAN'!$C$7:$C$1492,0),0))</f>
        <v>0</v>
      </c>
      <c r="H325" s="356">
        <f t="shared" ref="H325:H332" ca="1" si="52">IF(OR(D325="MDU",D325="MDU-KD"),(IF($O$3="RAB NON MDU","PLN KD",G325*F325)),0)</f>
        <v>0</v>
      </c>
      <c r="I325" s="356">
        <f t="shared" ref="I325:I332" ca="1" si="53">IF(D325="HDW",G325*F325,0)</f>
        <v>0</v>
      </c>
      <c r="J325" s="356">
        <f t="shared" ref="J325:J332" ca="1" si="54">IF(D325="JASA",G325*F325,0)</f>
        <v>0</v>
      </c>
      <c r="K325" s="357">
        <f t="shared" ref="K325:K332" ca="1" si="55">SUM(H325:J325)</f>
        <v>0</v>
      </c>
    </row>
    <row r="326" spans="2:11">
      <c r="B326" s="511">
        <v>1</v>
      </c>
      <c r="C326" s="516" t="s">
        <v>163</v>
      </c>
      <c r="D326" s="353" t="str">
        <f ca="1">IF(ISERROR(OFFSET('HARGA SATUAN'!$D$6,MATCH(RAB!C326,'HARGA SATUAN'!$C$7:$C$1492,0),0)),"",OFFSET('HARGA SATUAN'!$D$6,MATCH(RAB!C326,'HARGA SATUAN'!$C$7:$C$1492,0),0))</f>
        <v>HDW</v>
      </c>
      <c r="E326" s="354" t="str">
        <f ca="1">IF(B326="+","Unit",IF(ISERROR(OFFSET('HARGA SATUAN'!$E$6,MATCH(RAB!C326,'HARGA SATUAN'!$C$7:$C$1492,0),0)),"",OFFSET('HARGA SATUAN'!$E$6,MATCH(RAB!C326,'HARGA SATUAN'!$C$7:$C$1492,0),0)))</f>
        <v>Bh</v>
      </c>
      <c r="F326" s="513">
        <f>F325*4</f>
        <v>4</v>
      </c>
      <c r="G326" s="355">
        <f ca="1">IF(ISERROR(OFFSET('HARGA SATUAN'!$I$6,MATCH(RAB!C326,'HARGA SATUAN'!$C$7:$C$1492,0),0)),0,OFFSET('HARGA SATUAN'!$I$6,MATCH(RAB!C326,'HARGA SATUAN'!$C$7:$C$1492,0),0))</f>
        <v>7938</v>
      </c>
      <c r="H326" s="356">
        <f t="shared" ca="1" si="52"/>
        <v>0</v>
      </c>
      <c r="I326" s="356">
        <f t="shared" ca="1" si="53"/>
        <v>31752</v>
      </c>
      <c r="J326" s="356">
        <f t="shared" ca="1" si="54"/>
        <v>0</v>
      </c>
      <c r="K326" s="357">
        <f t="shared" ca="1" si="55"/>
        <v>31752</v>
      </c>
    </row>
    <row r="327" spans="2:11">
      <c r="B327" s="511">
        <v>2</v>
      </c>
      <c r="C327" s="516" t="s">
        <v>593</v>
      </c>
      <c r="D327" s="353" t="str">
        <f ca="1">IF(ISERROR(OFFSET('HARGA SATUAN'!$D$6,MATCH(RAB!C327,'HARGA SATUAN'!$C$7:$C$1492,0),0)),"",OFFSET('HARGA SATUAN'!$D$6,MATCH(RAB!C327,'HARGA SATUAN'!$C$7:$C$1492,0),0))</f>
        <v>HDW</v>
      </c>
      <c r="E327" s="354" t="str">
        <f ca="1">IF(B327="+","Unit",IF(ISERROR(OFFSET('HARGA SATUAN'!$E$6,MATCH(RAB!C327,'HARGA SATUAN'!$C$7:$C$1492,0),0)),"",OFFSET('HARGA SATUAN'!$E$6,MATCH(RAB!C327,'HARGA SATUAN'!$C$7:$C$1492,0),0)))</f>
        <v>Bh</v>
      </c>
      <c r="F327" s="513">
        <f>F325*1</f>
        <v>1</v>
      </c>
      <c r="G327" s="355">
        <f ca="1">IF(ISERROR(OFFSET('HARGA SATUAN'!$I$6,MATCH(RAB!C327,'HARGA SATUAN'!$C$7:$C$1492,0),0)),0,OFFSET('HARGA SATUAN'!$I$6,MATCH(RAB!C327,'HARGA SATUAN'!$C$7:$C$1492,0),0))</f>
        <v>380500</v>
      </c>
      <c r="H327" s="356">
        <f t="shared" ca="1" si="52"/>
        <v>0</v>
      </c>
      <c r="I327" s="356">
        <f t="shared" ca="1" si="53"/>
        <v>380500</v>
      </c>
      <c r="J327" s="356">
        <f t="shared" ca="1" si="54"/>
        <v>0</v>
      </c>
      <c r="K327" s="357">
        <f t="shared" ca="1" si="55"/>
        <v>380500</v>
      </c>
    </row>
    <row r="328" spans="2:11">
      <c r="B328" s="511">
        <v>3</v>
      </c>
      <c r="C328" s="516" t="s">
        <v>248</v>
      </c>
      <c r="D328" s="353" t="str">
        <f ca="1">IF(ISERROR(OFFSET('HARGA SATUAN'!$D$6,MATCH(RAB!C328,'HARGA SATUAN'!$C$7:$C$1492,0),0)),"",OFFSET('HARGA SATUAN'!$D$6,MATCH(RAB!C328,'HARGA SATUAN'!$C$7:$C$1492,0),0))</f>
        <v>HDW</v>
      </c>
      <c r="E328" s="354" t="str">
        <f ca="1">IF(B328="+","Unit",IF(ISERROR(OFFSET('HARGA SATUAN'!$E$6,MATCH(RAB!C328,'HARGA SATUAN'!$C$7:$C$1492,0),0)),"",OFFSET('HARGA SATUAN'!$E$6,MATCH(RAB!C328,'HARGA SATUAN'!$C$7:$C$1492,0),0)))</f>
        <v>Bh</v>
      </c>
      <c r="F328" s="513">
        <f>F325*2</f>
        <v>2</v>
      </c>
      <c r="G328" s="355">
        <f ca="1">IF(ISERROR(OFFSET('HARGA SATUAN'!$I$6,MATCH(RAB!C328,'HARGA SATUAN'!$C$7:$C$1492,0),0)),0,OFFSET('HARGA SATUAN'!$I$6,MATCH(RAB!C328,'HARGA SATUAN'!$C$7:$C$1492,0),0))</f>
        <v>60300</v>
      </c>
      <c r="H328" s="356">
        <f t="shared" ca="1" si="52"/>
        <v>0</v>
      </c>
      <c r="I328" s="356">
        <f t="shared" ca="1" si="53"/>
        <v>120600</v>
      </c>
      <c r="J328" s="356">
        <f t="shared" ca="1" si="54"/>
        <v>0</v>
      </c>
      <c r="K328" s="357">
        <f t="shared" ca="1" si="55"/>
        <v>120600</v>
      </c>
    </row>
    <row r="329" spans="2:11">
      <c r="B329" s="511">
        <v>4</v>
      </c>
      <c r="C329" s="512" t="s">
        <v>595</v>
      </c>
      <c r="D329" s="353" t="str">
        <f ca="1">IF(ISERROR(OFFSET('HARGA SATUAN'!$D$6,MATCH(RAB!C329,'HARGA SATUAN'!$C$7:$C$1492,0),0)),"",OFFSET('HARGA SATUAN'!$D$6,MATCH(RAB!C329,'HARGA SATUAN'!$C$7:$C$1492,0),0))</f>
        <v>HDW</v>
      </c>
      <c r="E329" s="354" t="str">
        <f ca="1">IF(B329="+","Unit",IF(ISERROR(OFFSET('HARGA SATUAN'!$E$6,MATCH(RAB!C329,'HARGA SATUAN'!$C$7:$C$1492,0),0)),"",OFFSET('HARGA SATUAN'!$E$6,MATCH(RAB!C329,'HARGA SATUAN'!$C$7:$C$1492,0),0)))</f>
        <v>Bh</v>
      </c>
      <c r="F329" s="489">
        <f>F325*1</f>
        <v>1</v>
      </c>
      <c r="G329" s="355">
        <f ca="1">IF(ISERROR(OFFSET('HARGA SATUAN'!$I$6,MATCH(RAB!C329,'HARGA SATUAN'!$C$7:$C$1492,0),0)),0,OFFSET('HARGA SATUAN'!$I$6,MATCH(RAB!C329,'HARGA SATUAN'!$C$7:$C$1492,0),0))</f>
        <v>78500</v>
      </c>
      <c r="H329" s="356">
        <f t="shared" ca="1" si="52"/>
        <v>0</v>
      </c>
      <c r="I329" s="356">
        <f t="shared" ca="1" si="53"/>
        <v>78500</v>
      </c>
      <c r="J329" s="356">
        <f t="shared" ca="1" si="54"/>
        <v>0</v>
      </c>
      <c r="K329" s="357">
        <f t="shared" ca="1" si="55"/>
        <v>78500</v>
      </c>
    </row>
    <row r="330" spans="2:11">
      <c r="B330" s="511">
        <v>5</v>
      </c>
      <c r="C330" s="512" t="s">
        <v>229</v>
      </c>
      <c r="D330" s="353" t="str">
        <f ca="1">IF(ISERROR(OFFSET('HARGA SATUAN'!$D$6,MATCH(RAB!C330,'HARGA SATUAN'!$C$7:$C$1492,0),0)),"",OFFSET('HARGA SATUAN'!$D$6,MATCH(RAB!C330,'HARGA SATUAN'!$C$7:$C$1492,0),0))</f>
        <v>HDW</v>
      </c>
      <c r="E330" s="354" t="str">
        <f ca="1">IF(B330="+","Unit",IF(ISERROR(OFFSET('HARGA SATUAN'!$E$6,MATCH(RAB!C330,'HARGA SATUAN'!$C$7:$C$1492,0),0)),"",OFFSET('HARGA SATUAN'!$E$6,MATCH(RAB!C330,'HARGA SATUAN'!$C$7:$C$1492,0),0)))</f>
        <v>Bh</v>
      </c>
      <c r="F330" s="489">
        <f>F325*1</f>
        <v>1</v>
      </c>
      <c r="G330" s="355">
        <f ca="1">IF(ISERROR(OFFSET('HARGA SATUAN'!$I$6,MATCH(RAB!C330,'HARGA SATUAN'!$C$7:$C$1492,0),0)),0,OFFSET('HARGA SATUAN'!$I$6,MATCH(RAB!C330,'HARGA SATUAN'!$C$7:$C$1492,0),0))</f>
        <v>4212</v>
      </c>
      <c r="H330" s="356">
        <f t="shared" ca="1" si="52"/>
        <v>0</v>
      </c>
      <c r="I330" s="356">
        <f t="shared" ca="1" si="53"/>
        <v>4212</v>
      </c>
      <c r="J330" s="356">
        <f t="shared" ca="1" si="54"/>
        <v>0</v>
      </c>
      <c r="K330" s="357">
        <f t="shared" ca="1" si="55"/>
        <v>4212</v>
      </c>
    </row>
    <row r="331" spans="2:11">
      <c r="B331" s="511">
        <v>6</v>
      </c>
      <c r="C331" s="512" t="s">
        <v>266</v>
      </c>
      <c r="D331" s="353" t="str">
        <f ca="1">IF(ISERROR(OFFSET('HARGA SATUAN'!$D$6,MATCH(RAB!C331,'HARGA SATUAN'!$C$7:$C$1492,0),0)),"",OFFSET('HARGA SATUAN'!$D$6,MATCH(RAB!C331,'HARGA SATUAN'!$C$7:$C$1492,0),0))</f>
        <v>HDW</v>
      </c>
      <c r="E331" s="354" t="str">
        <f ca="1">IF(B331="+","Unit",IF(ISERROR(OFFSET('HARGA SATUAN'!$E$6,MATCH(RAB!C331,'HARGA SATUAN'!$C$7:$C$1492,0),0)),"",OFFSET('HARGA SATUAN'!$E$6,MATCH(RAB!C331,'HARGA SATUAN'!$C$7:$C$1492,0),0)))</f>
        <v>Mtr</v>
      </c>
      <c r="F331" s="489">
        <f>F325*1</f>
        <v>1</v>
      </c>
      <c r="G331" s="355">
        <f ca="1">IF(ISERROR(OFFSET('HARGA SATUAN'!$I$6,MATCH(RAB!C331,'HARGA SATUAN'!$C$7:$C$1492,0),0)),0,OFFSET('HARGA SATUAN'!$I$6,MATCH(RAB!C331,'HARGA SATUAN'!$C$7:$C$1492,0),0))</f>
        <v>23310</v>
      </c>
      <c r="H331" s="356">
        <f t="shared" ca="1" si="52"/>
        <v>0</v>
      </c>
      <c r="I331" s="356">
        <f t="shared" ca="1" si="53"/>
        <v>23310</v>
      </c>
      <c r="J331" s="356">
        <f t="shared" ca="1" si="54"/>
        <v>0</v>
      </c>
      <c r="K331" s="357">
        <f t="shared" ca="1" si="55"/>
        <v>23310</v>
      </c>
    </row>
    <row r="332" spans="2:11">
      <c r="B332" s="511">
        <v>7</v>
      </c>
      <c r="C332" s="512" t="s">
        <v>35</v>
      </c>
      <c r="D332" s="353" t="str">
        <f ca="1">IF(ISERROR(OFFSET('HARGA SATUAN'!$D$6,MATCH(RAB!C332,'HARGA SATUAN'!$C$7:$C$1492,0),0)),"",OFFSET('HARGA SATUAN'!$D$6,MATCH(RAB!C332,'HARGA SATUAN'!$C$7:$C$1492,0),0))</f>
        <v>HDW</v>
      </c>
      <c r="E332" s="354" t="str">
        <f ca="1">IF(B332="+","Unit",IF(ISERROR(OFFSET('HARGA SATUAN'!$E$6,MATCH(RAB!C332,'HARGA SATUAN'!$C$7:$C$1492,0),0)),"",OFFSET('HARGA SATUAN'!$E$6,MATCH(RAB!C332,'HARGA SATUAN'!$C$7:$C$1492,0),0)))</f>
        <v>Bh</v>
      </c>
      <c r="F332" s="489">
        <f>F325*1</f>
        <v>1</v>
      </c>
      <c r="G332" s="355">
        <f ca="1">IF(ISERROR(OFFSET('HARGA SATUAN'!$I$6,MATCH(RAB!C332,'HARGA SATUAN'!$C$7:$C$1492,0),0)),0,OFFSET('HARGA SATUAN'!$I$6,MATCH(RAB!C332,'HARGA SATUAN'!$C$7:$C$1492,0),0))</f>
        <v>2300</v>
      </c>
      <c r="H332" s="356">
        <f t="shared" ca="1" si="52"/>
        <v>0</v>
      </c>
      <c r="I332" s="356">
        <f t="shared" ca="1" si="53"/>
        <v>2300</v>
      </c>
      <c r="J332" s="356">
        <f t="shared" ca="1" si="54"/>
        <v>0</v>
      </c>
      <c r="K332" s="357">
        <f t="shared" ca="1" si="55"/>
        <v>2300</v>
      </c>
    </row>
    <row r="333" spans="2:11">
      <c r="B333" s="491"/>
      <c r="C333" s="493"/>
      <c r="D333" s="353" t="str">
        <f ca="1">IF(ISERROR(OFFSET('HARGA SATUAN'!$D$6,MATCH(RAB!C333,'HARGA SATUAN'!$C$7:$C$1492,0),0)),"",OFFSET('HARGA SATUAN'!$D$6,MATCH(RAB!C333,'HARGA SATUAN'!$C$7:$C$1492,0),0))</f>
        <v/>
      </c>
      <c r="E333" s="354" t="str">
        <f ca="1">IF(B333="+","Unit",IF(ISERROR(OFFSET('HARGA SATUAN'!$E$6,MATCH(RAB!C333,'HARGA SATUAN'!$C$7:$C$1492,0),0)),"",OFFSET('HARGA SATUAN'!$E$6,MATCH(RAB!C333,'HARGA SATUAN'!$C$7:$C$1492,0),0)))</f>
        <v/>
      </c>
      <c r="F333" s="494"/>
      <c r="G333" s="355">
        <f ca="1">IF(ISERROR(OFFSET('HARGA SATUAN'!$I$6,MATCH(RAB!C333,'HARGA SATUAN'!$C$7:$C$1492,0),0)),0,OFFSET('HARGA SATUAN'!$I$6,MATCH(RAB!C333,'HARGA SATUAN'!$C$7:$C$1492,0),0))</f>
        <v>0</v>
      </c>
      <c r="H333" s="356">
        <f t="shared" ref="H333:H344" ca="1" si="56">IF(OR(D333="MDU",D333="MDU-KD"),(IF($O$3="RAB NON MDU","PLN KD",G333*F333)),0)</f>
        <v>0</v>
      </c>
      <c r="I333" s="356">
        <f t="shared" ref="I333:I344" ca="1" si="57">IF(D333="HDW",G333*F333,0)</f>
        <v>0</v>
      </c>
      <c r="J333" s="356">
        <f t="shared" ref="J333:J344" ca="1" si="58">IF(D333="JASA",G333*F333,0)</f>
        <v>0</v>
      </c>
      <c r="K333" s="357">
        <f t="shared" ref="K333:K344" ca="1" si="59">SUM(H333:J333)</f>
        <v>0</v>
      </c>
    </row>
    <row r="334" spans="2:11">
      <c r="B334" s="481" t="s">
        <v>526</v>
      </c>
      <c r="C334" s="482" t="s">
        <v>1672</v>
      </c>
      <c r="D334" s="353" t="str">
        <f ca="1">IF(ISERROR(OFFSET('HARGA SATUAN'!$D$6,MATCH(RAB!C334,'HARGA SATUAN'!$C$7:$C$1492,0),0)),"",OFFSET('HARGA SATUAN'!$D$6,MATCH(RAB!C334,'HARGA SATUAN'!$C$7:$C$1492,0),0))</f>
        <v/>
      </c>
      <c r="E334" s="354" t="str">
        <f ca="1">IF(B334="+","Unit",IF(ISERROR(OFFSET('HARGA SATUAN'!$E$6,MATCH(RAB!C334,'HARGA SATUAN'!$C$7:$C$1492,0),0)),"",OFFSET('HARGA SATUAN'!$E$6,MATCH(RAB!C334,'HARGA SATUAN'!$C$7:$C$1492,0),0)))</f>
        <v/>
      </c>
      <c r="F334" s="361"/>
      <c r="G334" s="355">
        <f ca="1">IF(ISERROR(OFFSET('HARGA SATUAN'!$I$6,MATCH(RAB!C334,'HARGA SATUAN'!$C$7:$C$1492,0),0)),0,OFFSET('HARGA SATUAN'!$I$6,MATCH(RAB!C334,'HARGA SATUAN'!$C$7:$C$1492,0),0))</f>
        <v>0</v>
      </c>
      <c r="H334" s="356">
        <f t="shared" ca="1" si="56"/>
        <v>0</v>
      </c>
      <c r="I334" s="356">
        <f t="shared" ca="1" si="57"/>
        <v>0</v>
      </c>
      <c r="J334" s="356">
        <f t="shared" ca="1" si="58"/>
        <v>0</v>
      </c>
      <c r="K334" s="357">
        <f t="shared" ca="1" si="59"/>
        <v>0</v>
      </c>
    </row>
    <row r="335" spans="2:11">
      <c r="B335" s="364"/>
      <c r="C335" s="486"/>
      <c r="D335" s="353" t="str">
        <f ca="1">IF(ISERROR(OFFSET('HARGA SATUAN'!$D$6,MATCH(RAB!C335,'HARGA SATUAN'!$C$7:$C$1492,0),0)),"",OFFSET('HARGA SATUAN'!$D$6,MATCH(RAB!C335,'HARGA SATUAN'!$C$7:$C$1492,0),0))</f>
        <v/>
      </c>
      <c r="E335" s="354" t="str">
        <f ca="1">IF(B335="+","Unit",IF(ISERROR(OFFSET('HARGA SATUAN'!$E$6,MATCH(RAB!C335,'HARGA SATUAN'!$C$7:$C$1492,0),0)),"",OFFSET('HARGA SATUAN'!$E$6,MATCH(RAB!C335,'HARGA SATUAN'!$C$7:$C$1492,0),0)))</f>
        <v/>
      </c>
      <c r="F335" s="361"/>
      <c r="G335" s="355">
        <f ca="1">IF(ISERROR(OFFSET('HARGA SATUAN'!$I$6,MATCH(RAB!C335,'HARGA SATUAN'!$C$7:$C$1492,0),0)),0,OFFSET('HARGA SATUAN'!$I$6,MATCH(RAB!C335,'HARGA SATUAN'!$C$7:$C$1492,0),0))</f>
        <v>0</v>
      </c>
      <c r="H335" s="356">
        <f t="shared" ca="1" si="56"/>
        <v>0</v>
      </c>
      <c r="I335" s="356">
        <f t="shared" ca="1" si="57"/>
        <v>0</v>
      </c>
      <c r="J335" s="356">
        <f t="shared" ca="1" si="58"/>
        <v>0</v>
      </c>
      <c r="K335" s="357">
        <f t="shared" ca="1" si="59"/>
        <v>0</v>
      </c>
    </row>
    <row r="336" spans="2:11">
      <c r="B336" s="364">
        <v>1</v>
      </c>
      <c r="C336" s="197" t="s">
        <v>1098</v>
      </c>
      <c r="D336" s="353" t="str">
        <f ca="1">IF(ISERROR(OFFSET('HARGA SATUAN'!$D$6,MATCH(RAB!C336,'HARGA SATUAN'!$C$7:$C$1492,0),0)),"",OFFSET('HARGA SATUAN'!$D$6,MATCH(RAB!C336,'HARGA SATUAN'!$C$7:$C$1492,0),0))</f>
        <v>JASA</v>
      </c>
      <c r="E336" s="354" t="str">
        <f ca="1">IF(B336="+","Unit",IF(ISERROR(OFFSET('HARGA SATUAN'!$E$6,MATCH(RAB!C336,'HARGA SATUAN'!$C$7:$C$1492,0),0)),"",OFFSET('HARGA SATUAN'!$E$6,MATCH(RAB!C336,'HARGA SATUAN'!$C$7:$C$1492,0),0)))</f>
        <v>Pohon</v>
      </c>
      <c r="F336" s="361">
        <v>15</v>
      </c>
      <c r="G336" s="355">
        <f ca="1">IF(ISERROR(OFFSET('HARGA SATUAN'!$I$6,MATCH(RAB!C336,'HARGA SATUAN'!$C$7:$C$1492,0),0)),0,OFFSET('HARGA SATUAN'!$I$6,MATCH(RAB!C336,'HARGA SATUAN'!$C$7:$C$1492,0),0))</f>
        <v>57250</v>
      </c>
      <c r="H336" s="356">
        <f t="shared" ca="1" si="56"/>
        <v>0</v>
      </c>
      <c r="I336" s="356">
        <f t="shared" ca="1" si="57"/>
        <v>0</v>
      </c>
      <c r="J336" s="356">
        <f t="shared" ca="1" si="58"/>
        <v>858750</v>
      </c>
      <c r="K336" s="357">
        <f t="shared" ca="1" si="59"/>
        <v>858750</v>
      </c>
    </row>
    <row r="337" spans="2:13">
      <c r="B337" s="364">
        <v>2</v>
      </c>
      <c r="C337" s="109" t="s">
        <v>828</v>
      </c>
      <c r="D337" s="353" t="str">
        <f ca="1">IF(ISERROR(OFFSET('HARGA SATUAN'!$D$6,MATCH(RAB!C337,'HARGA SATUAN'!$C$7:$C$1492,0),0)),"",OFFSET('HARGA SATUAN'!$D$6,MATCH(RAB!C337,'HARGA SATUAN'!$C$7:$C$1492,0),0))</f>
        <v>JASA</v>
      </c>
      <c r="E337" s="354" t="str">
        <f ca="1">IF(B337="+","Unit",IF(ISERROR(OFFSET('HARGA SATUAN'!$E$6,MATCH(RAB!C337,'HARGA SATUAN'!$C$7:$C$1492,0),0)),"",OFFSET('HARGA SATUAN'!$E$6,MATCH(RAB!C337,'HARGA SATUAN'!$C$7:$C$1492,0),0)))</f>
        <v>Unit</v>
      </c>
      <c r="F337" s="361">
        <v>28</v>
      </c>
      <c r="G337" s="355">
        <f ca="1">IF(ISERROR(OFFSET('HARGA SATUAN'!$I$6,MATCH(RAB!C337,'HARGA SATUAN'!$C$7:$C$1492,0),0)),0,OFFSET('HARGA SATUAN'!$I$6,MATCH(RAB!C337,'HARGA SATUAN'!$C$7:$C$1492,0),0))</f>
        <v>16200</v>
      </c>
      <c r="H337" s="356">
        <f t="shared" ca="1" si="56"/>
        <v>0</v>
      </c>
      <c r="I337" s="356">
        <f t="shared" ca="1" si="57"/>
        <v>0</v>
      </c>
      <c r="J337" s="356">
        <f t="shared" ca="1" si="58"/>
        <v>453600</v>
      </c>
      <c r="K337" s="357">
        <f t="shared" ca="1" si="59"/>
        <v>453600</v>
      </c>
    </row>
    <row r="338" spans="2:13">
      <c r="B338" s="364">
        <v>3</v>
      </c>
      <c r="C338" s="109" t="s">
        <v>844</v>
      </c>
      <c r="D338" s="353" t="str">
        <f ca="1">IF(ISERROR(OFFSET('HARGA SATUAN'!$D$6,MATCH(RAB!C338,'HARGA SATUAN'!$C$7:$C$1492,0),0)),"",OFFSET('HARGA SATUAN'!$D$6,MATCH(RAB!C338,'HARGA SATUAN'!$C$7:$C$1492,0),0))</f>
        <v>JASA</v>
      </c>
      <c r="E338" s="354" t="str">
        <f ca="1">IF(B338="+","Unit",IF(ISERROR(OFFSET('HARGA SATUAN'!$E$6,MATCH(RAB!C338,'HARGA SATUAN'!$C$7:$C$1492,0),0)),"",OFFSET('HARGA SATUAN'!$E$6,MATCH(RAB!C338,'HARGA SATUAN'!$C$7:$C$1492,0),0)))</f>
        <v>Unit</v>
      </c>
      <c r="F338" s="361">
        <v>8</v>
      </c>
      <c r="G338" s="355">
        <f ca="1">IF(ISERROR(OFFSET('HARGA SATUAN'!$I$6,MATCH(RAB!C338,'HARGA SATUAN'!$C$7:$C$1492,0),0)),0,OFFSET('HARGA SATUAN'!$I$6,MATCH(RAB!C338,'HARGA SATUAN'!$C$7:$C$1492,0),0))</f>
        <v>21720</v>
      </c>
      <c r="H338" s="356">
        <f t="shared" ca="1" si="56"/>
        <v>0</v>
      </c>
      <c r="I338" s="356">
        <f t="shared" ca="1" si="57"/>
        <v>0</v>
      </c>
      <c r="J338" s="356">
        <f t="shared" ca="1" si="58"/>
        <v>173760</v>
      </c>
      <c r="K338" s="357">
        <f t="shared" ca="1" si="59"/>
        <v>173760</v>
      </c>
    </row>
    <row r="339" spans="2:13">
      <c r="B339" s="364">
        <v>4</v>
      </c>
      <c r="C339" s="109" t="s">
        <v>434</v>
      </c>
      <c r="D339" s="353" t="str">
        <f ca="1">IF(ISERROR(OFFSET('HARGA SATUAN'!$D$6,MATCH(RAB!C339,'HARGA SATUAN'!$C$7:$C$1492,0),0)),"",OFFSET('HARGA SATUAN'!$D$6,MATCH(RAB!C339,'HARGA SATUAN'!$C$7:$C$1492,0),0))</f>
        <v>JASA</v>
      </c>
      <c r="E339" s="354" t="str">
        <f ca="1">IF(B339="+","Unit",IF(ISERROR(OFFSET('HARGA SATUAN'!$E$6,MATCH(RAB!C339,'HARGA SATUAN'!$C$7:$C$1492,0),0)),"",OFFSET('HARGA SATUAN'!$E$6,MATCH(RAB!C339,'HARGA SATUAN'!$C$7:$C$1492,0),0)))</f>
        <v>Btg</v>
      </c>
      <c r="F339" s="361">
        <v>5</v>
      </c>
      <c r="G339" s="355">
        <f ca="1">IF(ISERROR(OFFSET('HARGA SATUAN'!$I$6,MATCH(RAB!C339,'HARGA SATUAN'!$C$7:$C$1492,0),0)),0,OFFSET('HARGA SATUAN'!$I$6,MATCH(RAB!C339,'HARGA SATUAN'!$C$7:$C$1492,0),0))</f>
        <v>438273.42456634069</v>
      </c>
      <c r="H339" s="356">
        <f t="shared" ca="1" si="56"/>
        <v>0</v>
      </c>
      <c r="I339" s="356">
        <f t="shared" ca="1" si="57"/>
        <v>0</v>
      </c>
      <c r="J339" s="356">
        <f t="shared" ca="1" si="58"/>
        <v>2191367.1228317036</v>
      </c>
      <c r="K339" s="357">
        <f t="shared" ca="1" si="59"/>
        <v>2191367.1228317036</v>
      </c>
    </row>
    <row r="340" spans="2:13">
      <c r="B340" s="364">
        <v>5</v>
      </c>
      <c r="C340" s="109" t="s">
        <v>428</v>
      </c>
      <c r="D340" s="353" t="str">
        <f ca="1">IF(ISERROR(OFFSET('HARGA SATUAN'!$D$6,MATCH(RAB!C340,'HARGA SATUAN'!$C$7:$C$1492,0),0)),"",OFFSET('HARGA SATUAN'!$D$6,MATCH(RAB!C340,'HARGA SATUAN'!$C$7:$C$1492,0),0))</f>
        <v>JASA</v>
      </c>
      <c r="E340" s="354" t="str">
        <f ca="1">IF(B340="+","Unit",IF(ISERROR(OFFSET('HARGA SATUAN'!$E$6,MATCH(RAB!C340,'HARGA SATUAN'!$C$7:$C$1492,0),0)),"",OFFSET('HARGA SATUAN'!$E$6,MATCH(RAB!C340,'HARGA SATUAN'!$C$7:$C$1492,0),0)))</f>
        <v>Btg</v>
      </c>
      <c r="F340" s="361">
        <v>1</v>
      </c>
      <c r="G340" s="355">
        <f ca="1">IF(ISERROR(OFFSET('HARGA SATUAN'!$I$6,MATCH(RAB!C340,'HARGA SATUAN'!$C$7:$C$1492,0),0)),0,OFFSET('HARGA SATUAN'!$I$6,MATCH(RAB!C340,'HARGA SATUAN'!$C$7:$C$1492,0),0))</f>
        <v>220260.49029487889</v>
      </c>
      <c r="H340" s="356">
        <f t="shared" ca="1" si="56"/>
        <v>0</v>
      </c>
      <c r="I340" s="356">
        <f t="shared" ca="1" si="57"/>
        <v>0</v>
      </c>
      <c r="J340" s="356">
        <f t="shared" ca="1" si="58"/>
        <v>220260.49029487889</v>
      </c>
      <c r="K340" s="357">
        <f t="shared" ca="1" si="59"/>
        <v>220260.49029487889</v>
      </c>
    </row>
    <row r="341" spans="2:13">
      <c r="B341" s="364">
        <v>6</v>
      </c>
      <c r="C341" s="109" t="s">
        <v>925</v>
      </c>
      <c r="D341" s="353" t="str">
        <f ca="1">IF(ISERROR(OFFSET('HARGA SATUAN'!$D$6,MATCH(RAB!C341,'HARGA SATUAN'!$C$7:$C$1492,0),0)),"",OFFSET('HARGA SATUAN'!$D$6,MATCH(RAB!C341,'HARGA SATUAN'!$C$7:$C$1492,0),0))</f>
        <v>JASA</v>
      </c>
      <c r="E341" s="354" t="str">
        <f ca="1">IF(B341="+","Unit",IF(ISERROR(OFFSET('HARGA SATUAN'!$E$6,MATCH(RAB!C341,'HARGA SATUAN'!$C$7:$C$1492,0),0)),"",OFFSET('HARGA SATUAN'!$E$6,MATCH(RAB!C341,'HARGA SATUAN'!$C$7:$C$1492,0),0)))</f>
        <v>Unit</v>
      </c>
      <c r="F341" s="361">
        <v>3</v>
      </c>
      <c r="G341" s="355">
        <f ca="1">IF(ISERROR(OFFSET('HARGA SATUAN'!$I$6,MATCH(RAB!C341,'HARGA SATUAN'!$C$7:$C$1492,0),0)),0,OFFSET('HARGA SATUAN'!$I$6,MATCH(RAB!C341,'HARGA SATUAN'!$C$7:$C$1492,0),0))</f>
        <v>35040</v>
      </c>
      <c r="H341" s="356">
        <f t="shared" ca="1" si="56"/>
        <v>0</v>
      </c>
      <c r="I341" s="356">
        <f t="shared" ca="1" si="57"/>
        <v>0</v>
      </c>
      <c r="J341" s="356">
        <f t="shared" ca="1" si="58"/>
        <v>105120</v>
      </c>
      <c r="K341" s="357">
        <f t="shared" ca="1" si="59"/>
        <v>105120</v>
      </c>
    </row>
    <row r="342" spans="2:13">
      <c r="B342" s="364">
        <v>7</v>
      </c>
      <c r="C342" s="109" t="s">
        <v>807</v>
      </c>
      <c r="D342" s="353" t="str">
        <f ca="1">IF(ISERROR(OFFSET('HARGA SATUAN'!$D$6,MATCH(RAB!C342,'HARGA SATUAN'!$C$7:$C$1492,0),0)),"",OFFSET('HARGA SATUAN'!$D$6,MATCH(RAB!C342,'HARGA SATUAN'!$C$7:$C$1492,0),0))</f>
        <v>JASA</v>
      </c>
      <c r="E342" s="354" t="str">
        <f ca="1">IF(B342="+","Unit",IF(ISERROR(OFFSET('HARGA SATUAN'!$E$6,MATCH(RAB!C342,'HARGA SATUAN'!$C$7:$C$1492,0),0)),"",OFFSET('HARGA SATUAN'!$E$6,MATCH(RAB!C342,'HARGA SATUAN'!$C$7:$C$1492,0),0)))</f>
        <v>Unit</v>
      </c>
      <c r="F342" s="361">
        <v>9</v>
      </c>
      <c r="G342" s="355">
        <f ca="1">IF(ISERROR(OFFSET('HARGA SATUAN'!$I$6,MATCH(RAB!C342,'HARGA SATUAN'!$C$7:$C$1492,0),0)),0,OFFSET('HARGA SATUAN'!$I$6,MATCH(RAB!C342,'HARGA SATUAN'!$C$7:$C$1492,0),0))</f>
        <v>15060</v>
      </c>
      <c r="H342" s="356">
        <f t="shared" ca="1" si="56"/>
        <v>0</v>
      </c>
      <c r="I342" s="356">
        <f t="shared" ca="1" si="57"/>
        <v>0</v>
      </c>
      <c r="J342" s="356">
        <f t="shared" ca="1" si="58"/>
        <v>135540</v>
      </c>
      <c r="K342" s="357">
        <f t="shared" ca="1" si="59"/>
        <v>135540</v>
      </c>
    </row>
    <row r="343" spans="2:13">
      <c r="B343" s="364">
        <v>8</v>
      </c>
      <c r="C343" s="109" t="s">
        <v>808</v>
      </c>
      <c r="D343" s="353" t="str">
        <f ca="1">IF(ISERROR(OFFSET('HARGA SATUAN'!$D$6,MATCH(RAB!C343,'HARGA SATUAN'!$C$7:$C$1492,0),0)),"",OFFSET('HARGA SATUAN'!$D$6,MATCH(RAB!C343,'HARGA SATUAN'!$C$7:$C$1492,0),0))</f>
        <v>JASA</v>
      </c>
      <c r="E343" s="354" t="str">
        <f ca="1">IF(B343="+","Unit",IF(ISERROR(OFFSET('HARGA SATUAN'!$E$6,MATCH(RAB!C343,'HARGA SATUAN'!$C$7:$C$1492,0),0)),"",OFFSET('HARGA SATUAN'!$E$6,MATCH(RAB!C343,'HARGA SATUAN'!$C$7:$C$1492,0),0)))</f>
        <v>Unit</v>
      </c>
      <c r="F343" s="361">
        <v>6</v>
      </c>
      <c r="G343" s="355">
        <f ca="1">IF(ISERROR(OFFSET('HARGA SATUAN'!$I$6,MATCH(RAB!C343,'HARGA SATUAN'!$C$7:$C$1492,0),0)),0,OFFSET('HARGA SATUAN'!$I$6,MATCH(RAB!C343,'HARGA SATUAN'!$C$7:$C$1492,0),0))</f>
        <v>17820</v>
      </c>
      <c r="H343" s="356">
        <f t="shared" ca="1" si="56"/>
        <v>0</v>
      </c>
      <c r="I343" s="356">
        <f t="shared" ca="1" si="57"/>
        <v>0</v>
      </c>
      <c r="J343" s="356">
        <f t="shared" ca="1" si="58"/>
        <v>106920</v>
      </c>
      <c r="K343" s="357">
        <f t="shared" ca="1" si="59"/>
        <v>106920</v>
      </c>
    </row>
    <row r="344" spans="2:13">
      <c r="B344" s="364">
        <v>9</v>
      </c>
      <c r="C344" s="109" t="s">
        <v>755</v>
      </c>
      <c r="D344" s="353" t="str">
        <f ca="1">IF(ISERROR(OFFSET('HARGA SATUAN'!$D$6,MATCH(RAB!C344,'HARGA SATUAN'!$C$7:$C$1492,0),0)),"",OFFSET('HARGA SATUAN'!$D$6,MATCH(RAB!C344,'HARGA SATUAN'!$C$7:$C$1492,0),0))</f>
        <v>JASA</v>
      </c>
      <c r="E344" s="354" t="str">
        <f ca="1">IF(B344="+","Unit",IF(ISERROR(OFFSET('HARGA SATUAN'!$E$6,MATCH(RAB!C344,'HARGA SATUAN'!$C$7:$C$1492,0),0)),"",OFFSET('HARGA SATUAN'!$E$6,MATCH(RAB!C344,'HARGA SATUAN'!$C$7:$C$1492,0),0)))</f>
        <v>Unit</v>
      </c>
      <c r="F344" s="361">
        <v>1</v>
      </c>
      <c r="G344" s="355">
        <f ca="1">IF(ISERROR(OFFSET('HARGA SATUAN'!$I$6,MATCH(RAB!C344,'HARGA SATUAN'!$C$7:$C$1492,0),0)),0,OFFSET('HARGA SATUAN'!$I$6,MATCH(RAB!C344,'HARGA SATUAN'!$C$7:$C$1492,0),0))</f>
        <v>69000</v>
      </c>
      <c r="H344" s="356">
        <f t="shared" ca="1" si="56"/>
        <v>0</v>
      </c>
      <c r="I344" s="356">
        <f t="shared" ca="1" si="57"/>
        <v>0</v>
      </c>
      <c r="J344" s="356">
        <f t="shared" ca="1" si="58"/>
        <v>69000</v>
      </c>
      <c r="K344" s="357">
        <f t="shared" ca="1" si="59"/>
        <v>69000</v>
      </c>
    </row>
    <row r="345" spans="2:13">
      <c r="B345" s="364"/>
      <c r="C345" s="486"/>
      <c r="D345" s="353" t="str">
        <f ca="1">IF(ISERROR(OFFSET('HARGA SATUAN'!$D$6,MATCH(RAB!C345,'HARGA SATUAN'!$C$7:$C$1492,0),0)),"",OFFSET('HARGA SATUAN'!$D$6,MATCH(RAB!C345,'HARGA SATUAN'!$C$7:$C$1492,0),0))</f>
        <v/>
      </c>
      <c r="E345" s="354" t="str">
        <f ca="1">IF(B345="+","Unit",IF(ISERROR(OFFSET('HARGA SATUAN'!$E$6,MATCH(RAB!C345,'HARGA SATUAN'!$C$7:$C$1492,0),0)),"",OFFSET('HARGA SATUAN'!$E$6,MATCH(RAB!C345,'HARGA SATUAN'!$C$7:$C$1492,0),0)))</f>
        <v/>
      </c>
      <c r="F345" s="361"/>
      <c r="G345" s="355">
        <f ca="1">IF(ISERROR(OFFSET('HARGA SATUAN'!$I$6,MATCH(RAB!C345,'HARGA SATUAN'!$C$7:$C$1492,0),0)),0,OFFSET('HARGA SATUAN'!$I$6,MATCH(RAB!C345,'HARGA SATUAN'!$C$7:$C$1492,0),0))</f>
        <v>0</v>
      </c>
      <c r="H345" s="356">
        <f t="shared" ref="H345:H346" ca="1" si="60">IF(OR(D345="MDU",D345="MDU-KD"),(IF($O$3="RAB NON MDU","PLN KD",G345*F345)),0)</f>
        <v>0</v>
      </c>
      <c r="I345" s="356">
        <f t="shared" ref="I345:I346" ca="1" si="61">IF(D345="HDW",G345*F345,0)</f>
        <v>0</v>
      </c>
      <c r="J345" s="356">
        <f t="shared" ref="J345:J346" ca="1" si="62">IF(D345="JASA",G345*F345,0)</f>
        <v>0</v>
      </c>
      <c r="K345" s="357">
        <f t="shared" ref="K345:K346" ca="1" si="63">SUM(H345:J345)</f>
        <v>0</v>
      </c>
    </row>
    <row r="346" spans="2:13">
      <c r="B346" s="365"/>
      <c r="C346" s="366" t="s">
        <v>475</v>
      </c>
      <c r="D346" s="353" t="str">
        <f ca="1">IF(ISERROR(OFFSET('HARGA SATUAN'!$D$6,MATCH(RAB!C346,'HARGA SATUAN'!$C$7:$C$1492,0),0)),"",OFFSET('HARGA SATUAN'!$D$6,MATCH(RAB!C346,'HARGA SATUAN'!$C$7:$C$1492,0),0))</f>
        <v/>
      </c>
      <c r="E346" s="354" t="str">
        <f ca="1">IF(B346="+","Unit",IF(ISERROR(OFFSET('HARGA SATUAN'!$E$6,MATCH(RAB!C346,'HARGA SATUAN'!$C$7:$C$1492,0),0)),"",OFFSET('HARGA SATUAN'!$E$6,MATCH(RAB!C346,'HARGA SATUAN'!$C$7:$C$1492,0),0)))</f>
        <v/>
      </c>
      <c r="F346" s="361"/>
      <c r="G346" s="355">
        <f ca="1">IF(ISERROR(OFFSET('HARGA SATUAN'!$I$6,MATCH(RAB!C346,'HARGA SATUAN'!$C$7:$C$1492,0),0)),0,OFFSET('HARGA SATUAN'!$I$6,MATCH(RAB!C346,'HARGA SATUAN'!$C$7:$C$1492,0),0))</f>
        <v>0</v>
      </c>
      <c r="H346" s="356">
        <f t="shared" ca="1" si="60"/>
        <v>0</v>
      </c>
      <c r="I346" s="356">
        <f t="shared" ca="1" si="61"/>
        <v>0</v>
      </c>
      <c r="J346" s="356">
        <f t="shared" ca="1" si="62"/>
        <v>0</v>
      </c>
      <c r="K346" s="357">
        <f t="shared" ca="1" si="63"/>
        <v>0</v>
      </c>
    </row>
    <row r="347" spans="2:13">
      <c r="B347" s="368">
        <v>1</v>
      </c>
      <c r="C347" s="369" t="s">
        <v>1091</v>
      </c>
      <c r="D347" s="370" t="str">
        <f ca="1">IF(ISERROR(OFFSET('HARGA SATUAN'!$D$6,MATCH(RAB!C347,'HARGA SATUAN'!$C$7:$C$1492,0),0)),"",OFFSET('HARGA SATUAN'!$D$6,MATCH(RAB!C347,'HARGA SATUAN'!$C$7:$C$1492,0),0))</f>
        <v>JASA</v>
      </c>
      <c r="E347" s="371" t="str">
        <f ca="1">IF(ISERROR(OFFSET('HARGA SATUAN'!$E$6,MATCH(RAB!C347,'HARGA SATUAN'!$C$7:$C$1492,0),0)),"",OFFSET('HARGA SATUAN'!$E$6,MATCH(RAB!C347,'HARGA SATUAN'!$C$7:$C$1492,0),0))</f>
        <v>Lot</v>
      </c>
      <c r="F347" s="372">
        <v>1</v>
      </c>
      <c r="G347" s="373">
        <f ca="1">IF(ISERROR(OFFSET('HARGA SATUAN'!$I$6,MATCH(RAB!C347,'HARGA SATUAN'!$C$7:$C$1492,0),0)),0,OFFSET('HARGA SATUAN'!$I$6,MATCH(RAB!C347,'HARGA SATUAN'!$C$7:$C$1492,0),0))</f>
        <v>2.5000000000000001E-2</v>
      </c>
      <c r="H347" s="374">
        <f ca="1">(SUM(H14:H346))*2.5%</f>
        <v>7171251.25</v>
      </c>
      <c r="I347" s="374">
        <f ca="1">(SUM(I14:I346))*2.5%</f>
        <v>7336838.3100000015</v>
      </c>
      <c r="J347" s="374">
        <f ca="1">(SUM(J14:J346))*2.5%</f>
        <v>1022561.4403281646</v>
      </c>
      <c r="K347" s="374">
        <f ca="1">(SUM(K14:K346))*2.5%</f>
        <v>15530651.000328168</v>
      </c>
    </row>
    <row r="348" spans="2:13">
      <c r="B348" s="375"/>
      <c r="C348" s="376"/>
      <c r="D348" s="353" t="str">
        <f ca="1">IF(ISERROR(OFFSET('HARGA SATUAN'!$D$6,MATCH(RAB!C348,'HARGA SATUAN'!$C$7:$C$1492,0),0)),"",OFFSET('HARGA SATUAN'!$D$6,MATCH(RAB!C348,'HARGA SATUAN'!$C$7:$C$1492,0),0))</f>
        <v/>
      </c>
      <c r="E348" s="354" t="str">
        <f ca="1">IF(ISERROR(OFFSET('HARGA SATUAN'!$E$6,MATCH(RAB!C348,'HARGA SATUAN'!$C$7:$C$1492,0),0)),"",OFFSET('HARGA SATUAN'!$E$6,MATCH(RAB!C348,'HARGA SATUAN'!$C$7:$C$1492,0),0))</f>
        <v/>
      </c>
      <c r="F348" s="367"/>
      <c r="G348" s="355" t="str">
        <f ca="1">IF(ISERROR(OFFSET('HARGA SATUAN'!$I$6,MATCH(RAB!C348,'HARGA SATUAN'!$C$7:$C$1492,0),0)),"",OFFSET('HARGA SATUAN'!$I$6,MATCH(RAB!C348,'HARGA SATUAN'!$C$7:$C$1492,0),0))</f>
        <v/>
      </c>
      <c r="H348" s="356">
        <f ca="1">IF(OR(D348="MDU",D348="MDU-KD"),IF(G348="PLN",0,G348*F348),0)</f>
        <v>0</v>
      </c>
      <c r="I348" s="356">
        <f ca="1">IF(D348="HDW",IF(G348="PLN",0,G348*F348),0)</f>
        <v>0</v>
      </c>
      <c r="J348" s="356">
        <f ca="1">IF(D348="JASA",IF(G348="PLN",0,G348*F348),0)</f>
        <v>0</v>
      </c>
      <c r="K348" s="357">
        <f ca="1">SUM(H348:J348)</f>
        <v>0</v>
      </c>
    </row>
    <row r="349" spans="2:13" ht="15.75" thickBot="1">
      <c r="B349" s="377"/>
      <c r="C349" s="378"/>
      <c r="D349" s="379"/>
      <c r="E349" s="380"/>
      <c r="F349" s="380"/>
      <c r="G349" s="380"/>
      <c r="H349" s="381"/>
      <c r="I349" s="381"/>
      <c r="J349" s="381"/>
      <c r="K349" s="382"/>
    </row>
    <row r="350" spans="2:13">
      <c r="B350" s="383"/>
      <c r="C350" s="617" t="s">
        <v>1008</v>
      </c>
      <c r="D350" s="617"/>
      <c r="E350" s="617"/>
      <c r="F350" s="617"/>
      <c r="G350" s="384" t="s">
        <v>9</v>
      </c>
      <c r="H350" s="385">
        <f ca="1">SUM(H14:H348)</f>
        <v>294021301.25</v>
      </c>
      <c r="I350" s="385">
        <f ca="1">SUM(I14:I348)</f>
        <v>300810370.71000004</v>
      </c>
      <c r="J350" s="385">
        <f ca="1">SUM(J14:J348)</f>
        <v>41925019.053454749</v>
      </c>
      <c r="K350" s="385">
        <f ca="1">SUM(K14:K348)</f>
        <v>636756691.01345491</v>
      </c>
    </row>
    <row r="351" spans="2:13">
      <c r="B351" s="387"/>
      <c r="C351" s="633" t="s">
        <v>1457</v>
      </c>
      <c r="D351" s="633"/>
      <c r="E351" s="633"/>
      <c r="F351" s="633"/>
      <c r="G351" s="388" t="s">
        <v>9</v>
      </c>
      <c r="H351" s="389">
        <f ca="1">H350*0.11</f>
        <v>32342343.137499999</v>
      </c>
      <c r="I351" s="389">
        <f ca="1">I350*0.11</f>
        <v>33089140.778100003</v>
      </c>
      <c r="J351" s="389">
        <f ca="1">J350*0.11</f>
        <v>4611752.0958800223</v>
      </c>
      <c r="K351" s="389">
        <f ca="1">K350*0.11</f>
        <v>70043236.011480048</v>
      </c>
    </row>
    <row r="352" spans="2:13" ht="15.75" thickBot="1">
      <c r="B352" s="387"/>
      <c r="C352" s="631" t="s">
        <v>463</v>
      </c>
      <c r="D352" s="631"/>
      <c r="E352" s="631"/>
      <c r="F352" s="631"/>
      <c r="G352" s="390" t="s">
        <v>9</v>
      </c>
      <c r="H352" s="391">
        <f ca="1">SUM(H350:H351)</f>
        <v>326363644.38749999</v>
      </c>
      <c r="I352" s="391">
        <f ca="1">SUM(I350:I351)</f>
        <v>333899511.48810005</v>
      </c>
      <c r="J352" s="390">
        <f ca="1">SUM(J350:J351)</f>
        <v>46536771.149334773</v>
      </c>
      <c r="K352" s="390">
        <f ca="1">SUM(K350:K351)</f>
        <v>706799927.02493501</v>
      </c>
      <c r="M352" s="469"/>
    </row>
    <row r="353" spans="2:11">
      <c r="B353" s="634" t="str">
        <f ca="1">"Terbilang : "&amp;PROPER(IF(K352=0,"nol",IF(K352&lt;0,"minus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IF(--MID(TEXT(ABS(K352),"000000000000000"),1,3)=0,"",MID(TEXT(ABS(K352),"000000000000000"),1,1)&amp;" ratus "&amp;MID(TEXT(ABS(K352),"000000000000000"),2,1)&amp;" puluh "&amp;MID(TEXT(ABS(K352),"000000000000000"),3,1)&amp;" trilyun ")&amp; IF(--MID(TEXT(ABS(K352),"000000000000000"),4,3)=0,"",MID(TEXT(ABS(K352),"000000000000000"),4,1)&amp;" ratus "&amp;MID(TEXT(ABS(K352),"000000000000000"),5,1)&amp;" puluh "&amp;MID(TEXT(ABS(K352),"000000000000000"),6,1)&amp;" milyar ")&amp; IF(--MID(TEXT(ABS(K352),"000000000000000"),7,3)=0,"",MID(TEXT(ABS(K352),"000000000000000"),7,1)&amp;" ratus "&amp;MID(TEXT(ABS(K352),"000000000000000"),8,1)&amp;" puluh "&amp;MID(TEXT(ABS(K352),"000000000000000"),9,1)&amp;" juta ")&amp; IF(--MID(TEXT(ABS(K352),"000000000000000"),10,3)=0,"",IF(--MID(TEXT(ABS(K352),"000000000000000"),10,3)=1,"*",MID(TEXT(ABS(K352),"000000000000000"),10,1)&amp;" ratus "&amp;MID(TEXT(ABS(K352),"000000000000000"),11,1)&amp;" puluh ")&amp;MID(TEXT(ABS(K352),"000000000000000"),12,1)&amp;" ribu ")&amp; IF(--MID(TEXT(ABS(K352),"000000000000000"),13,3)=0,"",MID(TEXT(ABS(K352),"000000000000000"),13,1)&amp;" ratus "&amp;MID(TEXT(ABS(K352),"000000000000000"),14,1)&amp;" puluh "&amp;MID(TEXT(ABS(K352),"000000000000000"),15,1)),1,"satu"),2,"dua"),3,"tiga"),4,"empat"),5,"lima"),6,"enam"),7,"tujuh"),8,"delapan"),9,"sembilan"),"0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Ratus Enam Juta Tujuh Ratus Sembilan Puluh Sembilan Ribu Sembilan Ratus Dua Puluh Tujuh Rupiah</v>
      </c>
      <c r="C353" s="635"/>
      <c r="D353" s="635"/>
      <c r="E353" s="635"/>
      <c r="F353" s="635"/>
      <c r="G353" s="635"/>
      <c r="H353" s="635"/>
      <c r="I353" s="635"/>
      <c r="J353" s="635"/>
      <c r="K353" s="636"/>
    </row>
    <row r="354" spans="2:11">
      <c r="B354" s="637"/>
      <c r="C354" s="638"/>
      <c r="D354" s="638"/>
      <c r="E354" s="638"/>
      <c r="F354" s="638"/>
      <c r="G354" s="638"/>
      <c r="H354" s="638"/>
      <c r="I354" s="638"/>
      <c r="J354" s="638"/>
      <c r="K354" s="639"/>
    </row>
    <row r="355" spans="2:11" ht="15.75" thickBot="1">
      <c r="B355" s="392" t="str">
        <f>"Harga yang dipakai adalah "&amp;'HARGA SATUAN'!I5&amp;""</f>
        <v>Harga yang dipakai adalah RAB HSS 2023</v>
      </c>
      <c r="C355" s="393"/>
      <c r="D355" s="394"/>
      <c r="E355" s="394"/>
      <c r="F355" s="394"/>
      <c r="G355" s="395"/>
      <c r="H355" s="395"/>
      <c r="I355" s="395"/>
      <c r="J355" s="395"/>
      <c r="K355" s="396"/>
    </row>
    <row r="356" spans="2:11">
      <c r="C356" s="397"/>
      <c r="E356" s="399"/>
      <c r="F356" s="399"/>
      <c r="G356" s="399"/>
    </row>
    <row r="357" spans="2:11">
      <c r="C357" s="334"/>
      <c r="E357" s="399"/>
      <c r="F357" s="399"/>
      <c r="G357" s="399"/>
      <c r="H357" s="640"/>
      <c r="I357" s="640"/>
      <c r="J357" s="641"/>
      <c r="K357" s="641"/>
    </row>
    <row r="358" spans="2:11">
      <c r="C358" s="334"/>
      <c r="E358" s="399"/>
      <c r="F358" s="399"/>
      <c r="G358" s="399"/>
      <c r="H358" s="400"/>
      <c r="I358" s="630" t="s">
        <v>1610</v>
      </c>
      <c r="J358" s="630"/>
      <c r="K358" s="630"/>
    </row>
    <row r="359" spans="2:11">
      <c r="C359" s="334"/>
      <c r="E359" s="399"/>
      <c r="F359" s="399"/>
      <c r="G359" s="399"/>
      <c r="H359" s="400"/>
      <c r="I359" s="630" t="s">
        <v>1546</v>
      </c>
      <c r="J359" s="630"/>
      <c r="K359" s="630"/>
    </row>
    <row r="360" spans="2:11">
      <c r="C360" s="334"/>
      <c r="E360" s="399"/>
      <c r="F360" s="399"/>
      <c r="G360" s="399"/>
      <c r="H360" s="401"/>
      <c r="I360" s="402"/>
      <c r="J360" s="402"/>
      <c r="K360" s="402"/>
    </row>
    <row r="361" spans="2:11">
      <c r="C361" s="334"/>
      <c r="E361" s="399"/>
      <c r="F361" s="399"/>
      <c r="G361" s="399"/>
      <c r="H361" s="401"/>
      <c r="I361" s="401"/>
      <c r="J361" s="401"/>
      <c r="K361" s="401"/>
    </row>
    <row r="362" spans="2:11">
      <c r="C362" s="334"/>
      <c r="E362" s="399"/>
      <c r="F362" s="399"/>
      <c r="G362" s="399"/>
      <c r="H362" s="401"/>
      <c r="I362" s="401"/>
      <c r="J362" s="401"/>
      <c r="K362" s="401"/>
    </row>
    <row r="363" spans="2:11">
      <c r="C363" s="334"/>
      <c r="E363" s="399"/>
      <c r="F363" s="399"/>
      <c r="G363" s="399"/>
      <c r="H363" s="401"/>
      <c r="I363" s="401"/>
      <c r="J363" s="401"/>
      <c r="K363" s="401"/>
    </row>
    <row r="364" spans="2:11">
      <c r="C364" s="334"/>
      <c r="E364" s="399"/>
      <c r="F364" s="399"/>
      <c r="G364" s="399"/>
      <c r="H364" s="403"/>
      <c r="I364" s="630" t="s">
        <v>1547</v>
      </c>
      <c r="J364" s="630"/>
      <c r="K364" s="630"/>
    </row>
    <row r="365" spans="2:11">
      <c r="C365" s="397"/>
      <c r="E365" s="399"/>
      <c r="F365" s="399"/>
      <c r="G365" s="399"/>
      <c r="H365" s="401"/>
      <c r="I365" s="401"/>
      <c r="J365" s="401"/>
      <c r="K365" s="401"/>
    </row>
    <row r="366" spans="2:11">
      <c r="C366" s="397"/>
      <c r="E366" s="399"/>
      <c r="F366" s="399"/>
      <c r="G366" s="399"/>
      <c r="H366" s="401"/>
      <c r="I366" s="401"/>
      <c r="J366" s="401"/>
      <c r="K366" s="401"/>
    </row>
    <row r="367" spans="2:11">
      <c r="C367" s="397"/>
      <c r="E367" s="399"/>
      <c r="F367" s="399"/>
      <c r="G367" s="399"/>
      <c r="H367" s="401"/>
      <c r="I367" s="401"/>
      <c r="J367" s="401"/>
      <c r="K367" s="401"/>
    </row>
  </sheetData>
  <sheetProtection sort="0" autoFilter="0"/>
  <protectedRanges>
    <protectedRange sqref="B324:B333 B316:B317 B335:B345" name="Range1_1"/>
    <protectedRange sqref="F14:F22 F38 F55 F113 F137 F75 F89 F187 F193 F204:F219 F225:F234 F152:F165 F171:F180 F240 F308:F317 F324:F346 F247:F297" name="Range1_1_2_2"/>
    <protectedRange sqref="C275:C278 C281 C283:C285 C287:C297 C308" name="Range1_1_3"/>
    <protectedRange sqref="C312" name="Range1_1_3_10"/>
    <protectedRange sqref="C16:C17" name="Range1_1_3_2"/>
    <protectedRange sqref="C18:C19" name="Range1_1_3_3"/>
    <protectedRange sqref="C24 C40 C91 C115 C139 C77 C236" name="Range1_1_3_7"/>
    <protectedRange sqref="C25 C41 C92 C116" name="Range1_1_3_8"/>
    <protectedRange sqref="C57" name="Range1_1_3_12"/>
    <protectedRange sqref="C93 C117 C242 C251" name="Range1_1_3_13"/>
    <protectedRange sqref="C176" name="Range1_1_3_14"/>
    <protectedRange sqref="C227:C228" name="Range1_1_3_4"/>
    <protectedRange sqref="C229" name="Range1_1_3_5"/>
    <protectedRange sqref="C232:C233" name="Range1_1_3_9"/>
    <protectedRange sqref="C282" name="Range1_1_3_11"/>
    <protectedRange sqref="C286" name="Range1_1_3_15"/>
    <protectedRange sqref="C315" name="Range1_1_3_16"/>
    <protectedRange sqref="C336" name="Range1_1_3_17"/>
    <protectedRange sqref="C337" name="Range1_1_3_18"/>
    <protectedRange sqref="C338" name="Range1_1_3_19"/>
    <protectedRange sqref="C339" name="Range1_1_3_20"/>
    <protectedRange sqref="C340" name="Range1_1_3_21"/>
    <protectedRange sqref="C341" name="Range1_1_3_22"/>
    <protectedRange sqref="C342:C343" name="Range1_1_3_23"/>
    <protectedRange sqref="C344" name="Range1_1_3_24"/>
  </protectedRanges>
  <mergeCells count="22">
    <mergeCell ref="I359:K359"/>
    <mergeCell ref="I364:K364"/>
    <mergeCell ref="C352:F352"/>
    <mergeCell ref="G6:K6"/>
    <mergeCell ref="I358:K358"/>
    <mergeCell ref="C351:F351"/>
    <mergeCell ref="B353:K354"/>
    <mergeCell ref="H357:K357"/>
    <mergeCell ref="H11:K11"/>
    <mergeCell ref="H12:H13"/>
    <mergeCell ref="J12:J13"/>
    <mergeCell ref="K12:K13"/>
    <mergeCell ref="O3:P4"/>
    <mergeCell ref="B4:K4"/>
    <mergeCell ref="C350:F350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:C20 C275:C277 C308 C317 C336 C345 C257:C258">
    <cfRule type="cellIs" dxfId="48" priority="69" operator="equal">
      <formula>0</formula>
    </cfRule>
  </conditionalFormatting>
  <conditionalFormatting sqref="C22 C38 C55 C75 C89 C113 C137 C152 C159 C165 C171:C172 C187 C193 C204:C205 C213 C219 C225:C226 C230:C231 C234 C240 C247:C249">
    <cfRule type="cellIs" dxfId="47" priority="71" operator="equal">
      <formula>0</formula>
    </cfRule>
  </conditionalFormatting>
  <conditionalFormatting sqref="C24:C25">
    <cfRule type="cellIs" dxfId="46" priority="59" operator="equal">
      <formula>0</formula>
    </cfRule>
  </conditionalFormatting>
  <conditionalFormatting sqref="C40:C41">
    <cfRule type="cellIs" dxfId="45" priority="57" operator="equal">
      <formula>0</formula>
    </cfRule>
  </conditionalFormatting>
  <conditionalFormatting sqref="C50 E275:K277 E297:K297 E278:E296 G278:K296 E298:E307 G298:K307 E308:K310 E311:E316 G311:K316 E317:K317 F333:K346 E325:E346 G325:K346 S14:V308 E257:K258">
    <cfRule type="cellIs" dxfId="44" priority="66" stopIfTrue="1" operator="equal">
      <formula>0</formula>
    </cfRule>
  </conditionalFormatting>
  <conditionalFormatting sqref="C57">
    <cfRule type="cellIs" dxfId="43" priority="54" operator="equal">
      <formula>0</formula>
    </cfRule>
  </conditionalFormatting>
  <conditionalFormatting sqref="C77">
    <cfRule type="cellIs" dxfId="42" priority="43" operator="equal">
      <formula>0</formula>
    </cfRule>
  </conditionalFormatting>
  <conditionalFormatting sqref="C91:C93">
    <cfRule type="cellIs" dxfId="41" priority="53" operator="equal">
      <formula>0</formula>
    </cfRule>
  </conditionalFormatting>
  <conditionalFormatting sqref="C115:C117">
    <cfRule type="cellIs" dxfId="40" priority="50" operator="equal">
      <formula>0</formula>
    </cfRule>
  </conditionalFormatting>
  <conditionalFormatting sqref="C139">
    <cfRule type="cellIs" dxfId="39" priority="47" operator="equal">
      <formula>0</formula>
    </cfRule>
  </conditionalFormatting>
  <conditionalFormatting sqref="C176">
    <cfRule type="cellIs" dxfId="38" priority="40" operator="equal">
      <formula>0</formula>
    </cfRule>
  </conditionalFormatting>
  <conditionalFormatting sqref="C178:C180">
    <cfRule type="cellIs" dxfId="37" priority="42" operator="equal">
      <formula>0</formula>
    </cfRule>
  </conditionalFormatting>
  <conditionalFormatting sqref="C183">
    <cfRule type="cellIs" dxfId="36" priority="38" operator="equal">
      <formula>0</formula>
    </cfRule>
  </conditionalFormatting>
  <conditionalFormatting sqref="C185">
    <cfRule type="cellIs" dxfId="35" priority="39" operator="equal">
      <formula>0</formula>
    </cfRule>
  </conditionalFormatting>
  <conditionalFormatting sqref="C191">
    <cfRule type="cellIs" dxfId="34" priority="35" operator="equal">
      <formula>0</formula>
    </cfRule>
  </conditionalFormatting>
  <conditionalFormatting sqref="C297 C324 C335 C333">
    <cfRule type="cellIs" dxfId="33" priority="608" operator="equal">
      <formula>0</formula>
    </cfRule>
  </conditionalFormatting>
  <conditionalFormatting sqref="E1:E3 G1:G13 E5:E13 H12:I12 O13 E90:E112 G90:K112 E113:K113 E114:E136 G114:K136 E137:K137 E138:E151 G138:K151 E347:G347 H347:K349 E348:H348 E349:F349">
    <cfRule type="cellIs" dxfId="32" priority="1188" stopIfTrue="1" operator="equal">
      <formula>0</formula>
    </cfRule>
  </conditionalFormatting>
  <conditionalFormatting sqref="E14:K89">
    <cfRule type="cellIs" dxfId="31" priority="44" stopIfTrue="1" operator="equal">
      <formula>0</formula>
    </cfRule>
  </conditionalFormatting>
  <conditionalFormatting sqref="E152:K234 E240:K240 E235:E239 G235:K239 E241:E246 G241:K246 E259:E274 G259:K274 E247:K249 E250:E256 G250:K256">
    <cfRule type="cellIs" dxfId="30" priority="29" stopIfTrue="1" operator="equal">
      <formula>0</formula>
    </cfRule>
  </conditionalFormatting>
  <conditionalFormatting sqref="E318:K324">
    <cfRule type="cellIs" dxfId="29" priority="83" stopIfTrue="1" operator="equal">
      <formula>0</formula>
    </cfRule>
  </conditionalFormatting>
  <conditionalFormatting sqref="F90:F94">
    <cfRule type="cellIs" dxfId="28" priority="49" stopIfTrue="1" operator="equal">
      <formula>0</formula>
    </cfRule>
  </conditionalFormatting>
  <conditionalFormatting sqref="G348:G65814 E353:E65814">
    <cfRule type="cellIs" dxfId="27" priority="322" stopIfTrue="1" operator="equal">
      <formula>0</formula>
    </cfRule>
  </conditionalFormatting>
  <conditionalFormatting sqref="C227:C228">
    <cfRule type="cellIs" dxfId="26" priority="28" operator="equal">
      <formula>0</formula>
    </cfRule>
  </conditionalFormatting>
  <conditionalFormatting sqref="C229">
    <cfRule type="cellIs" dxfId="25" priority="27" operator="equal">
      <formula>0</formula>
    </cfRule>
  </conditionalFormatting>
  <conditionalFormatting sqref="C232:C233">
    <cfRule type="cellIs" dxfId="24" priority="26" operator="equal">
      <formula>0</formula>
    </cfRule>
  </conditionalFormatting>
  <conditionalFormatting sqref="F235:F239">
    <cfRule type="cellIs" dxfId="23" priority="25" stopIfTrue="1" operator="equal">
      <formula>0</formula>
    </cfRule>
  </conditionalFormatting>
  <conditionalFormatting sqref="F241:F246">
    <cfRule type="cellIs" dxfId="22" priority="24" stopIfTrue="1" operator="equal">
      <formula>0</formula>
    </cfRule>
  </conditionalFormatting>
  <conditionalFormatting sqref="C236">
    <cfRule type="cellIs" dxfId="21" priority="23" operator="equal">
      <formula>0</formula>
    </cfRule>
  </conditionalFormatting>
  <conditionalFormatting sqref="C242">
    <cfRule type="cellIs" dxfId="20" priority="22" operator="equal">
      <formula>0</formula>
    </cfRule>
  </conditionalFormatting>
  <conditionalFormatting sqref="F259:F274">
    <cfRule type="cellIs" dxfId="19" priority="21" stopIfTrue="1" operator="equal">
      <formula>0</formula>
    </cfRule>
  </conditionalFormatting>
  <conditionalFormatting sqref="C279">
    <cfRule type="cellIs" dxfId="18" priority="20" operator="equal">
      <formula>0</formula>
    </cfRule>
  </conditionalFormatting>
  <conditionalFormatting sqref="C283">
    <cfRule type="cellIs" dxfId="17" priority="19" operator="equal">
      <formula>0</formula>
    </cfRule>
  </conditionalFormatting>
  <conditionalFormatting sqref="F278:F296">
    <cfRule type="cellIs" dxfId="16" priority="18" stopIfTrue="1" operator="equal">
      <formula>0</formula>
    </cfRule>
  </conditionalFormatting>
  <conditionalFormatting sqref="C282">
    <cfRule type="cellIs" dxfId="15" priority="17" operator="equal">
      <formula>0</formula>
    </cfRule>
  </conditionalFormatting>
  <conditionalFormatting sqref="C286">
    <cfRule type="cellIs" dxfId="14" priority="16" operator="equal">
      <formula>0</formula>
    </cfRule>
  </conditionalFormatting>
  <conditionalFormatting sqref="F298:F307">
    <cfRule type="cellIs" dxfId="13" priority="15" stopIfTrue="1" operator="equal">
      <formula>0</formula>
    </cfRule>
  </conditionalFormatting>
  <conditionalFormatting sqref="C312">
    <cfRule type="cellIs" dxfId="12" priority="14" operator="equal">
      <formula>0</formula>
    </cfRule>
  </conditionalFormatting>
  <conditionalFormatting sqref="F311:F316">
    <cfRule type="cellIs" dxfId="11" priority="13" stopIfTrue="1" operator="equal">
      <formula>0</formula>
    </cfRule>
  </conditionalFormatting>
  <conditionalFormatting sqref="F325:F332">
    <cfRule type="cellIs" dxfId="10" priority="12" stopIfTrue="1" operator="equal">
      <formula>0</formula>
    </cfRule>
  </conditionalFormatting>
  <conditionalFormatting sqref="C315">
    <cfRule type="cellIs" dxfId="9" priority="11" operator="equal">
      <formula>0</formula>
    </cfRule>
  </conditionalFormatting>
  <conditionalFormatting sqref="C337">
    <cfRule type="cellIs" dxfId="8" priority="9" operator="equal">
      <formula>0</formula>
    </cfRule>
  </conditionalFormatting>
  <conditionalFormatting sqref="C338">
    <cfRule type="cellIs" dxfId="7" priority="8" operator="equal">
      <formula>0</formula>
    </cfRule>
  </conditionalFormatting>
  <conditionalFormatting sqref="C339">
    <cfRule type="cellIs" dxfId="6" priority="7" operator="equal">
      <formula>0</formula>
    </cfRule>
  </conditionalFormatting>
  <conditionalFormatting sqref="C340">
    <cfRule type="cellIs" dxfId="5" priority="6" operator="equal">
      <formula>0</formula>
    </cfRule>
  </conditionalFormatting>
  <conditionalFormatting sqref="C341">
    <cfRule type="cellIs" dxfId="4" priority="5" operator="equal">
      <formula>0</formula>
    </cfRule>
  </conditionalFormatting>
  <conditionalFormatting sqref="C342:C343">
    <cfRule type="cellIs" dxfId="3" priority="4" operator="equal">
      <formula>0</formula>
    </cfRule>
  </conditionalFormatting>
  <conditionalFormatting sqref="C344">
    <cfRule type="cellIs" dxfId="2" priority="3" operator="equal">
      <formula>0</formula>
    </cfRule>
  </conditionalFormatting>
  <conditionalFormatting sqref="F250:F256">
    <cfRule type="cellIs" dxfId="1" priority="2" stopIfTrue="1" operator="equal">
      <formula>0</formula>
    </cfRule>
  </conditionalFormatting>
  <conditionalFormatting sqref="C25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18:F323 F160:F164 F23:F37 F90:F92 F94 F153:F158 F76:F88 F220:F224 F173:F178 F181:F186 F188:F192 F194:F203 F206:F212 F214:F216 F218 F166:F170 F235:F239 F241:F246 F268:F274 F262:F266 F278:F296 C280:C281 F298:F307 F329:F332 H14:K34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  <pageSetUpPr fitToPage="1"/>
  </sheetPr>
  <dimension ref="C1:AM291"/>
  <sheetViews>
    <sheetView showGridLines="0" view="pageBreakPreview" topLeftCell="A124" zoomScale="70" zoomScaleNormal="115" zoomScaleSheetLayoutView="70" workbookViewId="0">
      <selection activeCell="T39" sqref="T39"/>
    </sheetView>
  </sheetViews>
  <sheetFormatPr defaultRowHeight="12"/>
  <cols>
    <col min="1" max="2" width="1.42578125" style="235" customWidth="1"/>
    <col min="3" max="22" width="10.7109375" style="235" customWidth="1"/>
    <col min="23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5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6" t="s">
        <v>1439</v>
      </c>
      <c r="X2" s="697"/>
      <c r="Y2" s="697"/>
      <c r="Z2" s="697"/>
      <c r="AA2" s="697"/>
      <c r="AB2" s="697"/>
      <c r="AC2" s="697"/>
      <c r="AD2" s="698"/>
    </row>
    <row r="3" spans="3:30" ht="15.75" customHeight="1">
      <c r="C3" s="238"/>
      <c r="W3" s="699"/>
      <c r="X3" s="700"/>
      <c r="Y3" s="700"/>
      <c r="Z3" s="700"/>
      <c r="AA3" s="700"/>
      <c r="AB3" s="700"/>
      <c r="AC3" s="700"/>
      <c r="AD3" s="701"/>
    </row>
    <row r="4" spans="3:30" ht="15.75" customHeight="1">
      <c r="C4" s="238"/>
      <c r="W4" s="239" t="s">
        <v>987</v>
      </c>
      <c r="AD4" s="240"/>
    </row>
    <row r="5" spans="3:30" ht="15.75" customHeight="1">
      <c r="C5" s="238"/>
      <c r="W5" s="241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 ht="15.75" customHeight="1">
      <c r="C6" s="238"/>
      <c r="W6" s="241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 ht="15.75" customHeight="1">
      <c r="C7" s="238"/>
      <c r="E7" s="475" t="str">
        <f>PETA!C6</f>
        <v>KOORDINAT : -6.944185, 110.498228</v>
      </c>
      <c r="W7" s="241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 ht="15.75" customHeight="1">
      <c r="C8" s="238"/>
      <c r="W8" s="241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 ht="15.75" customHeight="1">
      <c r="C9" s="238"/>
      <c r="W9" s="241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 ht="15.75" customHeight="1">
      <c r="C10" s="238"/>
      <c r="W10" s="241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 ht="15.75" customHeight="1">
      <c r="C11" s="238"/>
      <c r="W11" s="241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 ht="15.75" customHeight="1">
      <c r="C12" s="238"/>
      <c r="W12" s="241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5.75" customHeight="1">
      <c r="C13" s="238"/>
      <c r="W13" s="241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 ht="15.75" customHeight="1">
      <c r="C14" s="238"/>
      <c r="W14" s="241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 ht="15.75" customHeight="1">
      <c r="C15" s="238"/>
      <c r="W15" s="241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 ht="15.75" customHeight="1">
      <c r="C16" s="238"/>
      <c r="W16" s="241">
        <v>11</v>
      </c>
      <c r="X16" s="656" t="s">
        <v>1455</v>
      </c>
      <c r="Y16" s="656"/>
      <c r="Z16" s="656"/>
      <c r="AA16" s="656"/>
      <c r="AB16" s="656"/>
      <c r="AC16" s="656"/>
      <c r="AD16" s="657"/>
    </row>
    <row r="17" spans="3:39" ht="15.75" customHeight="1">
      <c r="C17" s="238"/>
      <c r="S17" s="242"/>
      <c r="W17" s="241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9" ht="15.75" customHeight="1">
      <c r="C18" s="243"/>
      <c r="D18" s="244"/>
      <c r="E18" s="244"/>
      <c r="W18" s="241">
        <v>13</v>
      </c>
      <c r="X18" s="656"/>
      <c r="Y18" s="656"/>
      <c r="Z18" s="656"/>
      <c r="AA18" s="656"/>
      <c r="AB18" s="656"/>
      <c r="AC18" s="656"/>
      <c r="AD18" s="657"/>
    </row>
    <row r="19" spans="3:39" ht="15.75" customHeight="1">
      <c r="C19" s="238"/>
      <c r="W19" s="245"/>
      <c r="X19" s="685"/>
      <c r="Y19" s="685"/>
      <c r="Z19" s="685"/>
      <c r="AA19" s="685"/>
      <c r="AB19" s="685"/>
      <c r="AC19" s="685"/>
      <c r="AD19" s="686"/>
    </row>
    <row r="20" spans="3:39" ht="15.75" customHeight="1">
      <c r="C20" s="238"/>
      <c r="W20" s="687" t="s">
        <v>992</v>
      </c>
      <c r="X20" s="688"/>
      <c r="Y20" s="688"/>
      <c r="Z20" s="688"/>
      <c r="AA20" s="688"/>
      <c r="AB20" s="688"/>
      <c r="AC20" s="688"/>
      <c r="AD20" s="689"/>
    </row>
    <row r="21" spans="3:39" ht="15.75" customHeight="1">
      <c r="C21" s="238"/>
      <c r="W21" s="690" t="s">
        <v>985</v>
      </c>
      <c r="X21" s="691"/>
      <c r="Y21" s="691"/>
      <c r="Z21" s="692"/>
      <c r="AA21" s="693" t="s">
        <v>986</v>
      </c>
      <c r="AB21" s="694"/>
      <c r="AC21" s="694"/>
      <c r="AD21" s="695"/>
      <c r="AG21" s="672" t="s">
        <v>1639</v>
      </c>
      <c r="AH21" s="673"/>
      <c r="AI21" s="235">
        <f>Y78+Y134+Y190+Y246</f>
        <v>21</v>
      </c>
      <c r="AK21" s="679" t="s">
        <v>1634</v>
      </c>
      <c r="AL21" s="680"/>
      <c r="AM21" s="235">
        <f>AC22+AC78+AC134</f>
        <v>32</v>
      </c>
    </row>
    <row r="22" spans="3:39" ht="15.75" customHeight="1">
      <c r="C22" s="238"/>
      <c r="W22" s="672" t="s">
        <v>1623</v>
      </c>
      <c r="X22" s="673"/>
      <c r="Y22" s="479">
        <v>1</v>
      </c>
      <c r="Z22" s="480"/>
      <c r="AA22" s="679" t="s">
        <v>1634</v>
      </c>
      <c r="AB22" s="680"/>
      <c r="AC22" s="248">
        <v>12</v>
      </c>
      <c r="AD22" s="249"/>
      <c r="AG22" s="672" t="s">
        <v>1623</v>
      </c>
      <c r="AH22" s="673"/>
      <c r="AI22" s="235">
        <f>Y245+Y22</f>
        <v>3</v>
      </c>
      <c r="AK22" s="681" t="s">
        <v>1630</v>
      </c>
      <c r="AL22" s="682"/>
      <c r="AM22" s="235">
        <f>AC23</f>
        <v>3</v>
      </c>
    </row>
    <row r="23" spans="3:39" ht="15.75" customHeight="1">
      <c r="C23" s="238"/>
      <c r="W23" s="672" t="s">
        <v>1624</v>
      </c>
      <c r="X23" s="673"/>
      <c r="Y23" s="479">
        <v>9</v>
      </c>
      <c r="Z23" s="480"/>
      <c r="AA23" s="681" t="s">
        <v>1630</v>
      </c>
      <c r="AB23" s="682"/>
      <c r="AC23" s="248">
        <v>3</v>
      </c>
      <c r="AD23" s="249"/>
      <c r="AG23" s="672" t="s">
        <v>1624</v>
      </c>
      <c r="AH23" s="673"/>
      <c r="AI23" s="235">
        <f>Y23+Y79+Y135+Y191+Y247</f>
        <v>32</v>
      </c>
      <c r="AK23" s="683" t="s">
        <v>1637</v>
      </c>
      <c r="AL23" s="684"/>
      <c r="AM23" s="235">
        <f>AC24+AC79+AC135+AC193</f>
        <v>5</v>
      </c>
    </row>
    <row r="24" spans="3:39" ht="15.75" customHeight="1">
      <c r="C24" s="238"/>
      <c r="W24" s="676" t="s">
        <v>1658</v>
      </c>
      <c r="X24" s="677"/>
      <c r="Y24" s="479">
        <v>1</v>
      </c>
      <c r="Z24" s="480"/>
      <c r="AA24" s="683" t="s">
        <v>1637</v>
      </c>
      <c r="AB24" s="684"/>
      <c r="AC24" s="248">
        <v>1</v>
      </c>
      <c r="AD24" s="249"/>
      <c r="AG24" s="676" t="s">
        <v>1625</v>
      </c>
      <c r="AH24" s="677"/>
      <c r="AI24" s="235">
        <f>Y24+Y81+Y136</f>
        <v>4</v>
      </c>
      <c r="AK24" s="681" t="s">
        <v>1638</v>
      </c>
      <c r="AL24" s="682"/>
      <c r="AM24" s="235">
        <f>AC25</f>
        <v>1</v>
      </c>
    </row>
    <row r="25" spans="3:39" ht="15.75" customHeight="1">
      <c r="C25" s="238"/>
      <c r="W25" s="477" t="s">
        <v>1626</v>
      </c>
      <c r="X25" s="478"/>
      <c r="Y25" s="479">
        <v>2</v>
      </c>
      <c r="Z25" s="480"/>
      <c r="AA25" s="681" t="s">
        <v>1638</v>
      </c>
      <c r="AB25" s="682"/>
      <c r="AC25" s="248">
        <v>1</v>
      </c>
      <c r="AD25" s="249"/>
      <c r="AG25" s="477" t="s">
        <v>1626</v>
      </c>
      <c r="AH25" s="478"/>
      <c r="AI25" s="235">
        <f>Y25+Y82</f>
        <v>4</v>
      </c>
      <c r="AK25" s="681" t="s">
        <v>1624</v>
      </c>
      <c r="AL25" s="682"/>
      <c r="AM25" s="235">
        <f>AC26</f>
        <v>1</v>
      </c>
    </row>
    <row r="26" spans="3:39" ht="15.75" customHeight="1">
      <c r="C26" s="238"/>
      <c r="W26" s="676" t="s">
        <v>1627</v>
      </c>
      <c r="X26" s="677"/>
      <c r="Y26" s="479">
        <v>1</v>
      </c>
      <c r="Z26" s="480"/>
      <c r="AA26" s="681" t="s">
        <v>1624</v>
      </c>
      <c r="AB26" s="682"/>
      <c r="AC26" s="248">
        <v>1</v>
      </c>
      <c r="AD26" s="249"/>
      <c r="AG26" s="676" t="s">
        <v>1627</v>
      </c>
      <c r="AH26" s="677"/>
      <c r="AI26" s="235">
        <f>Y26+Y83+Y138+Y193</f>
        <v>7</v>
      </c>
      <c r="AK26" s="679" t="s">
        <v>1647</v>
      </c>
      <c r="AL26" s="680"/>
      <c r="AM26" s="248">
        <v>1</v>
      </c>
    </row>
    <row r="27" spans="3:39" ht="15.75" customHeight="1">
      <c r="C27" s="238"/>
      <c r="W27" s="676" t="s">
        <v>1629</v>
      </c>
      <c r="X27" s="677"/>
      <c r="Y27" s="479">
        <v>3</v>
      </c>
      <c r="Z27" s="480"/>
      <c r="AA27" s="674"/>
      <c r="AB27" s="675"/>
      <c r="AC27" s="248"/>
      <c r="AD27" s="249"/>
      <c r="AG27" s="676" t="s">
        <v>1629</v>
      </c>
      <c r="AH27" s="677"/>
      <c r="AI27" s="235">
        <f>Y27</f>
        <v>3</v>
      </c>
      <c r="AK27" s="681" t="s">
        <v>1648</v>
      </c>
      <c r="AL27" s="682"/>
      <c r="AM27" s="248">
        <v>9</v>
      </c>
    </row>
    <row r="28" spans="3:39" ht="15.75" customHeight="1">
      <c r="C28" s="238"/>
      <c r="W28" s="676" t="s">
        <v>1630</v>
      </c>
      <c r="X28" s="677"/>
      <c r="Y28" s="479">
        <v>3</v>
      </c>
      <c r="Z28" s="480"/>
      <c r="AA28" s="674"/>
      <c r="AB28" s="675"/>
      <c r="AC28" s="248"/>
      <c r="AD28" s="249"/>
      <c r="AG28" s="676" t="s">
        <v>1630</v>
      </c>
      <c r="AH28" s="677"/>
      <c r="AI28" s="235">
        <f>Y28+Y85+Y256</f>
        <v>9</v>
      </c>
      <c r="AK28" s="683" t="s">
        <v>1649</v>
      </c>
      <c r="AL28" s="684"/>
      <c r="AM28" s="248">
        <v>6</v>
      </c>
    </row>
    <row r="29" spans="3:39" ht="15.75" customHeight="1">
      <c r="C29" s="238"/>
      <c r="W29" s="676" t="s">
        <v>1628</v>
      </c>
      <c r="X29" s="677"/>
      <c r="Y29" s="479">
        <v>3</v>
      </c>
      <c r="Z29" s="480"/>
      <c r="AA29" s="674"/>
      <c r="AB29" s="675"/>
      <c r="AC29" s="248"/>
      <c r="AD29" s="249"/>
      <c r="AG29" s="676" t="s">
        <v>1628</v>
      </c>
      <c r="AH29" s="677"/>
      <c r="AI29" s="235">
        <f>Y29</f>
        <v>3</v>
      </c>
      <c r="AK29" s="235" t="s">
        <v>1644</v>
      </c>
      <c r="AM29" s="235">
        <v>1</v>
      </c>
    </row>
    <row r="30" spans="3:39" ht="15.75" customHeight="1">
      <c r="C30" s="238"/>
      <c r="W30" s="477" t="s">
        <v>1010</v>
      </c>
      <c r="X30" s="478"/>
      <c r="Y30" s="479">
        <v>1</v>
      </c>
      <c r="Z30" s="480"/>
      <c r="AA30" s="674"/>
      <c r="AB30" s="675"/>
      <c r="AC30" s="248"/>
      <c r="AD30" s="249"/>
      <c r="AG30" s="477" t="s">
        <v>1010</v>
      </c>
      <c r="AH30" s="478"/>
      <c r="AI30" s="235">
        <v>1</v>
      </c>
    </row>
    <row r="31" spans="3:39" ht="15.75" customHeight="1">
      <c r="C31" s="238"/>
      <c r="U31" s="250"/>
      <c r="W31" s="676" t="s">
        <v>1631</v>
      </c>
      <c r="X31" s="677"/>
      <c r="Y31" s="479">
        <v>1</v>
      </c>
      <c r="Z31" s="480"/>
      <c r="AA31" s="674"/>
      <c r="AB31" s="675"/>
      <c r="AC31" s="248"/>
      <c r="AD31" s="249"/>
      <c r="AG31" s="676" t="s">
        <v>1631</v>
      </c>
      <c r="AH31" s="677"/>
      <c r="AI31" s="235">
        <f>Y31+Y198+Y251</f>
        <v>8</v>
      </c>
    </row>
    <row r="32" spans="3:39" ht="15.75" customHeight="1">
      <c r="C32" s="238"/>
      <c r="U32" s="250"/>
      <c r="W32" s="672" t="s">
        <v>1632</v>
      </c>
      <c r="X32" s="673"/>
      <c r="Y32" s="246">
        <v>1</v>
      </c>
      <c r="Z32" s="480"/>
      <c r="AA32" s="674"/>
      <c r="AB32" s="675"/>
      <c r="AC32" s="248"/>
      <c r="AD32" s="249"/>
      <c r="AG32" s="672" t="s">
        <v>1632</v>
      </c>
      <c r="AH32" s="673"/>
      <c r="AI32" s="235">
        <f>AI31</f>
        <v>8</v>
      </c>
    </row>
    <row r="33" spans="3:35" ht="15.75" customHeight="1">
      <c r="C33" s="238"/>
      <c r="W33" s="676" t="s">
        <v>1633</v>
      </c>
      <c r="X33" s="677"/>
      <c r="Y33" s="479">
        <v>1</v>
      </c>
      <c r="Z33" s="480"/>
      <c r="AA33" s="678"/>
      <c r="AB33" s="678"/>
      <c r="AC33" s="248"/>
      <c r="AD33" s="249"/>
      <c r="AG33" s="676" t="s">
        <v>1633</v>
      </c>
      <c r="AH33" s="677"/>
      <c r="AI33" s="235">
        <f>AI32</f>
        <v>8</v>
      </c>
    </row>
    <row r="34" spans="3:35" ht="15.75" customHeight="1">
      <c r="C34" s="238"/>
      <c r="W34" s="477" t="s">
        <v>1638</v>
      </c>
      <c r="X34" s="478"/>
      <c r="Y34" s="246">
        <v>12</v>
      </c>
      <c r="Z34" s="480"/>
      <c r="AA34" s="678"/>
      <c r="AB34" s="678"/>
      <c r="AC34" s="248"/>
      <c r="AD34" s="249"/>
      <c r="AG34" s="477" t="s">
        <v>1638</v>
      </c>
      <c r="AH34" s="478"/>
      <c r="AI34" s="235">
        <f>Y34+Y84+Y139+Y197</f>
        <v>30</v>
      </c>
    </row>
    <row r="35" spans="3:35" ht="15.75" customHeight="1">
      <c r="C35" s="238"/>
      <c r="W35" s="676" t="s">
        <v>1641</v>
      </c>
      <c r="X35" s="677"/>
      <c r="Y35" s="246">
        <v>1</v>
      </c>
      <c r="Z35" s="247"/>
      <c r="AA35" s="678"/>
      <c r="AB35" s="678"/>
      <c r="AC35" s="248"/>
      <c r="AD35" s="249"/>
      <c r="AG35" s="477" t="s">
        <v>1643</v>
      </c>
      <c r="AI35" s="235">
        <f>Y137+Y192+Y249</f>
        <v>6</v>
      </c>
    </row>
    <row r="36" spans="3:35" ht="15.75" customHeight="1">
      <c r="C36" s="238"/>
      <c r="W36" s="676"/>
      <c r="X36" s="677"/>
      <c r="Y36" s="479"/>
      <c r="Z36" s="480"/>
      <c r="AA36" s="678"/>
      <c r="AB36" s="678"/>
      <c r="AC36" s="248"/>
      <c r="AD36" s="249"/>
      <c r="AG36" s="235" t="s">
        <v>1642</v>
      </c>
      <c r="AI36" s="235">
        <f>Y87+Y140+Y201</f>
        <v>4</v>
      </c>
    </row>
    <row r="37" spans="3:35" ht="15.75" customHeight="1">
      <c r="C37" s="238"/>
      <c r="W37" s="661"/>
      <c r="X37" s="662"/>
      <c r="Y37" s="246"/>
      <c r="Z37" s="480"/>
      <c r="AA37" s="663"/>
      <c r="AB37" s="663"/>
      <c r="AC37" s="251"/>
      <c r="AD37" s="252"/>
      <c r="AG37" s="235" t="s">
        <v>1644</v>
      </c>
      <c r="AI37" s="235">
        <f>Y202+Y141</f>
        <v>3</v>
      </c>
    </row>
    <row r="38" spans="3:35" ht="15.75" customHeight="1">
      <c r="C38" s="238"/>
      <c r="W38" s="661"/>
      <c r="X38" s="662"/>
      <c r="Y38" s="253"/>
      <c r="Z38" s="247"/>
      <c r="AA38" s="664"/>
      <c r="AB38" s="665"/>
      <c r="AC38" s="251"/>
      <c r="AD38" s="252"/>
      <c r="AG38" s="235" t="s">
        <v>1640</v>
      </c>
      <c r="AI38" s="235">
        <f>Y80</f>
        <v>1</v>
      </c>
    </row>
    <row r="39" spans="3:35" ht="15.75" customHeight="1">
      <c r="C39" s="238"/>
      <c r="W39" s="661"/>
      <c r="X39" s="662"/>
      <c r="Y39" s="253"/>
      <c r="Z39" s="254"/>
      <c r="AA39" s="666"/>
      <c r="AB39" s="667"/>
      <c r="AC39" s="251"/>
      <c r="AD39" s="252"/>
      <c r="AG39" s="235" t="s">
        <v>1641</v>
      </c>
      <c r="AI39" s="235">
        <f>Y35+Y86+Y142+Y196+Y250</f>
        <v>24</v>
      </c>
    </row>
    <row r="40" spans="3:35" ht="15.75" customHeight="1">
      <c r="C40" s="238"/>
      <c r="W40" s="668"/>
      <c r="X40" s="669"/>
      <c r="Y40" s="253"/>
      <c r="Z40" s="254"/>
      <c r="AA40" s="255"/>
      <c r="AB40" s="256"/>
      <c r="AC40" s="251"/>
      <c r="AD40" s="252"/>
      <c r="AG40" s="235" t="s">
        <v>1645</v>
      </c>
      <c r="AI40" s="235">
        <v>6</v>
      </c>
    </row>
    <row r="41" spans="3:35" ht="15.75" customHeight="1">
      <c r="C41" s="238"/>
      <c r="W41" s="670"/>
      <c r="X41" s="671"/>
      <c r="Y41" s="257"/>
      <c r="Z41" s="258"/>
      <c r="AA41" s="666"/>
      <c r="AB41" s="667"/>
      <c r="AC41" s="251"/>
      <c r="AD41" s="252"/>
      <c r="AG41" s="235" t="s">
        <v>1646</v>
      </c>
      <c r="AI41" s="235">
        <v>6</v>
      </c>
    </row>
    <row r="42" spans="3:35" ht="15.75" customHeight="1">
      <c r="C42" s="238"/>
      <c r="W42" s="658" t="s">
        <v>1456</v>
      </c>
      <c r="X42" s="659"/>
      <c r="Y42" s="659"/>
      <c r="Z42" s="659"/>
      <c r="AA42" s="259"/>
      <c r="AB42" s="259"/>
      <c r="AC42" s="259"/>
      <c r="AD42" s="260"/>
    </row>
    <row r="43" spans="3:35" ht="15.75" customHeight="1">
      <c r="C43" s="238"/>
      <c r="D43" s="235" t="s">
        <v>1635</v>
      </c>
      <c r="E43" s="495" t="s">
        <v>1636</v>
      </c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5" ht="15.75" customHeight="1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54" t="s">
        <v>11</v>
      </c>
      <c r="X44" s="655"/>
      <c r="Y44" s="656"/>
      <c r="Z44" s="656"/>
      <c r="AA44" s="656"/>
      <c r="AB44" s="656"/>
      <c r="AC44" s="656"/>
      <c r="AD44" s="657"/>
    </row>
    <row r="45" spans="3:35" ht="15.75" customHeight="1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54" t="s">
        <v>984</v>
      </c>
      <c r="X45" s="655"/>
      <c r="Y45" s="656">
        <v>1</v>
      </c>
      <c r="Z45" s="656"/>
      <c r="AA45" s="656"/>
      <c r="AB45" s="656" t="s">
        <v>12</v>
      </c>
      <c r="AC45" s="656"/>
      <c r="AD45" s="267" t="s">
        <v>13</v>
      </c>
    </row>
    <row r="46" spans="3:35" ht="15.75" customHeight="1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54" t="s">
        <v>15</v>
      </c>
      <c r="X46" s="655"/>
      <c r="Y46" s="660"/>
      <c r="Z46" s="660"/>
      <c r="AA46" s="660"/>
      <c r="AB46" s="656" t="s">
        <v>16</v>
      </c>
      <c r="AC46" s="656"/>
      <c r="AD46" s="268"/>
    </row>
    <row r="47" spans="3:35" ht="15.75" customHeight="1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48" t="s">
        <v>17</v>
      </c>
      <c r="X47" s="648"/>
      <c r="Y47" s="648"/>
      <c r="Z47" s="648"/>
      <c r="AA47" s="648"/>
      <c r="AB47" s="648"/>
      <c r="AC47" s="648"/>
      <c r="AD47" s="649"/>
    </row>
    <row r="48" spans="3:35" ht="15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50" t="str">
        <f>RAB!G6</f>
        <v xml:space="preserve">AGR ALI KHAMDAN </v>
      </c>
      <c r="X48" s="650"/>
      <c r="Y48" s="650"/>
      <c r="Z48" s="650"/>
      <c r="AA48" s="650"/>
      <c r="AB48" s="650"/>
      <c r="AC48" s="650"/>
      <c r="AD48" s="651"/>
    </row>
    <row r="49" spans="3:30" ht="15.75" customHeight="1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50"/>
      <c r="X49" s="650"/>
      <c r="Y49" s="650"/>
      <c r="Z49" s="650"/>
      <c r="AA49" s="650"/>
      <c r="AB49" s="650"/>
      <c r="AC49" s="650"/>
      <c r="AD49" s="651"/>
    </row>
    <row r="50" spans="3:30" ht="15.75" customHeight="1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50"/>
      <c r="X50" s="650"/>
      <c r="Y50" s="650"/>
      <c r="Z50" s="650"/>
      <c r="AA50" s="650"/>
      <c r="AB50" s="650"/>
      <c r="AC50" s="650"/>
      <c r="AD50" s="651"/>
    </row>
    <row r="51" spans="3:30" ht="15.7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52"/>
      <c r="X51" s="652"/>
      <c r="Y51" s="652"/>
      <c r="Z51" s="652"/>
      <c r="AA51" s="652"/>
      <c r="AB51" s="652"/>
      <c r="AC51" s="652"/>
      <c r="AD51" s="653"/>
    </row>
    <row r="52" spans="3:30" ht="15.75" customHeight="1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54" t="s">
        <v>18</v>
      </c>
      <c r="X52" s="655"/>
      <c r="Y52" s="656" t="s">
        <v>1549</v>
      </c>
      <c r="Z52" s="656"/>
      <c r="AA52" s="656"/>
      <c r="AB52" s="656"/>
      <c r="AC52" s="656"/>
      <c r="AD52" s="657"/>
    </row>
    <row r="53" spans="3:30" ht="15.75" customHeight="1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54" t="s">
        <v>19</v>
      </c>
      <c r="X53" s="655"/>
      <c r="Y53" s="656" t="s">
        <v>1549</v>
      </c>
      <c r="Z53" s="656"/>
      <c r="AA53" s="656"/>
      <c r="AB53" s="656"/>
      <c r="AC53" s="656"/>
      <c r="AD53" s="657"/>
    </row>
    <row r="54" spans="3:30" ht="15.75" customHeight="1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54" t="s">
        <v>20</v>
      </c>
      <c r="X54" s="655"/>
      <c r="Y54" s="646" t="s">
        <v>1550</v>
      </c>
      <c r="Z54" s="646"/>
      <c r="AA54" s="646"/>
      <c r="AB54" s="656"/>
      <c r="AC54" s="656"/>
      <c r="AD54" s="657"/>
    </row>
    <row r="55" spans="3:30" ht="15.75" customHeight="1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44" t="s">
        <v>21</v>
      </c>
      <c r="X55" s="645"/>
      <c r="Y55" s="646" t="s">
        <v>1551</v>
      </c>
      <c r="Z55" s="646"/>
      <c r="AA55" s="646"/>
      <c r="AB55" s="646"/>
      <c r="AC55" s="646"/>
      <c r="AD55" s="647"/>
    </row>
    <row r="56" spans="3:30" ht="15.75" customHeight="1"/>
    <row r="57" spans="3:30" ht="15.75" customHeight="1" thickBot="1"/>
    <row r="58" spans="3:30" ht="15.75" customHeight="1">
      <c r="C58" s="236"/>
      <c r="D58" s="237"/>
      <c r="E58" s="237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696" t="s">
        <v>1439</v>
      </c>
      <c r="X58" s="697"/>
      <c r="Y58" s="697"/>
      <c r="Z58" s="697"/>
      <c r="AA58" s="697"/>
      <c r="AB58" s="697"/>
      <c r="AC58" s="697"/>
      <c r="AD58" s="698"/>
    </row>
    <row r="59" spans="3:30" ht="15.75" customHeight="1">
      <c r="C59" s="238"/>
      <c r="W59" s="699"/>
      <c r="X59" s="700"/>
      <c r="Y59" s="700"/>
      <c r="Z59" s="700"/>
      <c r="AA59" s="700"/>
      <c r="AB59" s="700"/>
      <c r="AC59" s="700"/>
      <c r="AD59" s="701"/>
    </row>
    <row r="60" spans="3:30" ht="15.75" customHeight="1">
      <c r="C60" s="238"/>
      <c r="W60" s="239" t="s">
        <v>987</v>
      </c>
      <c r="AD60" s="240"/>
    </row>
    <row r="61" spans="3:30" ht="15.75" customHeight="1">
      <c r="C61" s="238"/>
      <c r="W61" s="241" t="s">
        <v>991</v>
      </c>
      <c r="X61" s="656" t="s">
        <v>990</v>
      </c>
      <c r="Y61" s="656"/>
      <c r="Z61" s="656"/>
      <c r="AA61" s="656" t="s">
        <v>988</v>
      </c>
      <c r="AB61" s="656"/>
      <c r="AC61" s="656" t="s">
        <v>989</v>
      </c>
      <c r="AD61" s="657"/>
    </row>
    <row r="62" spans="3:30" ht="15.75" customHeight="1">
      <c r="C62" s="238"/>
      <c r="W62" s="241">
        <v>1</v>
      </c>
      <c r="X62" s="656" t="s">
        <v>993</v>
      </c>
      <c r="Y62" s="656"/>
      <c r="Z62" s="656"/>
      <c r="AA62" s="656"/>
      <c r="AB62" s="656"/>
      <c r="AC62" s="656"/>
      <c r="AD62" s="657"/>
    </row>
    <row r="63" spans="3:30" ht="15.75" customHeight="1">
      <c r="C63" s="238"/>
      <c r="E63" s="475">
        <f>PETA!C62</f>
        <v>0</v>
      </c>
      <c r="W63" s="241">
        <v>2</v>
      </c>
      <c r="X63" s="656" t="s">
        <v>994</v>
      </c>
      <c r="Y63" s="656"/>
      <c r="Z63" s="656"/>
      <c r="AA63" s="656"/>
      <c r="AB63" s="656"/>
      <c r="AC63" s="656"/>
      <c r="AD63" s="657"/>
    </row>
    <row r="64" spans="3:30" ht="15.75" customHeight="1">
      <c r="C64" s="238"/>
      <c r="W64" s="241">
        <v>3</v>
      </c>
      <c r="X64" s="656" t="s">
        <v>995</v>
      </c>
      <c r="Y64" s="656"/>
      <c r="Z64" s="656"/>
      <c r="AA64" s="656"/>
      <c r="AB64" s="656"/>
      <c r="AC64" s="656"/>
      <c r="AD64" s="657"/>
    </row>
    <row r="65" spans="3:30" ht="15.75" customHeight="1">
      <c r="C65" s="238"/>
      <c r="W65" s="241">
        <v>4</v>
      </c>
      <c r="X65" s="656" t="s">
        <v>996</v>
      </c>
      <c r="Y65" s="656"/>
      <c r="Z65" s="656"/>
      <c r="AA65" s="656"/>
      <c r="AB65" s="656"/>
      <c r="AC65" s="656"/>
      <c r="AD65" s="657"/>
    </row>
    <row r="66" spans="3:30" ht="15.75" customHeight="1">
      <c r="C66" s="238"/>
      <c r="W66" s="241">
        <v>5</v>
      </c>
      <c r="X66" s="656" t="s">
        <v>997</v>
      </c>
      <c r="Y66" s="656"/>
      <c r="Z66" s="656"/>
      <c r="AA66" s="656"/>
      <c r="AB66" s="656"/>
      <c r="AC66" s="656"/>
      <c r="AD66" s="657"/>
    </row>
    <row r="67" spans="3:30" ht="15.75" customHeight="1">
      <c r="C67" s="238"/>
      <c r="W67" s="241">
        <v>6</v>
      </c>
      <c r="X67" s="656" t="s">
        <v>998</v>
      </c>
      <c r="Y67" s="656"/>
      <c r="Z67" s="656"/>
      <c r="AA67" s="656"/>
      <c r="AB67" s="656"/>
      <c r="AC67" s="656"/>
      <c r="AD67" s="657"/>
    </row>
    <row r="68" spans="3:30" ht="15.75" customHeight="1">
      <c r="C68" s="238"/>
      <c r="W68" s="241">
        <v>7</v>
      </c>
      <c r="X68" s="656" t="s">
        <v>999</v>
      </c>
      <c r="Y68" s="656"/>
      <c r="Z68" s="656"/>
      <c r="AA68" s="656"/>
      <c r="AB68" s="656"/>
      <c r="AC68" s="656"/>
      <c r="AD68" s="657"/>
    </row>
    <row r="69" spans="3:30" ht="15.75" customHeight="1">
      <c r="C69" s="238"/>
      <c r="W69" s="241">
        <v>8</v>
      </c>
      <c r="X69" s="656" t="s">
        <v>1000</v>
      </c>
      <c r="Y69" s="656"/>
      <c r="Z69" s="656"/>
      <c r="AA69" s="656"/>
      <c r="AB69" s="656"/>
      <c r="AC69" s="656"/>
      <c r="AD69" s="657"/>
    </row>
    <row r="70" spans="3:30" ht="15.75" customHeight="1">
      <c r="C70" s="238"/>
      <c r="W70" s="241">
        <v>9</v>
      </c>
      <c r="X70" s="656" t="s">
        <v>1001</v>
      </c>
      <c r="Y70" s="656"/>
      <c r="Z70" s="656"/>
      <c r="AA70" s="656"/>
      <c r="AB70" s="656"/>
      <c r="AC70" s="656"/>
      <c r="AD70" s="657"/>
    </row>
    <row r="71" spans="3:30" ht="15.75" customHeight="1">
      <c r="C71" s="238"/>
      <c r="W71" s="241">
        <v>10</v>
      </c>
      <c r="X71" s="656" t="s">
        <v>1010</v>
      </c>
      <c r="Y71" s="656"/>
      <c r="Z71" s="656"/>
      <c r="AA71" s="656"/>
      <c r="AB71" s="656"/>
      <c r="AC71" s="656"/>
      <c r="AD71" s="657"/>
    </row>
    <row r="72" spans="3:30" ht="15.75" customHeight="1">
      <c r="C72" s="238"/>
      <c r="W72" s="241">
        <v>11</v>
      </c>
      <c r="X72" s="656" t="s">
        <v>1455</v>
      </c>
      <c r="Y72" s="656"/>
      <c r="Z72" s="656"/>
      <c r="AA72" s="656"/>
      <c r="AB72" s="656"/>
      <c r="AC72" s="656"/>
      <c r="AD72" s="657"/>
    </row>
    <row r="73" spans="3:30" ht="15.75" customHeight="1">
      <c r="C73" s="238"/>
      <c r="S73" s="242"/>
      <c r="W73" s="241">
        <v>12</v>
      </c>
      <c r="X73" s="656" t="s">
        <v>1011</v>
      </c>
      <c r="Y73" s="656"/>
      <c r="Z73" s="656"/>
      <c r="AA73" s="656"/>
      <c r="AB73" s="656"/>
      <c r="AC73" s="656"/>
      <c r="AD73" s="657"/>
    </row>
    <row r="74" spans="3:30" ht="15.75" customHeight="1">
      <c r="C74" s="243"/>
      <c r="D74" s="244"/>
      <c r="E74" s="244"/>
      <c r="W74" s="241">
        <v>13</v>
      </c>
      <c r="X74" s="656"/>
      <c r="Y74" s="656"/>
      <c r="Z74" s="656"/>
      <c r="AA74" s="656"/>
      <c r="AB74" s="656"/>
      <c r="AC74" s="656"/>
      <c r="AD74" s="657"/>
    </row>
    <row r="75" spans="3:30" ht="15.75" customHeight="1">
      <c r="C75" s="238"/>
      <c r="W75" s="245"/>
      <c r="X75" s="685"/>
      <c r="Y75" s="685"/>
      <c r="Z75" s="685"/>
      <c r="AA75" s="685"/>
      <c r="AB75" s="685"/>
      <c r="AC75" s="685"/>
      <c r="AD75" s="686"/>
    </row>
    <row r="76" spans="3:30" ht="15.75" customHeight="1">
      <c r="C76" s="238"/>
      <c r="W76" s="687" t="s">
        <v>992</v>
      </c>
      <c r="X76" s="688"/>
      <c r="Y76" s="688"/>
      <c r="Z76" s="688"/>
      <c r="AA76" s="688"/>
      <c r="AB76" s="688"/>
      <c r="AC76" s="688"/>
      <c r="AD76" s="689"/>
    </row>
    <row r="77" spans="3:30" ht="15.75" customHeight="1">
      <c r="C77" s="238"/>
      <c r="W77" s="690" t="s">
        <v>985</v>
      </c>
      <c r="X77" s="691"/>
      <c r="Y77" s="691"/>
      <c r="Z77" s="692"/>
      <c r="AA77" s="693" t="s">
        <v>986</v>
      </c>
      <c r="AB77" s="694"/>
      <c r="AC77" s="694"/>
      <c r="AD77" s="695"/>
    </row>
    <row r="78" spans="3:30" ht="15.75" customHeight="1">
      <c r="C78" s="238"/>
      <c r="W78" s="672" t="s">
        <v>1639</v>
      </c>
      <c r="X78" s="673"/>
      <c r="Y78" s="479">
        <v>2</v>
      </c>
      <c r="Z78" s="480"/>
      <c r="AA78" s="679" t="s">
        <v>1634</v>
      </c>
      <c r="AB78" s="680"/>
      <c r="AC78" s="248">
        <v>15</v>
      </c>
      <c r="AD78" s="249"/>
    </row>
    <row r="79" spans="3:30" ht="15.75" customHeight="1">
      <c r="C79" s="238"/>
      <c r="W79" s="672" t="s">
        <v>1624</v>
      </c>
      <c r="X79" s="673"/>
      <c r="Y79" s="479">
        <v>7</v>
      </c>
      <c r="Z79" s="480"/>
      <c r="AA79" s="683" t="s">
        <v>1637</v>
      </c>
      <c r="AB79" s="684"/>
      <c r="AC79" s="248">
        <v>2</v>
      </c>
      <c r="AD79" s="249"/>
    </row>
    <row r="80" spans="3:30" ht="15.75" customHeight="1">
      <c r="C80" s="238"/>
      <c r="W80" s="676" t="s">
        <v>1640</v>
      </c>
      <c r="X80" s="677"/>
      <c r="Y80" s="479">
        <v>1</v>
      </c>
      <c r="Z80" s="480"/>
      <c r="AA80" s="683"/>
      <c r="AB80" s="684"/>
      <c r="AC80" s="248"/>
      <c r="AD80" s="249"/>
    </row>
    <row r="81" spans="3:30" ht="15.75" customHeight="1">
      <c r="C81" s="238"/>
      <c r="W81" s="477" t="s">
        <v>1658</v>
      </c>
      <c r="X81" s="478"/>
      <c r="Y81" s="479">
        <v>2</v>
      </c>
      <c r="Z81" s="480"/>
      <c r="AA81" s="681"/>
      <c r="AB81" s="682"/>
      <c r="AC81" s="248"/>
      <c r="AD81" s="249"/>
    </row>
    <row r="82" spans="3:30" ht="15.75" customHeight="1">
      <c r="C82" s="238"/>
      <c r="W82" s="676" t="s">
        <v>1626</v>
      </c>
      <c r="X82" s="677"/>
      <c r="Y82" s="479">
        <v>2</v>
      </c>
      <c r="Z82" s="480"/>
      <c r="AA82" s="681"/>
      <c r="AB82" s="682"/>
      <c r="AC82" s="248"/>
      <c r="AD82" s="249"/>
    </row>
    <row r="83" spans="3:30" ht="15.75" customHeight="1">
      <c r="C83" s="238"/>
      <c r="W83" s="676" t="s">
        <v>1627</v>
      </c>
      <c r="X83" s="677"/>
      <c r="Y83" s="479">
        <v>3</v>
      </c>
      <c r="Z83" s="480"/>
      <c r="AA83" s="674"/>
      <c r="AB83" s="675"/>
      <c r="AC83" s="248"/>
      <c r="AD83" s="249"/>
    </row>
    <row r="84" spans="3:30" ht="15.75" customHeight="1">
      <c r="C84" s="238"/>
      <c r="W84" s="676" t="s">
        <v>1638</v>
      </c>
      <c r="X84" s="677"/>
      <c r="Y84" s="479">
        <v>13</v>
      </c>
      <c r="Z84" s="480"/>
      <c r="AA84" s="674"/>
      <c r="AB84" s="675"/>
      <c r="AC84" s="248"/>
      <c r="AD84" s="249"/>
    </row>
    <row r="85" spans="3:30" ht="15.75" customHeight="1">
      <c r="C85" s="238"/>
      <c r="W85" s="676" t="s">
        <v>1630</v>
      </c>
      <c r="X85" s="677"/>
      <c r="Y85" s="479">
        <v>3</v>
      </c>
      <c r="Z85" s="480"/>
      <c r="AA85" s="674"/>
      <c r="AB85" s="675"/>
      <c r="AC85" s="248"/>
      <c r="AD85" s="249"/>
    </row>
    <row r="86" spans="3:30" ht="15.75" customHeight="1">
      <c r="C86" s="238"/>
      <c r="W86" s="477" t="s">
        <v>1641</v>
      </c>
      <c r="X86" s="478"/>
      <c r="Y86" s="479">
        <v>2</v>
      </c>
      <c r="Z86" s="480"/>
      <c r="AA86" s="674"/>
      <c r="AB86" s="675"/>
      <c r="AC86" s="248"/>
      <c r="AD86" s="249"/>
    </row>
    <row r="87" spans="3:30" ht="15.75" customHeight="1">
      <c r="C87" s="238"/>
      <c r="U87" s="250"/>
      <c r="W87" s="676" t="s">
        <v>1642</v>
      </c>
      <c r="X87" s="677"/>
      <c r="Y87" s="479">
        <v>1</v>
      </c>
      <c r="Z87" s="480"/>
      <c r="AA87" s="674"/>
      <c r="AB87" s="675"/>
      <c r="AC87" s="248"/>
      <c r="AD87" s="249"/>
    </row>
    <row r="88" spans="3:30" ht="15.75" customHeight="1">
      <c r="C88" s="238"/>
      <c r="U88" s="250"/>
      <c r="W88" s="672"/>
      <c r="X88" s="673"/>
      <c r="Y88" s="246"/>
      <c r="Z88" s="480"/>
      <c r="AA88" s="674"/>
      <c r="AB88" s="675"/>
      <c r="AC88" s="248"/>
      <c r="AD88" s="249"/>
    </row>
    <row r="89" spans="3:30" ht="15.75" customHeight="1">
      <c r="C89" s="238"/>
      <c r="W89" s="676"/>
      <c r="X89" s="677"/>
      <c r="Y89" s="479"/>
      <c r="Z89" s="480"/>
      <c r="AA89" s="678"/>
      <c r="AB89" s="678"/>
      <c r="AC89" s="248"/>
      <c r="AD89" s="249"/>
    </row>
    <row r="90" spans="3:30" ht="15.75" customHeight="1">
      <c r="C90" s="238"/>
      <c r="W90" s="477"/>
      <c r="X90" s="478"/>
      <c r="Y90" s="246"/>
      <c r="Z90" s="480"/>
      <c r="AA90" s="678"/>
      <c r="AB90" s="678"/>
      <c r="AC90" s="248"/>
      <c r="AD90" s="249"/>
    </row>
    <row r="91" spans="3:30" ht="15.75" customHeight="1">
      <c r="C91" s="238"/>
      <c r="W91" s="676"/>
      <c r="X91" s="677"/>
      <c r="Y91" s="246"/>
      <c r="Z91" s="247"/>
      <c r="AA91" s="678"/>
      <c r="AB91" s="678"/>
      <c r="AC91" s="248"/>
      <c r="AD91" s="249"/>
    </row>
    <row r="92" spans="3:30" ht="15.75" customHeight="1">
      <c r="C92" s="238"/>
      <c r="W92" s="676"/>
      <c r="X92" s="677"/>
      <c r="Y92" s="479"/>
      <c r="Z92" s="480"/>
      <c r="AA92" s="678"/>
      <c r="AB92" s="678"/>
      <c r="AC92" s="248"/>
      <c r="AD92" s="249"/>
    </row>
    <row r="93" spans="3:30" ht="15.75" customHeight="1">
      <c r="C93" s="238"/>
      <c r="W93" s="661"/>
      <c r="X93" s="662"/>
      <c r="Y93" s="246"/>
      <c r="Z93" s="480"/>
      <c r="AA93" s="663"/>
      <c r="AB93" s="663"/>
      <c r="AC93" s="251"/>
      <c r="AD93" s="252"/>
    </row>
    <row r="94" spans="3:30" ht="15.75" customHeight="1">
      <c r="C94" s="238"/>
      <c r="W94" s="661"/>
      <c r="X94" s="662"/>
      <c r="Y94" s="253"/>
      <c r="Z94" s="247"/>
      <c r="AA94" s="664"/>
      <c r="AB94" s="665"/>
      <c r="AC94" s="251"/>
      <c r="AD94" s="252"/>
    </row>
    <row r="95" spans="3:30" ht="15.75" customHeight="1">
      <c r="C95" s="238"/>
      <c r="W95" s="661"/>
      <c r="X95" s="662"/>
      <c r="Y95" s="253"/>
      <c r="Z95" s="254"/>
      <c r="AA95" s="666"/>
      <c r="AB95" s="667"/>
      <c r="AC95" s="251"/>
      <c r="AD95" s="252"/>
    </row>
    <row r="96" spans="3:30" ht="15.75" customHeight="1">
      <c r="C96" s="238"/>
      <c r="W96" s="668"/>
      <c r="X96" s="669"/>
      <c r="Y96" s="253"/>
      <c r="Z96" s="254"/>
      <c r="AA96" s="255"/>
      <c r="AB96" s="256"/>
      <c r="AC96" s="251"/>
      <c r="AD96" s="252"/>
    </row>
    <row r="97" spans="3:30" ht="15.75" customHeight="1">
      <c r="C97" s="238"/>
      <c r="W97" s="670"/>
      <c r="X97" s="671"/>
      <c r="Y97" s="257"/>
      <c r="Z97" s="258"/>
      <c r="AA97" s="666"/>
      <c r="AB97" s="667"/>
      <c r="AC97" s="251"/>
      <c r="AD97" s="252"/>
    </row>
    <row r="98" spans="3:30" ht="15.75" customHeight="1">
      <c r="C98" s="238"/>
      <c r="W98" s="658" t="s">
        <v>1456</v>
      </c>
      <c r="X98" s="659"/>
      <c r="Y98" s="659"/>
      <c r="Z98" s="659"/>
      <c r="AA98" s="259"/>
      <c r="AB98" s="259"/>
      <c r="AC98" s="259"/>
      <c r="AD98" s="260"/>
    </row>
    <row r="99" spans="3:30" ht="15.75" customHeight="1">
      <c r="C99" s="238"/>
      <c r="V99" s="261"/>
      <c r="W99" s="262"/>
      <c r="X99" s="263"/>
      <c r="Y99" s="263"/>
      <c r="Z99" s="263"/>
      <c r="AA99" s="263"/>
      <c r="AB99" s="263"/>
      <c r="AC99" s="263"/>
      <c r="AD99" s="264"/>
    </row>
    <row r="100" spans="3:30" ht="15.75" customHeight="1">
      <c r="C100" s="265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1"/>
      <c r="W100" s="654" t="s">
        <v>11</v>
      </c>
      <c r="X100" s="655"/>
      <c r="Y100" s="656"/>
      <c r="Z100" s="656"/>
      <c r="AA100" s="656"/>
      <c r="AB100" s="656"/>
      <c r="AC100" s="656"/>
      <c r="AD100" s="657"/>
    </row>
    <row r="101" spans="3:30" ht="15.75" customHeight="1">
      <c r="C101" s="265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1"/>
      <c r="W101" s="654" t="s">
        <v>984</v>
      </c>
      <c r="X101" s="655"/>
      <c r="Y101" s="656">
        <v>1</v>
      </c>
      <c r="Z101" s="656"/>
      <c r="AA101" s="656"/>
      <c r="AB101" s="656" t="s">
        <v>12</v>
      </c>
      <c r="AC101" s="656"/>
      <c r="AD101" s="267" t="s">
        <v>13</v>
      </c>
    </row>
    <row r="102" spans="3:30" ht="15.75" customHeight="1">
      <c r="C102" s="265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1"/>
      <c r="W102" s="654" t="s">
        <v>15</v>
      </c>
      <c r="X102" s="655"/>
      <c r="Y102" s="660"/>
      <c r="Z102" s="660"/>
      <c r="AA102" s="660"/>
      <c r="AB102" s="656" t="s">
        <v>16</v>
      </c>
      <c r="AC102" s="656"/>
      <c r="AD102" s="268"/>
    </row>
    <row r="103" spans="3:30" ht="15.75" customHeight="1">
      <c r="C103" s="265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1"/>
      <c r="W103" s="648" t="s">
        <v>17</v>
      </c>
      <c r="X103" s="648"/>
      <c r="Y103" s="648"/>
      <c r="Z103" s="648"/>
      <c r="AA103" s="648"/>
      <c r="AB103" s="648"/>
      <c r="AC103" s="648"/>
      <c r="AD103" s="649"/>
    </row>
    <row r="104" spans="3:30" ht="15.75" customHeight="1">
      <c r="C104" s="265"/>
      <c r="D104" s="266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1"/>
      <c r="W104" s="650">
        <f ca="1">RAB!G245</f>
        <v>2500</v>
      </c>
      <c r="X104" s="650"/>
      <c r="Y104" s="650"/>
      <c r="Z104" s="650"/>
      <c r="AA104" s="650"/>
      <c r="AB104" s="650"/>
      <c r="AC104" s="650"/>
      <c r="AD104" s="651"/>
    </row>
    <row r="105" spans="3:30" ht="15.75" customHeight="1">
      <c r="C105" s="265"/>
      <c r="D105" s="266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9"/>
      <c r="W105" s="650"/>
      <c r="X105" s="650"/>
      <c r="Y105" s="650"/>
      <c r="Z105" s="650"/>
      <c r="AA105" s="650"/>
      <c r="AB105" s="650"/>
      <c r="AC105" s="650"/>
      <c r="AD105" s="651"/>
    </row>
    <row r="106" spans="3:30" ht="15.75" customHeight="1">
      <c r="C106" s="265"/>
      <c r="D106" s="266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9"/>
      <c r="W106" s="650"/>
      <c r="X106" s="650"/>
      <c r="Y106" s="650"/>
      <c r="Z106" s="650"/>
      <c r="AA106" s="650"/>
      <c r="AB106" s="650"/>
      <c r="AC106" s="650"/>
      <c r="AD106" s="651"/>
    </row>
    <row r="107" spans="3:30" ht="15.75" customHeight="1">
      <c r="C107" s="265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6"/>
      <c r="V107" s="269"/>
      <c r="W107" s="652"/>
      <c r="X107" s="652"/>
      <c r="Y107" s="652"/>
      <c r="Z107" s="652"/>
      <c r="AA107" s="652"/>
      <c r="AB107" s="652"/>
      <c r="AC107" s="652"/>
      <c r="AD107" s="653"/>
    </row>
    <row r="108" spans="3:30" ht="15.75" customHeight="1">
      <c r="C108" s="265"/>
      <c r="D108" s="266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6"/>
      <c r="V108" s="261"/>
      <c r="W108" s="654" t="s">
        <v>18</v>
      </c>
      <c r="X108" s="655"/>
      <c r="Y108" s="656" t="s">
        <v>1549</v>
      </c>
      <c r="Z108" s="656"/>
      <c r="AA108" s="656"/>
      <c r="AB108" s="656"/>
      <c r="AC108" s="656"/>
      <c r="AD108" s="657"/>
    </row>
    <row r="109" spans="3:30" ht="15.75" customHeight="1">
      <c r="C109" s="265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V109" s="261"/>
      <c r="W109" s="654" t="s">
        <v>19</v>
      </c>
      <c r="X109" s="655"/>
      <c r="Y109" s="656" t="s">
        <v>1549</v>
      </c>
      <c r="Z109" s="656"/>
      <c r="AA109" s="656"/>
      <c r="AB109" s="656"/>
      <c r="AC109" s="656"/>
      <c r="AD109" s="657"/>
    </row>
    <row r="110" spans="3:30" ht="15.75" customHeight="1" thickBot="1">
      <c r="C110" s="265"/>
      <c r="D110" s="266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V110" s="261"/>
      <c r="W110" s="654" t="s">
        <v>20</v>
      </c>
      <c r="X110" s="655"/>
      <c r="Y110" s="646" t="s">
        <v>1550</v>
      </c>
      <c r="Z110" s="646"/>
      <c r="AA110" s="646"/>
      <c r="AB110" s="656"/>
      <c r="AC110" s="656"/>
      <c r="AD110" s="657"/>
    </row>
    <row r="111" spans="3:30" ht="15.75" customHeight="1" thickBot="1">
      <c r="C111" s="270"/>
      <c r="D111" s="271"/>
      <c r="E111" s="271"/>
      <c r="F111" s="271"/>
      <c r="G111" s="271"/>
      <c r="H111" s="27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2"/>
      <c r="V111" s="273"/>
      <c r="W111" s="644" t="s">
        <v>21</v>
      </c>
      <c r="X111" s="645"/>
      <c r="Y111" s="646" t="s">
        <v>1551</v>
      </c>
      <c r="Z111" s="646"/>
      <c r="AA111" s="646"/>
      <c r="AB111" s="646"/>
      <c r="AC111" s="646"/>
      <c r="AD111" s="647"/>
    </row>
    <row r="112" spans="3:30" ht="15.75" customHeight="1">
      <c r="C112" s="266"/>
      <c r="D112" s="266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6"/>
    </row>
    <row r="113" spans="3:30" ht="15.75" customHeight="1" thickBot="1"/>
    <row r="114" spans="3:30" ht="15.75" customHeight="1">
      <c r="C114" s="236"/>
      <c r="D114" s="237"/>
      <c r="E114" s="237"/>
      <c r="F114" s="237"/>
      <c r="G114" s="237"/>
      <c r="H114" s="237"/>
      <c r="I114" s="237"/>
      <c r="J114" s="237"/>
      <c r="K114" s="237"/>
      <c r="L114" s="237"/>
      <c r="M114" s="237"/>
      <c r="N114" s="237"/>
      <c r="O114" s="237"/>
      <c r="P114" s="237"/>
      <c r="Q114" s="237"/>
      <c r="R114" s="237"/>
      <c r="S114" s="237"/>
      <c r="T114" s="237"/>
      <c r="U114" s="237"/>
      <c r="V114" s="237"/>
      <c r="W114" s="696" t="s">
        <v>1439</v>
      </c>
      <c r="X114" s="697"/>
      <c r="Y114" s="697"/>
      <c r="Z114" s="697"/>
      <c r="AA114" s="697"/>
      <c r="AB114" s="697"/>
      <c r="AC114" s="697"/>
      <c r="AD114" s="698"/>
    </row>
    <row r="115" spans="3:30" ht="15.75" customHeight="1">
      <c r="C115" s="238"/>
      <c r="W115" s="699"/>
      <c r="X115" s="700"/>
      <c r="Y115" s="700"/>
      <c r="Z115" s="700"/>
      <c r="AA115" s="700"/>
      <c r="AB115" s="700"/>
      <c r="AC115" s="700"/>
      <c r="AD115" s="701"/>
    </row>
    <row r="116" spans="3:30" ht="15.75" customHeight="1">
      <c r="C116" s="238"/>
      <c r="W116" s="239" t="s">
        <v>987</v>
      </c>
      <c r="AD116" s="240"/>
    </row>
    <row r="117" spans="3:30" ht="15.75" customHeight="1">
      <c r="C117" s="238"/>
      <c r="W117" s="241" t="s">
        <v>991</v>
      </c>
      <c r="X117" s="656" t="s">
        <v>990</v>
      </c>
      <c r="Y117" s="656"/>
      <c r="Z117" s="656"/>
      <c r="AA117" s="656" t="s">
        <v>988</v>
      </c>
      <c r="AB117" s="656"/>
      <c r="AC117" s="656" t="s">
        <v>989</v>
      </c>
      <c r="AD117" s="657"/>
    </row>
    <row r="118" spans="3:30" ht="15.75" customHeight="1">
      <c r="C118" s="238"/>
      <c r="W118" s="241">
        <v>1</v>
      </c>
      <c r="X118" s="656" t="s">
        <v>993</v>
      </c>
      <c r="Y118" s="656"/>
      <c r="Z118" s="656"/>
      <c r="AA118" s="656"/>
      <c r="AB118" s="656"/>
      <c r="AC118" s="656"/>
      <c r="AD118" s="657"/>
    </row>
    <row r="119" spans="3:30" ht="15.75" customHeight="1">
      <c r="C119" s="238"/>
      <c r="E119" s="475">
        <f>PETA!C117</f>
        <v>0</v>
      </c>
      <c r="W119" s="241">
        <v>2</v>
      </c>
      <c r="X119" s="656" t="s">
        <v>994</v>
      </c>
      <c r="Y119" s="656"/>
      <c r="Z119" s="656"/>
      <c r="AA119" s="656"/>
      <c r="AB119" s="656"/>
      <c r="AC119" s="656"/>
      <c r="AD119" s="657"/>
    </row>
    <row r="120" spans="3:30" ht="15.75" customHeight="1">
      <c r="C120" s="238"/>
      <c r="W120" s="241">
        <v>3</v>
      </c>
      <c r="X120" s="656" t="s">
        <v>995</v>
      </c>
      <c r="Y120" s="656"/>
      <c r="Z120" s="656"/>
      <c r="AA120" s="656"/>
      <c r="AB120" s="656"/>
      <c r="AC120" s="656"/>
      <c r="AD120" s="657"/>
    </row>
    <row r="121" spans="3:30" ht="15.75" customHeight="1">
      <c r="C121" s="238"/>
      <c r="W121" s="241">
        <v>4</v>
      </c>
      <c r="X121" s="656" t="s">
        <v>996</v>
      </c>
      <c r="Y121" s="656"/>
      <c r="Z121" s="656"/>
      <c r="AA121" s="656"/>
      <c r="AB121" s="656"/>
      <c r="AC121" s="656"/>
      <c r="AD121" s="657"/>
    </row>
    <row r="122" spans="3:30" ht="15.75" customHeight="1">
      <c r="C122" s="238"/>
      <c r="W122" s="241">
        <v>5</v>
      </c>
      <c r="X122" s="656" t="s">
        <v>997</v>
      </c>
      <c r="Y122" s="656"/>
      <c r="Z122" s="656"/>
      <c r="AA122" s="656"/>
      <c r="AB122" s="656"/>
      <c r="AC122" s="656"/>
      <c r="AD122" s="657"/>
    </row>
    <row r="123" spans="3:30" ht="15.75" customHeight="1">
      <c r="C123" s="238"/>
      <c r="W123" s="241">
        <v>6</v>
      </c>
      <c r="X123" s="656" t="s">
        <v>998</v>
      </c>
      <c r="Y123" s="656"/>
      <c r="Z123" s="656"/>
      <c r="AA123" s="656"/>
      <c r="AB123" s="656"/>
      <c r="AC123" s="656"/>
      <c r="AD123" s="657"/>
    </row>
    <row r="124" spans="3:30" ht="15.75" customHeight="1">
      <c r="C124" s="238"/>
      <c r="W124" s="241">
        <v>7</v>
      </c>
      <c r="X124" s="656" t="s">
        <v>999</v>
      </c>
      <c r="Y124" s="656"/>
      <c r="Z124" s="656"/>
      <c r="AA124" s="656"/>
      <c r="AB124" s="656"/>
      <c r="AC124" s="656"/>
      <c r="AD124" s="657"/>
    </row>
    <row r="125" spans="3:30" ht="15.75" customHeight="1">
      <c r="C125" s="238"/>
      <c r="W125" s="241">
        <v>8</v>
      </c>
      <c r="X125" s="656" t="s">
        <v>1000</v>
      </c>
      <c r="Y125" s="656"/>
      <c r="Z125" s="656"/>
      <c r="AA125" s="656"/>
      <c r="AB125" s="656"/>
      <c r="AC125" s="656"/>
      <c r="AD125" s="657"/>
    </row>
    <row r="126" spans="3:30" ht="15.75" customHeight="1">
      <c r="C126" s="238"/>
      <c r="W126" s="241">
        <v>9</v>
      </c>
      <c r="X126" s="656" t="s">
        <v>1001</v>
      </c>
      <c r="Y126" s="656"/>
      <c r="Z126" s="656"/>
      <c r="AA126" s="656"/>
      <c r="AB126" s="656"/>
      <c r="AC126" s="656"/>
      <c r="AD126" s="657"/>
    </row>
    <row r="127" spans="3:30" ht="15.75" customHeight="1">
      <c r="C127" s="238"/>
      <c r="W127" s="241">
        <v>10</v>
      </c>
      <c r="X127" s="656" t="s">
        <v>1010</v>
      </c>
      <c r="Y127" s="656"/>
      <c r="Z127" s="656"/>
      <c r="AA127" s="656"/>
      <c r="AB127" s="656"/>
      <c r="AC127" s="656"/>
      <c r="AD127" s="657"/>
    </row>
    <row r="128" spans="3:30" ht="15.75" customHeight="1">
      <c r="C128" s="238"/>
      <c r="W128" s="241">
        <v>11</v>
      </c>
      <c r="X128" s="656" t="s">
        <v>1455</v>
      </c>
      <c r="Y128" s="656"/>
      <c r="Z128" s="656"/>
      <c r="AA128" s="656"/>
      <c r="AB128" s="656"/>
      <c r="AC128" s="656"/>
      <c r="AD128" s="657"/>
    </row>
    <row r="129" spans="3:30" ht="15.75" customHeight="1">
      <c r="C129" s="238"/>
      <c r="S129" s="242"/>
      <c r="W129" s="241">
        <v>12</v>
      </c>
      <c r="X129" s="656" t="s">
        <v>1011</v>
      </c>
      <c r="Y129" s="656"/>
      <c r="Z129" s="656"/>
      <c r="AA129" s="656"/>
      <c r="AB129" s="656"/>
      <c r="AC129" s="656"/>
      <c r="AD129" s="657"/>
    </row>
    <row r="130" spans="3:30" ht="15.75" customHeight="1">
      <c r="C130" s="243"/>
      <c r="D130" s="244"/>
      <c r="E130" s="244"/>
      <c r="W130" s="241">
        <v>13</v>
      </c>
      <c r="X130" s="656"/>
      <c r="Y130" s="656"/>
      <c r="Z130" s="656"/>
      <c r="AA130" s="656"/>
      <c r="AB130" s="656"/>
      <c r="AC130" s="656"/>
      <c r="AD130" s="657"/>
    </row>
    <row r="131" spans="3:30" ht="15.75" customHeight="1">
      <c r="C131" s="238"/>
      <c r="W131" s="245"/>
      <c r="X131" s="685"/>
      <c r="Y131" s="685"/>
      <c r="Z131" s="685"/>
      <c r="AA131" s="685"/>
      <c r="AB131" s="685"/>
      <c r="AC131" s="685"/>
      <c r="AD131" s="686"/>
    </row>
    <row r="132" spans="3:30" ht="15.75" customHeight="1">
      <c r="C132" s="238"/>
      <c r="W132" s="687" t="s">
        <v>992</v>
      </c>
      <c r="X132" s="688"/>
      <c r="Y132" s="688"/>
      <c r="Z132" s="688"/>
      <c r="AA132" s="688"/>
      <c r="AB132" s="688"/>
      <c r="AC132" s="688"/>
      <c r="AD132" s="689"/>
    </row>
    <row r="133" spans="3:30" ht="15.75" customHeight="1">
      <c r="C133" s="238"/>
      <c r="W133" s="690" t="s">
        <v>985</v>
      </c>
      <c r="X133" s="691"/>
      <c r="Y133" s="691"/>
      <c r="Z133" s="692"/>
      <c r="AA133" s="693" t="s">
        <v>986</v>
      </c>
      <c r="AB133" s="694"/>
      <c r="AC133" s="694"/>
      <c r="AD133" s="695"/>
    </row>
    <row r="134" spans="3:30" ht="15.75" customHeight="1">
      <c r="C134" s="238"/>
      <c r="W134" s="672" t="s">
        <v>1639</v>
      </c>
      <c r="X134" s="673"/>
      <c r="Y134" s="479">
        <v>1</v>
      </c>
      <c r="Z134" s="480"/>
      <c r="AA134" s="679" t="s">
        <v>1634</v>
      </c>
      <c r="AB134" s="680"/>
      <c r="AC134" s="248">
        <v>5</v>
      </c>
      <c r="AD134" s="249"/>
    </row>
    <row r="135" spans="3:30" ht="15.75" customHeight="1">
      <c r="C135" s="238"/>
      <c r="W135" s="672" t="s">
        <v>1624</v>
      </c>
      <c r="X135" s="673"/>
      <c r="Y135" s="479">
        <v>1</v>
      </c>
      <c r="Z135" s="480"/>
      <c r="AA135" s="683" t="s">
        <v>1637</v>
      </c>
      <c r="AB135" s="684"/>
      <c r="AC135" s="248">
        <v>1</v>
      </c>
      <c r="AD135" s="249"/>
    </row>
    <row r="136" spans="3:30" ht="15.75" customHeight="1">
      <c r="C136" s="238"/>
      <c r="W136" s="676" t="s">
        <v>1658</v>
      </c>
      <c r="X136" s="677"/>
      <c r="Y136" s="479">
        <v>1</v>
      </c>
      <c r="Z136" s="480"/>
      <c r="AA136" s="683" t="s">
        <v>1644</v>
      </c>
      <c r="AB136" s="684"/>
      <c r="AC136" s="248">
        <v>1</v>
      </c>
      <c r="AD136" s="249"/>
    </row>
    <row r="137" spans="3:30" ht="15.75" customHeight="1">
      <c r="C137" s="238"/>
      <c r="W137" s="477" t="s">
        <v>1643</v>
      </c>
      <c r="X137" s="478"/>
      <c r="Y137" s="479">
        <v>1</v>
      </c>
      <c r="Z137" s="480"/>
      <c r="AA137" s="681"/>
      <c r="AB137" s="682"/>
      <c r="AC137" s="248"/>
      <c r="AD137" s="249"/>
    </row>
    <row r="138" spans="3:30" ht="15.75" customHeight="1">
      <c r="C138" s="238"/>
      <c r="W138" s="676" t="s">
        <v>1627</v>
      </c>
      <c r="X138" s="677"/>
      <c r="Y138" s="479">
        <v>2</v>
      </c>
      <c r="Z138" s="480"/>
      <c r="AA138" s="681"/>
      <c r="AB138" s="682"/>
      <c r="AC138" s="248"/>
      <c r="AD138" s="249"/>
    </row>
    <row r="139" spans="3:30" ht="15.75" customHeight="1">
      <c r="C139" s="238"/>
      <c r="W139" s="676" t="s">
        <v>1638</v>
      </c>
      <c r="X139" s="677"/>
      <c r="Y139" s="479">
        <v>4</v>
      </c>
      <c r="Z139" s="480"/>
      <c r="AA139" s="674"/>
      <c r="AB139" s="675"/>
      <c r="AC139" s="248"/>
      <c r="AD139" s="249"/>
    </row>
    <row r="140" spans="3:30" ht="15.75" customHeight="1">
      <c r="C140" s="238"/>
      <c r="W140" s="676" t="s">
        <v>1642</v>
      </c>
      <c r="X140" s="677"/>
      <c r="Y140" s="479">
        <v>2</v>
      </c>
      <c r="Z140" s="480"/>
      <c r="AA140" s="674"/>
      <c r="AB140" s="675"/>
      <c r="AC140" s="248"/>
      <c r="AD140" s="249"/>
    </row>
    <row r="141" spans="3:30" ht="15.75" customHeight="1">
      <c r="C141" s="238"/>
      <c r="W141" s="676" t="s">
        <v>1644</v>
      </c>
      <c r="X141" s="677"/>
      <c r="Y141" s="479">
        <v>2</v>
      </c>
      <c r="Z141" s="480"/>
      <c r="AA141" s="674"/>
      <c r="AB141" s="675"/>
      <c r="AC141" s="248"/>
      <c r="AD141" s="249"/>
    </row>
    <row r="142" spans="3:30" ht="15.75" customHeight="1">
      <c r="C142" s="238"/>
      <c r="W142" s="477" t="s">
        <v>1641</v>
      </c>
      <c r="X142" s="478"/>
      <c r="Y142" s="479">
        <v>1</v>
      </c>
      <c r="Z142" s="480"/>
      <c r="AA142" s="674"/>
      <c r="AB142" s="675"/>
      <c r="AC142" s="248"/>
      <c r="AD142" s="249"/>
    </row>
    <row r="143" spans="3:30" ht="15.75" customHeight="1">
      <c r="C143" s="238"/>
      <c r="U143" s="250"/>
      <c r="W143" s="676"/>
      <c r="X143" s="677"/>
      <c r="Y143" s="479"/>
      <c r="Z143" s="480"/>
      <c r="AA143" s="674"/>
      <c r="AB143" s="675"/>
      <c r="AC143" s="248"/>
      <c r="AD143" s="249"/>
    </row>
    <row r="144" spans="3:30" ht="15.75" customHeight="1">
      <c r="C144" s="238"/>
      <c r="U144" s="250"/>
      <c r="W144" s="672"/>
      <c r="X144" s="673"/>
      <c r="Y144" s="246"/>
      <c r="Z144" s="480"/>
      <c r="AA144" s="674"/>
      <c r="AB144" s="675"/>
      <c r="AC144" s="248"/>
      <c r="AD144" s="249"/>
    </row>
    <row r="145" spans="3:30" ht="15.75" customHeight="1">
      <c r="C145" s="238"/>
      <c r="W145" s="676"/>
      <c r="X145" s="677"/>
      <c r="Y145" s="479"/>
      <c r="Z145" s="480"/>
      <c r="AA145" s="678"/>
      <c r="AB145" s="678"/>
      <c r="AC145" s="248"/>
      <c r="AD145" s="249"/>
    </row>
    <row r="146" spans="3:30" ht="15.75" customHeight="1">
      <c r="C146" s="238"/>
      <c r="W146" s="477"/>
      <c r="X146" s="478"/>
      <c r="Y146" s="246"/>
      <c r="Z146" s="480"/>
      <c r="AA146" s="678"/>
      <c r="AB146" s="678"/>
      <c r="AC146" s="248"/>
      <c r="AD146" s="249"/>
    </row>
    <row r="147" spans="3:30" ht="15.75" customHeight="1">
      <c r="C147" s="238"/>
      <c r="W147" s="676"/>
      <c r="X147" s="677"/>
      <c r="Y147" s="246"/>
      <c r="Z147" s="247"/>
      <c r="AA147" s="678"/>
      <c r="AB147" s="678"/>
      <c r="AC147" s="248"/>
      <c r="AD147" s="249"/>
    </row>
    <row r="148" spans="3:30" ht="15.75" customHeight="1">
      <c r="C148" s="238"/>
      <c r="W148" s="676"/>
      <c r="X148" s="677"/>
      <c r="Y148" s="479"/>
      <c r="Z148" s="480"/>
      <c r="AA148" s="678"/>
      <c r="AB148" s="678"/>
      <c r="AC148" s="248"/>
      <c r="AD148" s="249"/>
    </row>
    <row r="149" spans="3:30" ht="15.75" customHeight="1">
      <c r="C149" s="238"/>
      <c r="W149" s="661"/>
      <c r="X149" s="662"/>
      <c r="Y149" s="246"/>
      <c r="Z149" s="480"/>
      <c r="AA149" s="663"/>
      <c r="AB149" s="663"/>
      <c r="AC149" s="251"/>
      <c r="AD149" s="252"/>
    </row>
    <row r="150" spans="3:30" ht="15.75" customHeight="1">
      <c r="C150" s="238"/>
      <c r="W150" s="661"/>
      <c r="X150" s="662"/>
      <c r="Y150" s="253"/>
      <c r="Z150" s="247"/>
      <c r="AA150" s="664"/>
      <c r="AB150" s="665"/>
      <c r="AC150" s="251"/>
      <c r="AD150" s="252"/>
    </row>
    <row r="151" spans="3:30" ht="15.75" customHeight="1">
      <c r="C151" s="238"/>
      <c r="W151" s="661"/>
      <c r="X151" s="662"/>
      <c r="Y151" s="253"/>
      <c r="Z151" s="254"/>
      <c r="AA151" s="666"/>
      <c r="AB151" s="667"/>
      <c r="AC151" s="251"/>
      <c r="AD151" s="252"/>
    </row>
    <row r="152" spans="3:30" ht="15.75" customHeight="1">
      <c r="C152" s="238"/>
      <c r="W152" s="668"/>
      <c r="X152" s="669"/>
      <c r="Y152" s="253"/>
      <c r="Z152" s="254"/>
      <c r="AA152" s="255"/>
      <c r="AB152" s="256"/>
      <c r="AC152" s="251"/>
      <c r="AD152" s="252"/>
    </row>
    <row r="153" spans="3:30" ht="15.75" customHeight="1">
      <c r="C153" s="238"/>
      <c r="W153" s="670"/>
      <c r="X153" s="671"/>
      <c r="Y153" s="257"/>
      <c r="Z153" s="258"/>
      <c r="AA153" s="666"/>
      <c r="AB153" s="667"/>
      <c r="AC153" s="251"/>
      <c r="AD153" s="252"/>
    </row>
    <row r="154" spans="3:30" ht="15.75" customHeight="1">
      <c r="C154" s="238"/>
      <c r="W154" s="658" t="s">
        <v>1456</v>
      </c>
      <c r="X154" s="659"/>
      <c r="Y154" s="659"/>
      <c r="Z154" s="659"/>
      <c r="AA154" s="259"/>
      <c r="AB154" s="259"/>
      <c r="AC154" s="259"/>
      <c r="AD154" s="260"/>
    </row>
    <row r="155" spans="3:30" ht="15.75" customHeight="1">
      <c r="C155" s="238"/>
      <c r="V155" s="261"/>
      <c r="W155" s="262"/>
      <c r="X155" s="263"/>
      <c r="Y155" s="263"/>
      <c r="Z155" s="263"/>
      <c r="AA155" s="263"/>
      <c r="AB155" s="263"/>
      <c r="AC155" s="263"/>
      <c r="AD155" s="264"/>
    </row>
    <row r="156" spans="3:30" ht="15.75" customHeight="1">
      <c r="C156" s="265"/>
      <c r="D156" s="266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266"/>
      <c r="Q156" s="266"/>
      <c r="R156" s="266"/>
      <c r="S156" s="266"/>
      <c r="T156" s="266"/>
      <c r="U156" s="266"/>
      <c r="V156" s="261"/>
      <c r="W156" s="654" t="s">
        <v>11</v>
      </c>
      <c r="X156" s="655"/>
      <c r="Y156" s="656"/>
      <c r="Z156" s="656"/>
      <c r="AA156" s="656"/>
      <c r="AB156" s="656"/>
      <c r="AC156" s="656"/>
      <c r="AD156" s="657"/>
    </row>
    <row r="157" spans="3:30" ht="15.75" customHeight="1">
      <c r="C157" s="265"/>
      <c r="D157" s="266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266"/>
      <c r="Q157" s="266"/>
      <c r="R157" s="266"/>
      <c r="S157" s="266"/>
      <c r="T157" s="266"/>
      <c r="U157" s="266"/>
      <c r="V157" s="261"/>
      <c r="W157" s="654" t="s">
        <v>984</v>
      </c>
      <c r="X157" s="655"/>
      <c r="Y157" s="656">
        <v>1</v>
      </c>
      <c r="Z157" s="656"/>
      <c r="AA157" s="656"/>
      <c r="AB157" s="656" t="s">
        <v>12</v>
      </c>
      <c r="AC157" s="656"/>
      <c r="AD157" s="267" t="s">
        <v>13</v>
      </c>
    </row>
    <row r="158" spans="3:30" ht="15.75" customHeight="1">
      <c r="C158" s="265"/>
      <c r="D158" s="266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266"/>
      <c r="Q158" s="266"/>
      <c r="R158" s="266"/>
      <c r="S158" s="266"/>
      <c r="T158" s="266"/>
      <c r="U158" s="266"/>
      <c r="V158" s="261"/>
      <c r="W158" s="654" t="s">
        <v>15</v>
      </c>
      <c r="X158" s="655"/>
      <c r="Y158" s="660"/>
      <c r="Z158" s="660"/>
      <c r="AA158" s="660"/>
      <c r="AB158" s="656" t="s">
        <v>16</v>
      </c>
      <c r="AC158" s="656"/>
      <c r="AD158" s="268"/>
    </row>
    <row r="159" spans="3:30" ht="15.75" customHeight="1">
      <c r="C159" s="265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266"/>
      <c r="T159" s="266"/>
      <c r="U159" s="266"/>
      <c r="V159" s="261"/>
      <c r="W159" s="648" t="s">
        <v>17</v>
      </c>
      <c r="X159" s="648"/>
      <c r="Y159" s="648"/>
      <c r="Z159" s="648"/>
      <c r="AA159" s="648"/>
      <c r="AB159" s="648"/>
      <c r="AC159" s="648"/>
      <c r="AD159" s="649"/>
    </row>
    <row r="160" spans="3:30" ht="15.75" customHeight="1">
      <c r="C160" s="265"/>
      <c r="D160" s="266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266"/>
      <c r="Q160" s="266"/>
      <c r="R160" s="266"/>
      <c r="S160" s="266"/>
      <c r="T160" s="266"/>
      <c r="U160" s="266"/>
      <c r="V160" s="261"/>
      <c r="W160" s="650" t="e">
        <f>RAB!#REF!</f>
        <v>#REF!</v>
      </c>
      <c r="X160" s="650"/>
      <c r="Y160" s="650"/>
      <c r="Z160" s="650"/>
      <c r="AA160" s="650"/>
      <c r="AB160" s="650"/>
      <c r="AC160" s="650"/>
      <c r="AD160" s="651"/>
    </row>
    <row r="161" spans="3:30" ht="15.75" customHeight="1">
      <c r="C161" s="265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266"/>
      <c r="T161" s="266"/>
      <c r="U161" s="266"/>
      <c r="V161" s="269"/>
      <c r="W161" s="650"/>
      <c r="X161" s="650"/>
      <c r="Y161" s="650"/>
      <c r="Z161" s="650"/>
      <c r="AA161" s="650"/>
      <c r="AB161" s="650"/>
      <c r="AC161" s="650"/>
      <c r="AD161" s="651"/>
    </row>
    <row r="162" spans="3:30" ht="15.75" customHeight="1">
      <c r="C162" s="265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266"/>
      <c r="T162" s="266"/>
      <c r="U162" s="266"/>
      <c r="V162" s="269"/>
      <c r="W162" s="650"/>
      <c r="X162" s="650"/>
      <c r="Y162" s="650"/>
      <c r="Z162" s="650"/>
      <c r="AA162" s="650"/>
      <c r="AB162" s="650"/>
      <c r="AC162" s="650"/>
      <c r="AD162" s="651"/>
    </row>
    <row r="163" spans="3:30" ht="15.75" customHeight="1">
      <c r="C163" s="265"/>
      <c r="D163" s="266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66"/>
      <c r="Q163" s="266"/>
      <c r="R163" s="266"/>
      <c r="S163" s="266"/>
      <c r="T163" s="266"/>
      <c r="U163" s="266"/>
      <c r="V163" s="269"/>
      <c r="W163" s="652"/>
      <c r="X163" s="652"/>
      <c r="Y163" s="652"/>
      <c r="Z163" s="652"/>
      <c r="AA163" s="652"/>
      <c r="AB163" s="652"/>
      <c r="AC163" s="652"/>
      <c r="AD163" s="653"/>
    </row>
    <row r="164" spans="3:30" ht="15.75" customHeight="1">
      <c r="C164" s="265"/>
      <c r="D164" s="266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6"/>
      <c r="P164" s="266"/>
      <c r="Q164" s="266"/>
      <c r="R164" s="266"/>
      <c r="S164" s="266"/>
      <c r="T164" s="266"/>
      <c r="U164" s="266"/>
      <c r="V164" s="261"/>
      <c r="W164" s="654" t="s">
        <v>18</v>
      </c>
      <c r="X164" s="655"/>
      <c r="Y164" s="656" t="s">
        <v>1549</v>
      </c>
      <c r="Z164" s="656"/>
      <c r="AA164" s="656"/>
      <c r="AB164" s="656"/>
      <c r="AC164" s="656"/>
      <c r="AD164" s="657"/>
    </row>
    <row r="165" spans="3:30" ht="15.75" customHeight="1">
      <c r="C165" s="265"/>
      <c r="D165" s="266"/>
      <c r="E165" s="266"/>
      <c r="F165" s="266"/>
      <c r="G165" s="266"/>
      <c r="H165" s="266"/>
      <c r="I165" s="266"/>
      <c r="J165" s="266"/>
      <c r="K165" s="266"/>
      <c r="L165" s="266"/>
      <c r="M165" s="266"/>
      <c r="N165" s="266"/>
      <c r="O165" s="266"/>
      <c r="P165" s="266"/>
      <c r="Q165" s="266"/>
      <c r="R165" s="266"/>
      <c r="S165" s="266"/>
      <c r="T165" s="266"/>
      <c r="V165" s="261"/>
      <c r="W165" s="654" t="s">
        <v>19</v>
      </c>
      <c r="X165" s="655"/>
      <c r="Y165" s="656" t="s">
        <v>1549</v>
      </c>
      <c r="Z165" s="656"/>
      <c r="AA165" s="656"/>
      <c r="AB165" s="656"/>
      <c r="AC165" s="656"/>
      <c r="AD165" s="657"/>
    </row>
    <row r="166" spans="3:30" ht="15.75" customHeight="1" thickBot="1">
      <c r="C166" s="265"/>
      <c r="D166" s="266"/>
      <c r="E166" s="266"/>
      <c r="F166" s="266"/>
      <c r="G166" s="266"/>
      <c r="H166" s="266"/>
      <c r="I166" s="266"/>
      <c r="J166" s="266"/>
      <c r="K166" s="266"/>
      <c r="L166" s="266"/>
      <c r="M166" s="266"/>
      <c r="N166" s="266"/>
      <c r="O166" s="266"/>
      <c r="P166" s="266"/>
      <c r="Q166" s="266"/>
      <c r="R166" s="266"/>
      <c r="S166" s="266"/>
      <c r="T166" s="266"/>
      <c r="V166" s="261"/>
      <c r="W166" s="654" t="s">
        <v>20</v>
      </c>
      <c r="X166" s="655"/>
      <c r="Y166" s="646" t="s">
        <v>1550</v>
      </c>
      <c r="Z166" s="646"/>
      <c r="AA166" s="646"/>
      <c r="AB166" s="656"/>
      <c r="AC166" s="656"/>
      <c r="AD166" s="657"/>
    </row>
    <row r="167" spans="3:30" ht="15.75" customHeight="1" thickBot="1">
      <c r="C167" s="270"/>
      <c r="D167" s="271"/>
      <c r="E167" s="271"/>
      <c r="F167" s="271"/>
      <c r="G167" s="271"/>
      <c r="H167" s="27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2"/>
      <c r="V167" s="273"/>
      <c r="W167" s="644" t="s">
        <v>21</v>
      </c>
      <c r="X167" s="645"/>
      <c r="Y167" s="646" t="s">
        <v>1551</v>
      </c>
      <c r="Z167" s="646"/>
      <c r="AA167" s="646"/>
      <c r="AB167" s="646"/>
      <c r="AC167" s="646"/>
      <c r="AD167" s="647"/>
    </row>
    <row r="168" spans="3:30" ht="15.75" customHeight="1"/>
    <row r="169" spans="3:30" ht="15.75" customHeight="1" thickBot="1"/>
    <row r="170" spans="3:30" ht="15.75" customHeight="1">
      <c r="C170" s="236"/>
      <c r="D170" s="237"/>
      <c r="E170" s="237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237"/>
      <c r="Q170" s="237"/>
      <c r="R170" s="237"/>
      <c r="S170" s="237"/>
      <c r="T170" s="237"/>
      <c r="U170" s="237"/>
      <c r="V170" s="237"/>
      <c r="W170" s="696" t="s">
        <v>1439</v>
      </c>
      <c r="X170" s="697"/>
      <c r="Y170" s="697"/>
      <c r="Z170" s="697"/>
      <c r="AA170" s="697"/>
      <c r="AB170" s="697"/>
      <c r="AC170" s="697"/>
      <c r="AD170" s="698"/>
    </row>
    <row r="171" spans="3:30" ht="15.75" customHeight="1">
      <c r="C171" s="238"/>
      <c r="W171" s="699"/>
      <c r="X171" s="700"/>
      <c r="Y171" s="700"/>
      <c r="Z171" s="700"/>
      <c r="AA171" s="700"/>
      <c r="AB171" s="700"/>
      <c r="AC171" s="700"/>
      <c r="AD171" s="701"/>
    </row>
    <row r="172" spans="3:30" ht="15.75" customHeight="1">
      <c r="C172" s="238"/>
      <c r="W172" s="239" t="s">
        <v>987</v>
      </c>
      <c r="AD172" s="240"/>
    </row>
    <row r="173" spans="3:30" ht="15.75" customHeight="1">
      <c r="C173" s="238"/>
      <c r="W173" s="241" t="s">
        <v>991</v>
      </c>
      <c r="X173" s="656" t="s">
        <v>990</v>
      </c>
      <c r="Y173" s="656"/>
      <c r="Z173" s="656"/>
      <c r="AA173" s="656" t="s">
        <v>988</v>
      </c>
      <c r="AB173" s="656"/>
      <c r="AC173" s="656" t="s">
        <v>989</v>
      </c>
      <c r="AD173" s="657"/>
    </row>
    <row r="174" spans="3:30" ht="15.75" customHeight="1">
      <c r="C174" s="238"/>
      <c r="W174" s="241">
        <v>1</v>
      </c>
      <c r="X174" s="656" t="s">
        <v>993</v>
      </c>
      <c r="Y174" s="656"/>
      <c r="Z174" s="656"/>
      <c r="AA174" s="656"/>
      <c r="AB174" s="656"/>
      <c r="AC174" s="656"/>
      <c r="AD174" s="657"/>
    </row>
    <row r="175" spans="3:30" ht="15.75" customHeight="1">
      <c r="C175" s="238"/>
      <c r="E175" s="475">
        <f>PETA!C172</f>
        <v>0</v>
      </c>
      <c r="W175" s="241">
        <v>2</v>
      </c>
      <c r="X175" s="656" t="s">
        <v>994</v>
      </c>
      <c r="Y175" s="656"/>
      <c r="Z175" s="656"/>
      <c r="AA175" s="656"/>
      <c r="AB175" s="656"/>
      <c r="AC175" s="656"/>
      <c r="AD175" s="657"/>
    </row>
    <row r="176" spans="3:30" ht="15.75" customHeight="1">
      <c r="C176" s="238"/>
      <c r="W176" s="241">
        <v>3</v>
      </c>
      <c r="X176" s="656" t="s">
        <v>995</v>
      </c>
      <c r="Y176" s="656"/>
      <c r="Z176" s="656"/>
      <c r="AA176" s="656"/>
      <c r="AB176" s="656"/>
      <c r="AC176" s="656"/>
      <c r="AD176" s="657"/>
    </row>
    <row r="177" spans="3:30" ht="15.75" customHeight="1">
      <c r="C177" s="238"/>
      <c r="W177" s="241">
        <v>4</v>
      </c>
      <c r="X177" s="656" t="s">
        <v>996</v>
      </c>
      <c r="Y177" s="656"/>
      <c r="Z177" s="656"/>
      <c r="AA177" s="656"/>
      <c r="AB177" s="656"/>
      <c r="AC177" s="656"/>
      <c r="AD177" s="657"/>
    </row>
    <row r="178" spans="3:30" ht="15.75" customHeight="1">
      <c r="C178" s="238"/>
      <c r="W178" s="241">
        <v>5</v>
      </c>
      <c r="X178" s="656" t="s">
        <v>997</v>
      </c>
      <c r="Y178" s="656"/>
      <c r="Z178" s="656"/>
      <c r="AA178" s="656"/>
      <c r="AB178" s="656"/>
      <c r="AC178" s="656"/>
      <c r="AD178" s="657"/>
    </row>
    <row r="179" spans="3:30" ht="15.75" customHeight="1">
      <c r="C179" s="238"/>
      <c r="W179" s="241">
        <v>6</v>
      </c>
      <c r="X179" s="656" t="s">
        <v>998</v>
      </c>
      <c r="Y179" s="656"/>
      <c r="Z179" s="656"/>
      <c r="AA179" s="656"/>
      <c r="AB179" s="656"/>
      <c r="AC179" s="656"/>
      <c r="AD179" s="657"/>
    </row>
    <row r="180" spans="3:30" ht="15.75" customHeight="1">
      <c r="C180" s="238"/>
      <c r="W180" s="241">
        <v>7</v>
      </c>
      <c r="X180" s="656" t="s">
        <v>999</v>
      </c>
      <c r="Y180" s="656"/>
      <c r="Z180" s="656"/>
      <c r="AA180" s="656"/>
      <c r="AB180" s="656"/>
      <c r="AC180" s="656"/>
      <c r="AD180" s="657"/>
    </row>
    <row r="181" spans="3:30" ht="15.75" customHeight="1">
      <c r="C181" s="238"/>
      <c r="W181" s="241">
        <v>8</v>
      </c>
      <c r="X181" s="656" t="s">
        <v>1000</v>
      </c>
      <c r="Y181" s="656"/>
      <c r="Z181" s="656"/>
      <c r="AA181" s="656"/>
      <c r="AB181" s="656"/>
      <c r="AC181" s="656"/>
      <c r="AD181" s="657"/>
    </row>
    <row r="182" spans="3:30" ht="15.75" customHeight="1">
      <c r="C182" s="238"/>
      <c r="W182" s="241">
        <v>9</v>
      </c>
      <c r="X182" s="656" t="s">
        <v>1001</v>
      </c>
      <c r="Y182" s="656"/>
      <c r="Z182" s="656"/>
      <c r="AA182" s="656"/>
      <c r="AB182" s="656"/>
      <c r="AC182" s="656"/>
      <c r="AD182" s="657"/>
    </row>
    <row r="183" spans="3:30" ht="15.75" customHeight="1">
      <c r="C183" s="238"/>
      <c r="W183" s="241">
        <v>10</v>
      </c>
      <c r="X183" s="656" t="s">
        <v>1010</v>
      </c>
      <c r="Y183" s="656"/>
      <c r="Z183" s="656"/>
      <c r="AA183" s="656"/>
      <c r="AB183" s="656"/>
      <c r="AC183" s="656"/>
      <c r="AD183" s="657"/>
    </row>
    <row r="184" spans="3:30" ht="15.75" customHeight="1">
      <c r="C184" s="238"/>
      <c r="W184" s="241">
        <v>11</v>
      </c>
      <c r="X184" s="656" t="s">
        <v>1455</v>
      </c>
      <c r="Y184" s="656"/>
      <c r="Z184" s="656"/>
      <c r="AA184" s="656"/>
      <c r="AB184" s="656"/>
      <c r="AC184" s="656"/>
      <c r="AD184" s="657"/>
    </row>
    <row r="185" spans="3:30" ht="15.75" customHeight="1">
      <c r="C185" s="238"/>
      <c r="S185" s="242"/>
      <c r="W185" s="241">
        <v>12</v>
      </c>
      <c r="X185" s="656" t="s">
        <v>1011</v>
      </c>
      <c r="Y185" s="656"/>
      <c r="Z185" s="656"/>
      <c r="AA185" s="656"/>
      <c r="AB185" s="656"/>
      <c r="AC185" s="656"/>
      <c r="AD185" s="657"/>
    </row>
    <row r="186" spans="3:30" ht="15.75" customHeight="1">
      <c r="C186" s="243"/>
      <c r="D186" s="244"/>
      <c r="E186" s="244"/>
      <c r="W186" s="241">
        <v>13</v>
      </c>
      <c r="X186" s="656"/>
      <c r="Y186" s="656"/>
      <c r="Z186" s="656"/>
      <c r="AA186" s="656"/>
      <c r="AB186" s="656"/>
      <c r="AC186" s="656"/>
      <c r="AD186" s="657"/>
    </row>
    <row r="187" spans="3:30" ht="15.75" customHeight="1">
      <c r="C187" s="238"/>
      <c r="W187" s="245"/>
      <c r="X187" s="685"/>
      <c r="Y187" s="685"/>
      <c r="Z187" s="685"/>
      <c r="AA187" s="685"/>
      <c r="AB187" s="685"/>
      <c r="AC187" s="685"/>
      <c r="AD187" s="686"/>
    </row>
    <row r="188" spans="3:30" ht="15.75" customHeight="1">
      <c r="C188" s="238"/>
      <c r="W188" s="687" t="s">
        <v>992</v>
      </c>
      <c r="X188" s="688"/>
      <c r="Y188" s="688"/>
      <c r="Z188" s="688"/>
      <c r="AA188" s="688"/>
      <c r="AB188" s="688"/>
      <c r="AC188" s="688"/>
      <c r="AD188" s="689"/>
    </row>
    <row r="189" spans="3:30" ht="15.75" customHeight="1">
      <c r="C189" s="238"/>
      <c r="W189" s="690" t="s">
        <v>985</v>
      </c>
      <c r="X189" s="691"/>
      <c r="Y189" s="691"/>
      <c r="Z189" s="692"/>
      <c r="AA189" s="693" t="s">
        <v>986</v>
      </c>
      <c r="AB189" s="694"/>
      <c r="AC189" s="694"/>
      <c r="AD189" s="695"/>
    </row>
    <row r="190" spans="3:30" ht="15.75" customHeight="1">
      <c r="C190" s="238"/>
      <c r="W190" s="672" t="s">
        <v>1639</v>
      </c>
      <c r="X190" s="673"/>
      <c r="Y190" s="479">
        <v>8</v>
      </c>
      <c r="Z190" s="480"/>
      <c r="AA190" s="679" t="s">
        <v>1647</v>
      </c>
      <c r="AB190" s="680"/>
      <c r="AC190" s="248">
        <v>1</v>
      </c>
      <c r="AD190" s="249"/>
    </row>
    <row r="191" spans="3:30" ht="15.75" customHeight="1">
      <c r="C191" s="238"/>
      <c r="W191" s="672" t="s">
        <v>1624</v>
      </c>
      <c r="X191" s="673"/>
      <c r="Y191" s="479">
        <v>6</v>
      </c>
      <c r="Z191" s="480"/>
      <c r="AA191" s="681" t="s">
        <v>1648</v>
      </c>
      <c r="AB191" s="682"/>
      <c r="AC191" s="248">
        <v>9</v>
      </c>
      <c r="AD191" s="249"/>
    </row>
    <row r="192" spans="3:30" ht="15.75" customHeight="1">
      <c r="C192" s="238"/>
      <c r="W192" s="676" t="s">
        <v>1643</v>
      </c>
      <c r="X192" s="677"/>
      <c r="Y192" s="479">
        <v>3</v>
      </c>
      <c r="Z192" s="480"/>
      <c r="AA192" s="683" t="s">
        <v>1649</v>
      </c>
      <c r="AB192" s="684"/>
      <c r="AC192" s="248">
        <v>6</v>
      </c>
      <c r="AD192" s="249"/>
    </row>
    <row r="193" spans="3:30" ht="15.75" customHeight="1">
      <c r="C193" s="238"/>
      <c r="W193" s="477" t="s">
        <v>1627</v>
      </c>
      <c r="X193" s="478"/>
      <c r="Y193" s="479">
        <v>1</v>
      </c>
      <c r="Z193" s="480"/>
      <c r="AA193" s="679" t="s">
        <v>1650</v>
      </c>
      <c r="AB193" s="680"/>
      <c r="AC193" s="248">
        <v>1</v>
      </c>
      <c r="AD193" s="249"/>
    </row>
    <row r="194" spans="3:30" ht="15.75" customHeight="1">
      <c r="C194" s="238"/>
      <c r="W194" s="676" t="s">
        <v>1645</v>
      </c>
      <c r="X194" s="677"/>
      <c r="Y194" s="479">
        <v>9</v>
      </c>
      <c r="Z194" s="480"/>
      <c r="AA194" s="681"/>
      <c r="AB194" s="682"/>
      <c r="AC194" s="248"/>
      <c r="AD194" s="249"/>
    </row>
    <row r="195" spans="3:30" ht="15.75" customHeight="1">
      <c r="C195" s="238"/>
      <c r="W195" s="676" t="s">
        <v>1646</v>
      </c>
      <c r="X195" s="677"/>
      <c r="Y195" s="479">
        <v>6</v>
      </c>
      <c r="Z195" s="480"/>
      <c r="AA195" s="674"/>
      <c r="AB195" s="675"/>
      <c r="AC195" s="248"/>
      <c r="AD195" s="249"/>
    </row>
    <row r="196" spans="3:30" ht="15.75" customHeight="1">
      <c r="C196" s="238"/>
      <c r="W196" s="676" t="s">
        <v>1641</v>
      </c>
      <c r="X196" s="677"/>
      <c r="Y196" s="479">
        <v>8</v>
      </c>
      <c r="Z196" s="480"/>
      <c r="AA196" s="674"/>
      <c r="AB196" s="675"/>
      <c r="AC196" s="248"/>
      <c r="AD196" s="249"/>
    </row>
    <row r="197" spans="3:30" ht="15.75" customHeight="1">
      <c r="C197" s="238"/>
      <c r="W197" s="676" t="s">
        <v>1638</v>
      </c>
      <c r="X197" s="677"/>
      <c r="Y197" s="479">
        <v>1</v>
      </c>
      <c r="Z197" s="480"/>
      <c r="AA197" s="674"/>
      <c r="AB197" s="675"/>
      <c r="AC197" s="248"/>
      <c r="AD197" s="249"/>
    </row>
    <row r="198" spans="3:30" ht="15.75" customHeight="1">
      <c r="C198" s="238"/>
      <c r="W198" s="477" t="s">
        <v>1631</v>
      </c>
      <c r="X198" s="478"/>
      <c r="Y198" s="479">
        <v>2</v>
      </c>
      <c r="Z198" s="480"/>
      <c r="AA198" s="674"/>
      <c r="AB198" s="675"/>
      <c r="AC198" s="248"/>
      <c r="AD198" s="249"/>
    </row>
    <row r="199" spans="3:30" ht="15.75" customHeight="1">
      <c r="C199" s="238"/>
      <c r="U199" s="250"/>
      <c r="W199" s="676" t="s">
        <v>1632</v>
      </c>
      <c r="X199" s="677"/>
      <c r="Y199" s="479">
        <v>2</v>
      </c>
      <c r="Z199" s="480"/>
      <c r="AA199" s="674"/>
      <c r="AB199" s="675"/>
      <c r="AC199" s="248"/>
      <c r="AD199" s="249"/>
    </row>
    <row r="200" spans="3:30" ht="15.75" customHeight="1">
      <c r="C200" s="238"/>
      <c r="U200" s="250"/>
      <c r="W200" s="672" t="s">
        <v>1633</v>
      </c>
      <c r="X200" s="673"/>
      <c r="Y200" s="246">
        <v>2</v>
      </c>
      <c r="Z200" s="480"/>
      <c r="AA200" s="674"/>
      <c r="AB200" s="675"/>
      <c r="AC200" s="248"/>
      <c r="AD200" s="249"/>
    </row>
    <row r="201" spans="3:30" ht="15.75" customHeight="1">
      <c r="C201" s="238"/>
      <c r="W201" s="676" t="s">
        <v>1642</v>
      </c>
      <c r="X201" s="677"/>
      <c r="Y201" s="479">
        <v>1</v>
      </c>
      <c r="Z201" s="480"/>
      <c r="AA201" s="678"/>
      <c r="AB201" s="678"/>
      <c r="AC201" s="248"/>
      <c r="AD201" s="249"/>
    </row>
    <row r="202" spans="3:30" ht="15.75" customHeight="1">
      <c r="C202" s="238"/>
      <c r="W202" s="477" t="s">
        <v>1644</v>
      </c>
      <c r="X202" s="478"/>
      <c r="Y202" s="246">
        <v>1</v>
      </c>
      <c r="Z202" s="480"/>
      <c r="AA202" s="678"/>
      <c r="AB202" s="678"/>
      <c r="AC202" s="248"/>
      <c r="AD202" s="249"/>
    </row>
    <row r="203" spans="3:30" ht="15.75" customHeight="1">
      <c r="C203" s="238"/>
      <c r="W203" s="676"/>
      <c r="X203" s="677"/>
      <c r="Y203" s="246"/>
      <c r="Z203" s="247"/>
      <c r="AA203" s="678"/>
      <c r="AB203" s="678"/>
      <c r="AC203" s="248"/>
      <c r="AD203" s="249"/>
    </row>
    <row r="204" spans="3:30" ht="15.75" customHeight="1">
      <c r="C204" s="238"/>
      <c r="W204" s="676"/>
      <c r="X204" s="677"/>
      <c r="Y204" s="479"/>
      <c r="Z204" s="480"/>
      <c r="AA204" s="678"/>
      <c r="AB204" s="678"/>
      <c r="AC204" s="248"/>
      <c r="AD204" s="249"/>
    </row>
    <row r="205" spans="3:30" ht="15.75" customHeight="1">
      <c r="C205" s="238"/>
      <c r="W205" s="661"/>
      <c r="X205" s="662"/>
      <c r="Y205" s="246"/>
      <c r="Z205" s="480"/>
      <c r="AA205" s="663"/>
      <c r="AB205" s="663"/>
      <c r="AC205" s="251"/>
      <c r="AD205" s="252"/>
    </row>
    <row r="206" spans="3:30" ht="15.75" customHeight="1">
      <c r="C206" s="238"/>
      <c r="W206" s="661"/>
      <c r="X206" s="662"/>
      <c r="Y206" s="253"/>
      <c r="Z206" s="247"/>
      <c r="AA206" s="664"/>
      <c r="AB206" s="665"/>
      <c r="AC206" s="251"/>
      <c r="AD206" s="252"/>
    </row>
    <row r="207" spans="3:30" ht="15.75" customHeight="1">
      <c r="C207" s="238"/>
      <c r="W207" s="661"/>
      <c r="X207" s="662"/>
      <c r="Y207" s="253"/>
      <c r="Z207" s="254"/>
      <c r="AA207" s="666"/>
      <c r="AB207" s="667"/>
      <c r="AC207" s="251"/>
      <c r="AD207" s="252"/>
    </row>
    <row r="208" spans="3:30" ht="15.75" customHeight="1">
      <c r="C208" s="238"/>
      <c r="W208" s="668"/>
      <c r="X208" s="669"/>
      <c r="Y208" s="253"/>
      <c r="Z208" s="254"/>
      <c r="AA208" s="255"/>
      <c r="AB208" s="256"/>
      <c r="AC208" s="251"/>
      <c r="AD208" s="252"/>
    </row>
    <row r="209" spans="3:30" ht="15.75" customHeight="1">
      <c r="C209" s="238"/>
      <c r="W209" s="670"/>
      <c r="X209" s="671"/>
      <c r="Y209" s="257"/>
      <c r="Z209" s="258"/>
      <c r="AA209" s="666"/>
      <c r="AB209" s="667"/>
      <c r="AC209" s="251"/>
      <c r="AD209" s="252"/>
    </row>
    <row r="210" spans="3:30" ht="15.75" customHeight="1">
      <c r="C210" s="238"/>
      <c r="W210" s="658" t="s">
        <v>1456</v>
      </c>
      <c r="X210" s="659"/>
      <c r="Y210" s="659"/>
      <c r="Z210" s="659"/>
      <c r="AA210" s="259"/>
      <c r="AB210" s="259"/>
      <c r="AC210" s="259"/>
      <c r="AD210" s="260"/>
    </row>
    <row r="211" spans="3:30" ht="15.75" customHeight="1">
      <c r="C211" s="238"/>
      <c r="V211" s="261"/>
      <c r="W211" s="262"/>
      <c r="X211" s="263"/>
      <c r="Y211" s="263"/>
      <c r="Z211" s="263"/>
      <c r="AA211" s="263"/>
      <c r="AB211" s="263"/>
      <c r="AC211" s="263"/>
      <c r="AD211" s="264"/>
    </row>
    <row r="212" spans="3:30" ht="15.75" customHeight="1">
      <c r="C212" s="265"/>
      <c r="D212" s="266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266"/>
      <c r="Q212" s="266"/>
      <c r="R212" s="266"/>
      <c r="S212" s="266"/>
      <c r="T212" s="266"/>
      <c r="U212" s="266"/>
      <c r="V212" s="261"/>
      <c r="W212" s="654" t="s">
        <v>11</v>
      </c>
      <c r="X212" s="655"/>
      <c r="Y212" s="656"/>
      <c r="Z212" s="656"/>
      <c r="AA212" s="656"/>
      <c r="AB212" s="656"/>
      <c r="AC212" s="656"/>
      <c r="AD212" s="657"/>
    </row>
    <row r="213" spans="3:30" ht="15.75" customHeight="1">
      <c r="C213" s="265"/>
      <c r="D213" s="266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266"/>
      <c r="Q213" s="266"/>
      <c r="R213" s="266"/>
      <c r="S213" s="266"/>
      <c r="T213" s="266"/>
      <c r="U213" s="266"/>
      <c r="V213" s="261"/>
      <c r="W213" s="654" t="s">
        <v>984</v>
      </c>
      <c r="X213" s="655"/>
      <c r="Y213" s="656">
        <v>1</v>
      </c>
      <c r="Z213" s="656"/>
      <c r="AA213" s="656"/>
      <c r="AB213" s="656" t="s">
        <v>12</v>
      </c>
      <c r="AC213" s="656"/>
      <c r="AD213" s="267" t="s">
        <v>13</v>
      </c>
    </row>
    <row r="214" spans="3:30" ht="15.75" customHeight="1">
      <c r="C214" s="265"/>
      <c r="D214" s="266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266"/>
      <c r="Q214" s="266"/>
      <c r="R214" s="266"/>
      <c r="S214" s="266"/>
      <c r="T214" s="266"/>
      <c r="U214" s="266"/>
      <c r="V214" s="261"/>
      <c r="W214" s="654" t="s">
        <v>15</v>
      </c>
      <c r="X214" s="655"/>
      <c r="Y214" s="660"/>
      <c r="Z214" s="660"/>
      <c r="AA214" s="660"/>
      <c r="AB214" s="656" t="s">
        <v>16</v>
      </c>
      <c r="AC214" s="656"/>
      <c r="AD214" s="268"/>
    </row>
    <row r="215" spans="3:30" ht="15.75" customHeight="1">
      <c r="C215" s="265"/>
      <c r="D215" s="266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266"/>
      <c r="Q215" s="266"/>
      <c r="R215" s="266"/>
      <c r="S215" s="266"/>
      <c r="T215" s="266"/>
      <c r="U215" s="266"/>
      <c r="V215" s="261"/>
      <c r="W215" s="648" t="s">
        <v>17</v>
      </c>
      <c r="X215" s="648"/>
      <c r="Y215" s="648"/>
      <c r="Z215" s="648"/>
      <c r="AA215" s="648"/>
      <c r="AB215" s="648"/>
      <c r="AC215" s="648"/>
      <c r="AD215" s="649"/>
    </row>
    <row r="216" spans="3:30" ht="15.75" customHeight="1">
      <c r="C216" s="265"/>
      <c r="D216" s="266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266"/>
      <c r="Q216" s="266"/>
      <c r="R216" s="266"/>
      <c r="S216" s="266"/>
      <c r="T216" s="266"/>
      <c r="U216" s="266"/>
      <c r="V216" s="261"/>
      <c r="W216" s="650" t="str">
        <f ca="1">RAB!G348</f>
        <v/>
      </c>
      <c r="X216" s="650"/>
      <c r="Y216" s="650"/>
      <c r="Z216" s="650"/>
      <c r="AA216" s="650"/>
      <c r="AB216" s="650"/>
      <c r="AC216" s="650"/>
      <c r="AD216" s="651"/>
    </row>
    <row r="217" spans="3:30" ht="15.75" customHeight="1">
      <c r="C217" s="265"/>
      <c r="D217" s="266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266"/>
      <c r="Q217" s="266"/>
      <c r="R217" s="266"/>
      <c r="S217" s="266"/>
      <c r="T217" s="266"/>
      <c r="U217" s="266"/>
      <c r="V217" s="269"/>
      <c r="W217" s="650"/>
      <c r="X217" s="650"/>
      <c r="Y217" s="650"/>
      <c r="Z217" s="650"/>
      <c r="AA217" s="650"/>
      <c r="AB217" s="650"/>
      <c r="AC217" s="650"/>
      <c r="AD217" s="651"/>
    </row>
    <row r="218" spans="3:30" ht="15.75" customHeight="1">
      <c r="C218" s="265"/>
      <c r="D218" s="266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266"/>
      <c r="Q218" s="266"/>
      <c r="R218" s="266"/>
      <c r="S218" s="266"/>
      <c r="T218" s="266"/>
      <c r="U218" s="266"/>
      <c r="V218" s="269"/>
      <c r="W218" s="650"/>
      <c r="X218" s="650"/>
      <c r="Y218" s="650"/>
      <c r="Z218" s="650"/>
      <c r="AA218" s="650"/>
      <c r="AB218" s="650"/>
      <c r="AC218" s="650"/>
      <c r="AD218" s="651"/>
    </row>
    <row r="219" spans="3:30" ht="15.75" customHeight="1">
      <c r="C219" s="265"/>
      <c r="D219" s="266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266"/>
      <c r="Q219" s="266"/>
      <c r="R219" s="266"/>
      <c r="S219" s="266"/>
      <c r="T219" s="266"/>
      <c r="U219" s="266"/>
      <c r="V219" s="269"/>
      <c r="W219" s="652"/>
      <c r="X219" s="652"/>
      <c r="Y219" s="652"/>
      <c r="Z219" s="652"/>
      <c r="AA219" s="652"/>
      <c r="AB219" s="652"/>
      <c r="AC219" s="652"/>
      <c r="AD219" s="653"/>
    </row>
    <row r="220" spans="3:30" ht="15.75" customHeight="1">
      <c r="C220" s="265"/>
      <c r="D220" s="266"/>
      <c r="E220" s="266"/>
      <c r="F220" s="266"/>
      <c r="G220" s="266"/>
      <c r="H220" s="266"/>
      <c r="I220" s="266"/>
      <c r="J220" s="266"/>
      <c r="K220" s="266"/>
      <c r="L220" s="266"/>
      <c r="M220" s="266"/>
      <c r="N220" s="266"/>
      <c r="O220" s="266"/>
      <c r="P220" s="266"/>
      <c r="Q220" s="266"/>
      <c r="R220" s="266"/>
      <c r="S220" s="266"/>
      <c r="T220" s="266"/>
      <c r="U220" s="266"/>
      <c r="V220" s="261"/>
      <c r="W220" s="654" t="s">
        <v>18</v>
      </c>
      <c r="X220" s="655"/>
      <c r="Y220" s="656" t="s">
        <v>1549</v>
      </c>
      <c r="Z220" s="656"/>
      <c r="AA220" s="656"/>
      <c r="AB220" s="656"/>
      <c r="AC220" s="656"/>
      <c r="AD220" s="657"/>
    </row>
    <row r="221" spans="3:30" ht="15.75" customHeight="1">
      <c r="C221" s="265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266"/>
      <c r="T221" s="266"/>
      <c r="V221" s="261"/>
      <c r="W221" s="654" t="s">
        <v>19</v>
      </c>
      <c r="X221" s="655"/>
      <c r="Y221" s="656" t="s">
        <v>1549</v>
      </c>
      <c r="Z221" s="656"/>
      <c r="AA221" s="656"/>
      <c r="AB221" s="656"/>
      <c r="AC221" s="656"/>
      <c r="AD221" s="657"/>
    </row>
    <row r="222" spans="3:30" ht="15.75" customHeight="1" thickBot="1">
      <c r="C222" s="265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266"/>
      <c r="T222" s="266"/>
      <c r="V222" s="261"/>
      <c r="W222" s="654" t="s">
        <v>20</v>
      </c>
      <c r="X222" s="655"/>
      <c r="Y222" s="646" t="s">
        <v>1550</v>
      </c>
      <c r="Z222" s="646"/>
      <c r="AA222" s="646"/>
      <c r="AB222" s="656"/>
      <c r="AC222" s="656"/>
      <c r="AD222" s="657"/>
    </row>
    <row r="223" spans="3:30" ht="16.5" customHeight="1"/>
    <row r="224" spans="3:30" ht="16.5" customHeight="1" thickBot="1"/>
    <row r="225" spans="3:30" ht="15.75" customHeight="1">
      <c r="C225" s="236"/>
      <c r="D225" s="237"/>
      <c r="E225" s="237"/>
      <c r="F225" s="237"/>
      <c r="G225" s="237"/>
      <c r="H225" s="237"/>
      <c r="I225" s="237"/>
      <c r="J225" s="237"/>
      <c r="K225" s="237"/>
      <c r="L225" s="237"/>
      <c r="M225" s="237"/>
      <c r="N225" s="237"/>
      <c r="O225" s="237"/>
      <c r="P225" s="237"/>
      <c r="Q225" s="237"/>
      <c r="R225" s="237"/>
      <c r="S225" s="237"/>
      <c r="T225" s="237"/>
      <c r="U225" s="237"/>
      <c r="V225" s="237"/>
      <c r="W225" s="696" t="s">
        <v>1439</v>
      </c>
      <c r="X225" s="697"/>
      <c r="Y225" s="697"/>
      <c r="Z225" s="697"/>
      <c r="AA225" s="697"/>
      <c r="AB225" s="697"/>
      <c r="AC225" s="697"/>
      <c r="AD225" s="698"/>
    </row>
    <row r="226" spans="3:30" ht="15.75" customHeight="1">
      <c r="C226" s="238"/>
      <c r="W226" s="699"/>
      <c r="X226" s="700"/>
      <c r="Y226" s="700"/>
      <c r="Z226" s="700"/>
      <c r="AA226" s="700"/>
      <c r="AB226" s="700"/>
      <c r="AC226" s="700"/>
      <c r="AD226" s="701"/>
    </row>
    <row r="227" spans="3:30" ht="15.75" customHeight="1">
      <c r="C227" s="238"/>
      <c r="W227" s="239" t="s">
        <v>987</v>
      </c>
      <c r="AD227" s="240"/>
    </row>
    <row r="228" spans="3:30" ht="15.75" customHeight="1">
      <c r="C228" s="238"/>
      <c r="W228" s="241" t="s">
        <v>991</v>
      </c>
      <c r="X228" s="656" t="s">
        <v>990</v>
      </c>
      <c r="Y228" s="656"/>
      <c r="Z228" s="656"/>
      <c r="AA228" s="656" t="s">
        <v>988</v>
      </c>
      <c r="AB228" s="656"/>
      <c r="AC228" s="656" t="s">
        <v>989</v>
      </c>
      <c r="AD228" s="657"/>
    </row>
    <row r="229" spans="3:30" ht="15.75" customHeight="1">
      <c r="C229" s="238"/>
      <c r="W229" s="241">
        <v>1</v>
      </c>
      <c r="X229" s="656" t="s">
        <v>993</v>
      </c>
      <c r="Y229" s="656"/>
      <c r="Z229" s="656"/>
      <c r="AA229" s="656"/>
      <c r="AB229" s="656"/>
      <c r="AC229" s="656"/>
      <c r="AD229" s="657"/>
    </row>
    <row r="230" spans="3:30" ht="15.75" customHeight="1">
      <c r="C230" s="238"/>
      <c r="E230" s="475">
        <f>PETA!C226</f>
        <v>0</v>
      </c>
      <c r="W230" s="241">
        <v>2</v>
      </c>
      <c r="X230" s="656" t="s">
        <v>994</v>
      </c>
      <c r="Y230" s="656"/>
      <c r="Z230" s="656"/>
      <c r="AA230" s="656"/>
      <c r="AB230" s="656"/>
      <c r="AC230" s="656"/>
      <c r="AD230" s="657"/>
    </row>
    <row r="231" spans="3:30" ht="15.75" customHeight="1">
      <c r="C231" s="238"/>
      <c r="W231" s="241">
        <v>3</v>
      </c>
      <c r="X231" s="656" t="s">
        <v>995</v>
      </c>
      <c r="Y231" s="656"/>
      <c r="Z231" s="656"/>
      <c r="AA231" s="656"/>
      <c r="AB231" s="656"/>
      <c r="AC231" s="656"/>
      <c r="AD231" s="657"/>
    </row>
    <row r="232" spans="3:30" ht="15.75" customHeight="1">
      <c r="C232" s="238"/>
      <c r="W232" s="241">
        <v>4</v>
      </c>
      <c r="X232" s="656" t="s">
        <v>996</v>
      </c>
      <c r="Y232" s="656"/>
      <c r="Z232" s="656"/>
      <c r="AA232" s="656"/>
      <c r="AB232" s="656"/>
      <c r="AC232" s="656"/>
      <c r="AD232" s="657"/>
    </row>
    <row r="233" spans="3:30" ht="15.75" customHeight="1">
      <c r="C233" s="238"/>
      <c r="W233" s="241">
        <v>5</v>
      </c>
      <c r="X233" s="656" t="s">
        <v>997</v>
      </c>
      <c r="Y233" s="656"/>
      <c r="Z233" s="656"/>
      <c r="AA233" s="656"/>
      <c r="AB233" s="656"/>
      <c r="AC233" s="656"/>
      <c r="AD233" s="657"/>
    </row>
    <row r="234" spans="3:30" ht="15.75" customHeight="1">
      <c r="C234" s="238"/>
      <c r="W234" s="241">
        <v>6</v>
      </c>
      <c r="X234" s="656" t="s">
        <v>998</v>
      </c>
      <c r="Y234" s="656"/>
      <c r="Z234" s="656"/>
      <c r="AA234" s="656"/>
      <c r="AB234" s="656"/>
      <c r="AC234" s="656"/>
      <c r="AD234" s="657"/>
    </row>
    <row r="235" spans="3:30" ht="15.75" customHeight="1">
      <c r="C235" s="238"/>
      <c r="W235" s="241">
        <v>7</v>
      </c>
      <c r="X235" s="656" t="s">
        <v>999</v>
      </c>
      <c r="Y235" s="656"/>
      <c r="Z235" s="656"/>
      <c r="AA235" s="656"/>
      <c r="AB235" s="656"/>
      <c r="AC235" s="656"/>
      <c r="AD235" s="657"/>
    </row>
    <row r="236" spans="3:30" ht="15.75" customHeight="1">
      <c r="C236" s="238"/>
      <c r="W236" s="241">
        <v>8</v>
      </c>
      <c r="X236" s="656" t="s">
        <v>1000</v>
      </c>
      <c r="Y236" s="656"/>
      <c r="Z236" s="656"/>
      <c r="AA236" s="656"/>
      <c r="AB236" s="656"/>
      <c r="AC236" s="656"/>
      <c r="AD236" s="657"/>
    </row>
    <row r="237" spans="3:30" ht="15.75" customHeight="1">
      <c r="C237" s="238"/>
      <c r="W237" s="241">
        <v>9</v>
      </c>
      <c r="X237" s="656" t="s">
        <v>1001</v>
      </c>
      <c r="Y237" s="656"/>
      <c r="Z237" s="656"/>
      <c r="AA237" s="656"/>
      <c r="AB237" s="656"/>
      <c r="AC237" s="656"/>
      <c r="AD237" s="657"/>
    </row>
    <row r="238" spans="3:30" ht="15.75" customHeight="1">
      <c r="C238" s="238"/>
      <c r="W238" s="241">
        <v>10</v>
      </c>
      <c r="X238" s="656" t="s">
        <v>1010</v>
      </c>
      <c r="Y238" s="656"/>
      <c r="Z238" s="656"/>
      <c r="AA238" s="656"/>
      <c r="AB238" s="656"/>
      <c r="AC238" s="656"/>
      <c r="AD238" s="657"/>
    </row>
    <row r="239" spans="3:30" ht="15.75" customHeight="1">
      <c r="C239" s="238"/>
      <c r="W239" s="241">
        <v>11</v>
      </c>
      <c r="X239" s="656" t="s">
        <v>1455</v>
      </c>
      <c r="Y239" s="656"/>
      <c r="Z239" s="656"/>
      <c r="AA239" s="656"/>
      <c r="AB239" s="656"/>
      <c r="AC239" s="656"/>
      <c r="AD239" s="657"/>
    </row>
    <row r="240" spans="3:30" ht="15.75" customHeight="1">
      <c r="C240" s="238"/>
      <c r="S240" s="242"/>
      <c r="W240" s="241">
        <v>12</v>
      </c>
      <c r="X240" s="656" t="s">
        <v>1011</v>
      </c>
      <c r="Y240" s="656"/>
      <c r="Z240" s="656"/>
      <c r="AA240" s="656"/>
      <c r="AB240" s="656"/>
      <c r="AC240" s="656"/>
      <c r="AD240" s="657"/>
    </row>
    <row r="241" spans="3:30" ht="15.75" customHeight="1">
      <c r="C241" s="243"/>
      <c r="D241" s="244"/>
      <c r="E241" s="244"/>
      <c r="W241" s="241">
        <v>13</v>
      </c>
      <c r="X241" s="656"/>
      <c r="Y241" s="656"/>
      <c r="Z241" s="656"/>
      <c r="AA241" s="656"/>
      <c r="AB241" s="656"/>
      <c r="AC241" s="656"/>
      <c r="AD241" s="657"/>
    </row>
    <row r="242" spans="3:30" ht="15.75" customHeight="1">
      <c r="C242" s="238"/>
      <c r="W242" s="245"/>
      <c r="X242" s="685"/>
      <c r="Y242" s="685"/>
      <c r="Z242" s="685"/>
      <c r="AA242" s="685"/>
      <c r="AB242" s="685"/>
      <c r="AC242" s="685"/>
      <c r="AD242" s="686"/>
    </row>
    <row r="243" spans="3:30" ht="15.75" customHeight="1">
      <c r="C243" s="238"/>
      <c r="W243" s="687" t="s">
        <v>992</v>
      </c>
      <c r="X243" s="688"/>
      <c r="Y243" s="688"/>
      <c r="Z243" s="688"/>
      <c r="AA243" s="688"/>
      <c r="AB243" s="688"/>
      <c r="AC243" s="688"/>
      <c r="AD243" s="689"/>
    </row>
    <row r="244" spans="3:30" ht="15.75" customHeight="1">
      <c r="C244" s="238"/>
      <c r="W244" s="690" t="s">
        <v>985</v>
      </c>
      <c r="X244" s="691"/>
      <c r="Y244" s="691"/>
      <c r="Z244" s="692"/>
      <c r="AA244" s="693" t="s">
        <v>986</v>
      </c>
      <c r="AB244" s="694"/>
      <c r="AC244" s="694"/>
      <c r="AD244" s="695"/>
    </row>
    <row r="245" spans="3:30" ht="15.75" customHeight="1">
      <c r="C245" s="238"/>
      <c r="W245" s="672" t="s">
        <v>1623</v>
      </c>
      <c r="X245" s="673"/>
      <c r="Y245" s="479">
        <v>2</v>
      </c>
      <c r="Z245" s="480"/>
      <c r="AA245" s="679"/>
      <c r="AB245" s="680"/>
      <c r="AC245" s="248"/>
      <c r="AD245" s="249"/>
    </row>
    <row r="246" spans="3:30" ht="15.75" customHeight="1">
      <c r="C246" s="238"/>
      <c r="W246" s="672" t="s">
        <v>1639</v>
      </c>
      <c r="X246" s="673"/>
      <c r="Y246" s="479">
        <v>10</v>
      </c>
      <c r="Z246" s="480"/>
      <c r="AA246" s="681"/>
      <c r="AB246" s="682"/>
      <c r="AC246" s="248"/>
      <c r="AD246" s="249"/>
    </row>
    <row r="247" spans="3:30" ht="15.75" customHeight="1">
      <c r="C247" s="238"/>
      <c r="W247" s="676" t="s">
        <v>1624</v>
      </c>
      <c r="X247" s="677"/>
      <c r="Y247" s="479">
        <v>9</v>
      </c>
      <c r="Z247" s="480"/>
      <c r="AA247" s="683"/>
      <c r="AB247" s="684"/>
      <c r="AC247" s="248"/>
      <c r="AD247" s="249"/>
    </row>
    <row r="248" spans="3:30" ht="15.75" customHeight="1">
      <c r="C248" s="238"/>
      <c r="W248" s="477" t="s">
        <v>1651</v>
      </c>
      <c r="X248" s="478"/>
      <c r="Y248" s="479">
        <v>1</v>
      </c>
      <c r="Z248" s="480"/>
      <c r="AA248" s="681"/>
      <c r="AB248" s="682"/>
      <c r="AC248" s="248"/>
      <c r="AD248" s="249"/>
    </row>
    <row r="249" spans="3:30" ht="15.75" customHeight="1">
      <c r="C249" s="238"/>
      <c r="W249" s="676" t="s">
        <v>1643</v>
      </c>
      <c r="X249" s="677"/>
      <c r="Y249" s="479">
        <v>2</v>
      </c>
      <c r="Z249" s="480"/>
      <c r="AA249" s="681"/>
      <c r="AB249" s="682"/>
      <c r="AC249" s="248"/>
      <c r="AD249" s="249"/>
    </row>
    <row r="250" spans="3:30" ht="15.75" customHeight="1">
      <c r="C250" s="238"/>
      <c r="W250" s="676" t="s">
        <v>1641</v>
      </c>
      <c r="X250" s="677"/>
      <c r="Y250" s="479">
        <v>12</v>
      </c>
      <c r="Z250" s="480"/>
      <c r="AA250" s="674"/>
      <c r="AB250" s="675"/>
      <c r="AC250" s="248"/>
      <c r="AD250" s="249"/>
    </row>
    <row r="251" spans="3:30" ht="15.75" customHeight="1">
      <c r="C251" s="238"/>
      <c r="W251" s="676" t="s">
        <v>1631</v>
      </c>
      <c r="X251" s="677"/>
      <c r="Y251" s="479">
        <v>5</v>
      </c>
      <c r="Z251" s="480"/>
      <c r="AA251" s="674"/>
      <c r="AB251" s="675"/>
      <c r="AC251" s="248"/>
      <c r="AD251" s="249"/>
    </row>
    <row r="252" spans="3:30" ht="15.75" customHeight="1">
      <c r="C252" s="238"/>
      <c r="W252" s="676" t="s">
        <v>1632</v>
      </c>
      <c r="X252" s="677"/>
      <c r="Y252" s="479">
        <f>Y251</f>
        <v>5</v>
      </c>
      <c r="Z252" s="480"/>
      <c r="AA252" s="674"/>
      <c r="AB252" s="675"/>
      <c r="AC252" s="248"/>
      <c r="AD252" s="249"/>
    </row>
    <row r="253" spans="3:30" ht="15.75" customHeight="1">
      <c r="C253" s="238"/>
      <c r="W253" s="477" t="s">
        <v>1633</v>
      </c>
      <c r="X253" s="478"/>
      <c r="Y253" s="479">
        <f>Y252</f>
        <v>5</v>
      </c>
      <c r="Z253" s="480"/>
      <c r="AA253" s="674"/>
      <c r="AB253" s="675"/>
      <c r="AC253" s="248"/>
      <c r="AD253" s="249"/>
    </row>
    <row r="254" spans="3:30" ht="15.75" customHeight="1">
      <c r="C254" s="238"/>
      <c r="U254" s="250"/>
      <c r="W254" s="676" t="s">
        <v>1652</v>
      </c>
      <c r="X254" s="677"/>
      <c r="Y254" s="479">
        <v>1</v>
      </c>
      <c r="Z254" s="480"/>
      <c r="AA254" s="674"/>
      <c r="AB254" s="675"/>
      <c r="AC254" s="248"/>
      <c r="AD254" s="249"/>
    </row>
    <row r="255" spans="3:30" ht="15.75" customHeight="1">
      <c r="C255" s="238"/>
      <c r="U255" s="250"/>
      <c r="W255" s="672" t="s">
        <v>1653</v>
      </c>
      <c r="X255" s="673"/>
      <c r="Y255" s="246">
        <v>1</v>
      </c>
      <c r="Z255" s="480"/>
      <c r="AA255" s="674"/>
      <c r="AB255" s="675"/>
      <c r="AC255" s="248"/>
      <c r="AD255" s="249"/>
    </row>
    <row r="256" spans="3:30" ht="15.75" customHeight="1">
      <c r="C256" s="238"/>
      <c r="W256" s="676" t="s">
        <v>1630</v>
      </c>
      <c r="X256" s="677"/>
      <c r="Y256" s="479">
        <v>3</v>
      </c>
      <c r="Z256" s="480"/>
      <c r="AA256" s="678"/>
      <c r="AB256" s="678"/>
      <c r="AC256" s="248"/>
      <c r="AD256" s="249"/>
    </row>
    <row r="257" spans="3:30" ht="15.75" customHeight="1">
      <c r="C257" s="238"/>
      <c r="W257" s="477"/>
      <c r="X257" s="478"/>
      <c r="Y257" s="246"/>
      <c r="Z257" s="480"/>
      <c r="AA257" s="678"/>
      <c r="AB257" s="678"/>
      <c r="AC257" s="248"/>
      <c r="AD257" s="249"/>
    </row>
    <row r="258" spans="3:30" ht="15.75" customHeight="1">
      <c r="C258" s="238"/>
      <c r="W258" s="676"/>
      <c r="X258" s="677"/>
      <c r="Y258" s="246"/>
      <c r="Z258" s="247"/>
      <c r="AA258" s="678"/>
      <c r="AB258" s="678"/>
      <c r="AC258" s="248"/>
      <c r="AD258" s="249"/>
    </row>
    <row r="259" spans="3:30" ht="15.75" customHeight="1">
      <c r="C259" s="238"/>
      <c r="W259" s="676"/>
      <c r="X259" s="677"/>
      <c r="Y259" s="479"/>
      <c r="Z259" s="480"/>
      <c r="AA259" s="678"/>
      <c r="AB259" s="678"/>
      <c r="AC259" s="248"/>
      <c r="AD259" s="249"/>
    </row>
    <row r="260" spans="3:30" ht="15.75" customHeight="1">
      <c r="C260" s="238"/>
      <c r="W260" s="661"/>
      <c r="X260" s="662"/>
      <c r="Y260" s="246"/>
      <c r="Z260" s="480"/>
      <c r="AA260" s="663"/>
      <c r="AB260" s="663"/>
      <c r="AC260" s="251"/>
      <c r="AD260" s="252"/>
    </row>
    <row r="261" spans="3:30" ht="15.75" customHeight="1">
      <c r="C261" s="238"/>
      <c r="W261" s="661"/>
      <c r="X261" s="662"/>
      <c r="Y261" s="253"/>
      <c r="Z261" s="247"/>
      <c r="AA261" s="664"/>
      <c r="AB261" s="665"/>
      <c r="AC261" s="251"/>
      <c r="AD261" s="252"/>
    </row>
    <row r="262" spans="3:30" ht="15.75" customHeight="1">
      <c r="C262" s="238"/>
      <c r="W262" s="661"/>
      <c r="X262" s="662"/>
      <c r="Y262" s="253"/>
      <c r="Z262" s="254"/>
      <c r="AA262" s="666"/>
      <c r="AB262" s="667"/>
      <c r="AC262" s="251"/>
      <c r="AD262" s="252"/>
    </row>
    <row r="263" spans="3:30" ht="15.75" customHeight="1">
      <c r="C263" s="238"/>
      <c r="W263" s="668"/>
      <c r="X263" s="669"/>
      <c r="Y263" s="253"/>
      <c r="Z263" s="254"/>
      <c r="AA263" s="255"/>
      <c r="AB263" s="256"/>
      <c r="AC263" s="251"/>
      <c r="AD263" s="252"/>
    </row>
    <row r="264" spans="3:30" ht="15.75" customHeight="1">
      <c r="C264" s="238"/>
      <c r="W264" s="670"/>
      <c r="X264" s="671"/>
      <c r="Y264" s="257"/>
      <c r="Z264" s="258"/>
      <c r="AA264" s="666"/>
      <c r="AB264" s="667"/>
      <c r="AC264" s="251"/>
      <c r="AD264" s="252"/>
    </row>
    <row r="265" spans="3:30" ht="15.75" customHeight="1">
      <c r="C265" s="238"/>
      <c r="W265" s="658" t="s">
        <v>1456</v>
      </c>
      <c r="X265" s="659"/>
      <c r="Y265" s="659"/>
      <c r="Z265" s="659"/>
      <c r="AA265" s="259"/>
      <c r="AB265" s="259"/>
      <c r="AC265" s="259"/>
      <c r="AD265" s="260"/>
    </row>
    <row r="266" spans="3:30" ht="15.75" customHeight="1">
      <c r="C266" s="238"/>
      <c r="V266" s="261"/>
      <c r="W266" s="262"/>
      <c r="X266" s="263"/>
      <c r="Y266" s="263"/>
      <c r="Z266" s="263"/>
      <c r="AA266" s="263"/>
      <c r="AB266" s="263"/>
      <c r="AC266" s="263"/>
      <c r="AD266" s="264"/>
    </row>
    <row r="267" spans="3:30" ht="15.75" customHeight="1">
      <c r="C267" s="265"/>
      <c r="D267" s="266"/>
      <c r="E267" s="266"/>
      <c r="F267" s="266"/>
      <c r="G267" s="266"/>
      <c r="H267" s="266"/>
      <c r="I267" s="266"/>
      <c r="J267" s="266"/>
      <c r="K267" s="266"/>
      <c r="L267" s="266"/>
      <c r="M267" s="266"/>
      <c r="N267" s="266"/>
      <c r="O267" s="266"/>
      <c r="P267" s="266"/>
      <c r="Q267" s="266"/>
      <c r="R267" s="266"/>
      <c r="S267" s="266"/>
      <c r="T267" s="266"/>
      <c r="U267" s="266"/>
      <c r="V267" s="261"/>
      <c r="W267" s="654" t="s">
        <v>11</v>
      </c>
      <c r="X267" s="655"/>
      <c r="Y267" s="656"/>
      <c r="Z267" s="656"/>
      <c r="AA267" s="656"/>
      <c r="AB267" s="656"/>
      <c r="AC267" s="656"/>
      <c r="AD267" s="657"/>
    </row>
    <row r="268" spans="3:30" ht="15.75" customHeight="1">
      <c r="C268" s="265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266"/>
      <c r="T268" s="266"/>
      <c r="U268" s="266"/>
      <c r="V268" s="261"/>
      <c r="W268" s="654" t="s">
        <v>984</v>
      </c>
      <c r="X268" s="655"/>
      <c r="Y268" s="656">
        <v>1</v>
      </c>
      <c r="Z268" s="656"/>
      <c r="AA268" s="656"/>
      <c r="AB268" s="656" t="s">
        <v>12</v>
      </c>
      <c r="AC268" s="656"/>
      <c r="AD268" s="267" t="s">
        <v>13</v>
      </c>
    </row>
    <row r="269" spans="3:30" ht="15.75" customHeight="1">
      <c r="C269" s="265"/>
      <c r="D269" s="266"/>
      <c r="E269" s="266"/>
      <c r="F269" s="266"/>
      <c r="G269" s="266"/>
      <c r="H269" s="266"/>
      <c r="I269" s="266"/>
      <c r="J269" s="266"/>
      <c r="K269" s="266"/>
      <c r="L269" s="266"/>
      <c r="M269" s="266"/>
      <c r="N269" s="266"/>
      <c r="O269" s="266"/>
      <c r="P269" s="266"/>
      <c r="Q269" s="266"/>
      <c r="R269" s="266"/>
      <c r="S269" s="266"/>
      <c r="T269" s="266"/>
      <c r="U269" s="266"/>
      <c r="V269" s="261"/>
      <c r="W269" s="654" t="s">
        <v>15</v>
      </c>
      <c r="X269" s="655"/>
      <c r="Y269" s="660"/>
      <c r="Z269" s="660"/>
      <c r="AA269" s="660"/>
      <c r="AB269" s="656" t="s">
        <v>16</v>
      </c>
      <c r="AC269" s="656"/>
      <c r="AD269" s="268"/>
    </row>
    <row r="270" spans="3:30" ht="15.75" customHeight="1">
      <c r="C270" s="265"/>
      <c r="D270" s="266"/>
      <c r="E270" s="266"/>
      <c r="F270" s="266"/>
      <c r="G270" s="266"/>
      <c r="H270" s="266"/>
      <c r="I270" s="266"/>
      <c r="J270" s="266"/>
      <c r="K270" s="266"/>
      <c r="L270" s="266"/>
      <c r="M270" s="266"/>
      <c r="N270" s="266"/>
      <c r="O270" s="266"/>
      <c r="P270" s="266"/>
      <c r="Q270" s="266"/>
      <c r="R270" s="266"/>
      <c r="S270" s="266"/>
      <c r="T270" s="266"/>
      <c r="U270" s="266"/>
      <c r="V270" s="261"/>
      <c r="W270" s="648" t="s">
        <v>17</v>
      </c>
      <c r="X270" s="648"/>
      <c r="Y270" s="648"/>
      <c r="Z270" s="648"/>
      <c r="AA270" s="648"/>
      <c r="AB270" s="648"/>
      <c r="AC270" s="648"/>
      <c r="AD270" s="649"/>
    </row>
    <row r="271" spans="3:30" ht="15.75" customHeight="1">
      <c r="C271" s="265"/>
      <c r="D271" s="266"/>
      <c r="E271" s="266"/>
      <c r="F271" s="266"/>
      <c r="G271" s="266"/>
      <c r="H271" s="266"/>
      <c r="I271" s="266"/>
      <c r="J271" s="266"/>
      <c r="K271" s="266"/>
      <c r="L271" s="266"/>
      <c r="M271" s="266"/>
      <c r="N271" s="266"/>
      <c r="O271" s="266"/>
      <c r="P271" s="266"/>
      <c r="Q271" s="266"/>
      <c r="R271" s="266"/>
      <c r="S271" s="266"/>
      <c r="T271" s="266"/>
      <c r="U271" s="266"/>
      <c r="V271" s="261"/>
      <c r="W271" s="650">
        <f>RAB!G402</f>
        <v>0</v>
      </c>
      <c r="X271" s="650"/>
      <c r="Y271" s="650"/>
      <c r="Z271" s="650"/>
      <c r="AA271" s="650"/>
      <c r="AB271" s="650"/>
      <c r="AC271" s="650"/>
      <c r="AD271" s="651"/>
    </row>
    <row r="272" spans="3:30" ht="15.75" customHeight="1">
      <c r="C272" s="265"/>
      <c r="D272" s="266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6"/>
      <c r="P272" s="266"/>
      <c r="Q272" s="266"/>
      <c r="R272" s="266"/>
      <c r="S272" s="266"/>
      <c r="T272" s="266"/>
      <c r="U272" s="266"/>
      <c r="V272" s="269"/>
      <c r="W272" s="650"/>
      <c r="X272" s="650"/>
      <c r="Y272" s="650"/>
      <c r="Z272" s="650"/>
      <c r="AA272" s="650"/>
      <c r="AB272" s="650"/>
      <c r="AC272" s="650"/>
      <c r="AD272" s="651"/>
    </row>
    <row r="273" spans="3:30" ht="15.75" customHeight="1">
      <c r="C273" s="265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9"/>
      <c r="W273" s="650"/>
      <c r="X273" s="650"/>
      <c r="Y273" s="650"/>
      <c r="Z273" s="650"/>
      <c r="AA273" s="650"/>
      <c r="AB273" s="650"/>
      <c r="AC273" s="650"/>
      <c r="AD273" s="651"/>
    </row>
    <row r="274" spans="3:30" ht="15.75" customHeight="1">
      <c r="C274" s="265"/>
      <c r="D274" s="266"/>
      <c r="E274" s="266"/>
      <c r="F274" s="266"/>
      <c r="G274" s="266"/>
      <c r="H274" s="266"/>
      <c r="I274" s="266"/>
      <c r="J274" s="266"/>
      <c r="K274" s="266"/>
      <c r="L274" s="266"/>
      <c r="M274" s="266"/>
      <c r="N274" s="266"/>
      <c r="O274" s="266"/>
      <c r="P274" s="266"/>
      <c r="Q274" s="266" t="s">
        <v>1622</v>
      </c>
      <c r="R274" s="266"/>
      <c r="S274" s="266"/>
      <c r="T274" s="266"/>
      <c r="U274" s="266"/>
      <c r="V274" s="269"/>
      <c r="W274" s="652"/>
      <c r="X274" s="652"/>
      <c r="Y274" s="652"/>
      <c r="Z274" s="652"/>
      <c r="AA274" s="652"/>
      <c r="AB274" s="652"/>
      <c r="AC274" s="652"/>
      <c r="AD274" s="653"/>
    </row>
    <row r="275" spans="3:30" ht="15.75" customHeight="1">
      <c r="C275" s="265"/>
      <c r="D275" s="266"/>
      <c r="E275" s="266"/>
      <c r="F275" s="266"/>
      <c r="G275" s="266"/>
      <c r="H275" s="266"/>
      <c r="I275" s="266"/>
      <c r="J275" s="266"/>
      <c r="K275" s="266"/>
      <c r="L275" s="266"/>
      <c r="M275" s="266"/>
      <c r="N275" s="266"/>
      <c r="O275" s="266"/>
      <c r="P275" s="266"/>
      <c r="Q275" s="266"/>
      <c r="R275" s="266"/>
      <c r="S275" s="266"/>
      <c r="T275" s="266"/>
      <c r="U275" s="266"/>
      <c r="V275" s="261"/>
      <c r="W275" s="654" t="s">
        <v>18</v>
      </c>
      <c r="X275" s="655"/>
      <c r="Y275" s="656" t="s">
        <v>1549</v>
      </c>
      <c r="Z275" s="656"/>
      <c r="AA275" s="656"/>
      <c r="AB275" s="656"/>
      <c r="AC275" s="656"/>
      <c r="AD275" s="657"/>
    </row>
    <row r="276" spans="3:30" ht="15.75" customHeight="1">
      <c r="C276" s="265"/>
      <c r="D276" s="266"/>
      <c r="E276" s="266"/>
      <c r="F276" s="266"/>
      <c r="G276" s="266"/>
      <c r="H276" s="266"/>
      <c r="I276" s="266"/>
      <c r="J276" s="266"/>
      <c r="K276" s="266"/>
      <c r="L276" s="266"/>
      <c r="M276" s="266"/>
      <c r="N276" s="266"/>
      <c r="O276" s="266"/>
      <c r="P276" s="266"/>
      <c r="Q276" s="266"/>
      <c r="R276" s="266"/>
      <c r="S276" s="266"/>
      <c r="T276" s="266"/>
      <c r="V276" s="261"/>
      <c r="W276" s="654" t="s">
        <v>19</v>
      </c>
      <c r="X276" s="655"/>
      <c r="Y276" s="656" t="s">
        <v>1549</v>
      </c>
      <c r="Z276" s="656"/>
      <c r="AA276" s="656"/>
      <c r="AB276" s="656"/>
      <c r="AC276" s="656"/>
      <c r="AD276" s="657"/>
    </row>
    <row r="277" spans="3:30" ht="15.75" customHeight="1" thickBot="1">
      <c r="C277" s="265"/>
      <c r="D277" s="266"/>
      <c r="E277" s="266"/>
      <c r="F277" s="266"/>
      <c r="G277" s="266"/>
      <c r="H277" s="266"/>
      <c r="I277" s="266"/>
      <c r="J277" s="266"/>
      <c r="K277" s="266"/>
      <c r="L277" s="266"/>
      <c r="M277" s="266"/>
      <c r="N277" s="266"/>
      <c r="O277" s="266"/>
      <c r="P277" s="266"/>
      <c r="Q277" s="266"/>
      <c r="R277" s="266"/>
      <c r="S277" s="266"/>
      <c r="T277" s="266"/>
      <c r="V277" s="261"/>
      <c r="W277" s="654" t="s">
        <v>20</v>
      </c>
      <c r="X277" s="655"/>
      <c r="Y277" s="646" t="s">
        <v>1550</v>
      </c>
      <c r="Z277" s="646"/>
      <c r="AA277" s="646"/>
      <c r="AB277" s="656"/>
      <c r="AC277" s="656"/>
      <c r="AD277" s="657"/>
    </row>
    <row r="278" spans="3:30" ht="15.75" customHeight="1" thickBot="1">
      <c r="C278" s="270"/>
      <c r="D278" s="271"/>
      <c r="E278" s="271"/>
      <c r="F278" s="271"/>
      <c r="G278" s="271"/>
      <c r="H278" s="271"/>
      <c r="I278" s="271"/>
      <c r="J278" s="271"/>
      <c r="K278" s="271"/>
      <c r="L278" s="271"/>
      <c r="M278" s="271"/>
      <c r="N278" s="271"/>
      <c r="O278" s="271"/>
      <c r="P278" s="271"/>
      <c r="Q278" s="271"/>
      <c r="R278" s="271"/>
      <c r="S278" s="271"/>
      <c r="T278" s="271"/>
      <c r="U278" s="272"/>
      <c r="V278" s="273"/>
      <c r="W278" s="644" t="s">
        <v>21</v>
      </c>
      <c r="X278" s="645"/>
      <c r="Y278" s="646" t="s">
        <v>1551</v>
      </c>
      <c r="Z278" s="646"/>
      <c r="AA278" s="646"/>
      <c r="AB278" s="646"/>
      <c r="AC278" s="646"/>
      <c r="AD278" s="647"/>
    </row>
    <row r="279" spans="3:30" ht="15.75" customHeight="1"/>
    <row r="280" spans="3:30" ht="15.75" customHeight="1"/>
    <row r="281" spans="3:30" ht="18.75" customHeight="1"/>
    <row r="282" spans="3:30" ht="18.75" customHeight="1"/>
    <row r="283" spans="3:30" ht="18.75" customHeight="1"/>
    <row r="284" spans="3:30" ht="18.75" customHeight="1"/>
    <row r="285" spans="3:30" ht="18.75" customHeight="1"/>
    <row r="286" spans="3:30" ht="18.75" customHeight="1"/>
    <row r="287" spans="3:30" ht="18.75" customHeight="1"/>
    <row r="288" spans="3:30" ht="18.75" customHeight="1"/>
    <row r="289" ht="18.75" customHeight="1"/>
    <row r="290" ht="18.75" customHeight="1"/>
    <row r="291" ht="18.75" customHeight="1"/>
  </sheetData>
  <mergeCells count="556">
    <mergeCell ref="AG33:AH33"/>
    <mergeCell ref="AG21:AH21"/>
    <mergeCell ref="AK21:AL21"/>
    <mergeCell ref="AK22:AL22"/>
    <mergeCell ref="AK23:AL23"/>
    <mergeCell ref="AK24:AL24"/>
    <mergeCell ref="AK25:AL25"/>
    <mergeCell ref="AK26:AL26"/>
    <mergeCell ref="AK27:AL27"/>
    <mergeCell ref="AK28:AL28"/>
    <mergeCell ref="AG22:AH22"/>
    <mergeCell ref="AG23:AH23"/>
    <mergeCell ref="AG24:AH24"/>
    <mergeCell ref="AG26:AH26"/>
    <mergeCell ref="AG27:AH27"/>
    <mergeCell ref="AG28:AH28"/>
    <mergeCell ref="AG29:AH29"/>
    <mergeCell ref="AG31:AH31"/>
    <mergeCell ref="AG32:AH32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W109:X109"/>
    <mergeCell ref="Y109:AA109"/>
    <mergeCell ref="AB109:AD109"/>
    <mergeCell ref="W98:Z98"/>
    <mergeCell ref="W100:X100"/>
    <mergeCell ref="Y100:AD100"/>
    <mergeCell ref="W101:X101"/>
    <mergeCell ref="Y101:AA101"/>
    <mergeCell ref="AB101:AC101"/>
    <mergeCell ref="X70:Z70"/>
    <mergeCell ref="AC70:AD70"/>
    <mergeCell ref="W102:X102"/>
    <mergeCell ref="Y102:AA102"/>
    <mergeCell ref="AB102:AC102"/>
    <mergeCell ref="W103:AD103"/>
    <mergeCell ref="W104:AD107"/>
    <mergeCell ref="W108:X108"/>
    <mergeCell ref="Y108:AA108"/>
    <mergeCell ref="AB108:AD108"/>
    <mergeCell ref="W92:X92"/>
    <mergeCell ref="W80:X80"/>
    <mergeCell ref="W76:AD76"/>
    <mergeCell ref="W77:Z77"/>
    <mergeCell ref="AA77:AD77"/>
    <mergeCell ref="W78:X78"/>
    <mergeCell ref="AA78:AB78"/>
    <mergeCell ref="W79:X79"/>
    <mergeCell ref="AA79:AB79"/>
    <mergeCell ref="AA72:AB72"/>
    <mergeCell ref="AA73:AB73"/>
    <mergeCell ref="AA74:AB74"/>
    <mergeCell ref="AA70:AB70"/>
    <mergeCell ref="AA71:AB71"/>
    <mergeCell ref="X65:Z65"/>
    <mergeCell ref="AC65:AD65"/>
    <mergeCell ref="X66:Z66"/>
    <mergeCell ref="AC66:AD66"/>
    <mergeCell ref="X67:Z67"/>
    <mergeCell ref="AC67:AD67"/>
    <mergeCell ref="X68:Z68"/>
    <mergeCell ref="AC68:AD68"/>
    <mergeCell ref="X69:Z69"/>
    <mergeCell ref="AC69:AD69"/>
    <mergeCell ref="AA69:AB69"/>
    <mergeCell ref="AA66:AB66"/>
    <mergeCell ref="AA67:AB67"/>
    <mergeCell ref="AA68:AB68"/>
    <mergeCell ref="AA65:AB65"/>
    <mergeCell ref="W58:AD59"/>
    <mergeCell ref="X61:Z61"/>
    <mergeCell ref="AC61:AD61"/>
    <mergeCell ref="X62:Z62"/>
    <mergeCell ref="AC62:AD62"/>
    <mergeCell ref="X63:Z63"/>
    <mergeCell ref="AC63:AD63"/>
    <mergeCell ref="X64:Z64"/>
    <mergeCell ref="AC64:AD64"/>
    <mergeCell ref="AA63:AB63"/>
    <mergeCell ref="AA64:AB64"/>
    <mergeCell ref="AA61:AB61"/>
    <mergeCell ref="AA62:AB62"/>
    <mergeCell ref="AC71:AD71"/>
    <mergeCell ref="X72:Z72"/>
    <mergeCell ref="AC72:AD72"/>
    <mergeCell ref="X73:Z73"/>
    <mergeCell ref="AC73:AD73"/>
    <mergeCell ref="X74:Z74"/>
    <mergeCell ref="AC74:AD74"/>
    <mergeCell ref="X75:Z75"/>
    <mergeCell ref="AA75:AB75"/>
    <mergeCell ref="AC75:AD75"/>
    <mergeCell ref="X71:Z71"/>
    <mergeCell ref="AA80:AB80"/>
    <mergeCell ref="AA81:AB81"/>
    <mergeCell ref="W82:X82"/>
    <mergeCell ref="AA82:AB82"/>
    <mergeCell ref="W83:X83"/>
    <mergeCell ref="AA83:AB83"/>
    <mergeCell ref="W84:X84"/>
    <mergeCell ref="AA84:AB84"/>
    <mergeCell ref="W85:X85"/>
    <mergeCell ref="AA85:AB85"/>
    <mergeCell ref="AA86:AB86"/>
    <mergeCell ref="W87:X87"/>
    <mergeCell ref="AA87:AB87"/>
    <mergeCell ref="W88:X88"/>
    <mergeCell ref="AA88:AB88"/>
    <mergeCell ref="W89:X89"/>
    <mergeCell ref="AA89:AB89"/>
    <mergeCell ref="AA90:AB90"/>
    <mergeCell ref="W91:X91"/>
    <mergeCell ref="AA91:AB91"/>
    <mergeCell ref="AA92:AB92"/>
    <mergeCell ref="W93:X93"/>
    <mergeCell ref="AA93:AB93"/>
    <mergeCell ref="W94:X94"/>
    <mergeCell ref="AA94:AB94"/>
    <mergeCell ref="W95:X95"/>
    <mergeCell ref="AA95:AB95"/>
    <mergeCell ref="W96:X96"/>
    <mergeCell ref="W97:X97"/>
    <mergeCell ref="AA97:AB97"/>
    <mergeCell ref="W110:X110"/>
    <mergeCell ref="Y110:AA110"/>
    <mergeCell ref="AB110:AD110"/>
    <mergeCell ref="W111:X111"/>
    <mergeCell ref="Y111:AA111"/>
    <mergeCell ref="AB111:AD111"/>
    <mergeCell ref="W114:AD115"/>
    <mergeCell ref="X117:Z117"/>
    <mergeCell ref="AA117:AB117"/>
    <mergeCell ref="AC117:AD117"/>
    <mergeCell ref="X118:Z118"/>
    <mergeCell ref="AA118:AB118"/>
    <mergeCell ref="AC118:AD118"/>
    <mergeCell ref="X119:Z119"/>
    <mergeCell ref="AA119:AB119"/>
    <mergeCell ref="AC119:AD119"/>
    <mergeCell ref="X120:Z120"/>
    <mergeCell ref="AA120:AB120"/>
    <mergeCell ref="AC120:AD120"/>
    <mergeCell ref="X121:Z121"/>
    <mergeCell ref="AA121:AB121"/>
    <mergeCell ref="AC121:AD121"/>
    <mergeCell ref="X122:Z122"/>
    <mergeCell ref="AA122:AB122"/>
    <mergeCell ref="AC122:AD122"/>
    <mergeCell ref="X123:Z123"/>
    <mergeCell ref="AA123:AB123"/>
    <mergeCell ref="AC123:AD123"/>
    <mergeCell ref="X124:Z124"/>
    <mergeCell ref="AA124:AB124"/>
    <mergeCell ref="AC124:AD124"/>
    <mergeCell ref="X125:Z125"/>
    <mergeCell ref="AA125:AB125"/>
    <mergeCell ref="AC125:AD125"/>
    <mergeCell ref="X126:Z126"/>
    <mergeCell ref="AA126:AB126"/>
    <mergeCell ref="AC126:AD126"/>
    <mergeCell ref="X127:Z127"/>
    <mergeCell ref="AA127:AB127"/>
    <mergeCell ref="AC127:AD127"/>
    <mergeCell ref="X128:Z128"/>
    <mergeCell ref="AA128:AB128"/>
    <mergeCell ref="AC128:AD128"/>
    <mergeCell ref="X129:Z129"/>
    <mergeCell ref="AA129:AB129"/>
    <mergeCell ref="AC129:AD129"/>
    <mergeCell ref="X130:Z130"/>
    <mergeCell ref="AA130:AB130"/>
    <mergeCell ref="AC130:AD130"/>
    <mergeCell ref="X131:Z131"/>
    <mergeCell ref="AA131:AB131"/>
    <mergeCell ref="AC131:AD131"/>
    <mergeCell ref="W132:AD132"/>
    <mergeCell ref="W133:Z133"/>
    <mergeCell ref="AA133:AD133"/>
    <mergeCell ref="W134:X134"/>
    <mergeCell ref="AA134:AB134"/>
    <mergeCell ref="W135:X135"/>
    <mergeCell ref="AA135:AB135"/>
    <mergeCell ref="W136:X136"/>
    <mergeCell ref="AA136:AB136"/>
    <mergeCell ref="AA137:AB137"/>
    <mergeCell ref="W138:X138"/>
    <mergeCell ref="AA138:AB138"/>
    <mergeCell ref="W139:X139"/>
    <mergeCell ref="AA139:AB139"/>
    <mergeCell ref="W140:X140"/>
    <mergeCell ref="AA140:AB140"/>
    <mergeCell ref="W141:X141"/>
    <mergeCell ref="AA141:AB141"/>
    <mergeCell ref="AA142:AB142"/>
    <mergeCell ref="W143:X143"/>
    <mergeCell ref="AA143:AB143"/>
    <mergeCell ref="W144:X144"/>
    <mergeCell ref="AA144:AB144"/>
    <mergeCell ref="W145:X145"/>
    <mergeCell ref="AA145:AB145"/>
    <mergeCell ref="AA146:AB146"/>
    <mergeCell ref="W147:X147"/>
    <mergeCell ref="AA147:AB147"/>
    <mergeCell ref="W148:X148"/>
    <mergeCell ref="AA148:AB148"/>
    <mergeCell ref="W149:X149"/>
    <mergeCell ref="AA149:AB149"/>
    <mergeCell ref="W150:X150"/>
    <mergeCell ref="AA150:AB150"/>
    <mergeCell ref="W151:X151"/>
    <mergeCell ref="AA151:AB151"/>
    <mergeCell ref="W152:X152"/>
    <mergeCell ref="W153:X153"/>
    <mergeCell ref="AA153:AB153"/>
    <mergeCell ref="W154:Z154"/>
    <mergeCell ref="W156:X156"/>
    <mergeCell ref="Y156:AD156"/>
    <mergeCell ref="W157:X157"/>
    <mergeCell ref="Y157:AA157"/>
    <mergeCell ref="AB157:AC157"/>
    <mergeCell ref="W158:X158"/>
    <mergeCell ref="Y158:AA158"/>
    <mergeCell ref="AB158:AC158"/>
    <mergeCell ref="W159:AD159"/>
    <mergeCell ref="W160:AD163"/>
    <mergeCell ref="W164:X164"/>
    <mergeCell ref="Y164:AA164"/>
    <mergeCell ref="AB164:AD164"/>
    <mergeCell ref="W165:X165"/>
    <mergeCell ref="Y165:AA165"/>
    <mergeCell ref="AB165:AD165"/>
    <mergeCell ref="W166:X166"/>
    <mergeCell ref="Y166:AA166"/>
    <mergeCell ref="AB166:AD166"/>
    <mergeCell ref="W167:X167"/>
    <mergeCell ref="Y167:AA167"/>
    <mergeCell ref="AB167:AD167"/>
    <mergeCell ref="W170:AD171"/>
    <mergeCell ref="X173:Z173"/>
    <mergeCell ref="AA173:AB173"/>
    <mergeCell ref="AC173:AD173"/>
    <mergeCell ref="X174:Z174"/>
    <mergeCell ref="AA174:AB174"/>
    <mergeCell ref="AC174:AD174"/>
    <mergeCell ref="X175:Z175"/>
    <mergeCell ref="AA175:AB175"/>
    <mergeCell ref="AC175:AD175"/>
    <mergeCell ref="X176:Z176"/>
    <mergeCell ref="AA176:AB176"/>
    <mergeCell ref="AC176:AD176"/>
    <mergeCell ref="X177:Z177"/>
    <mergeCell ref="AA177:AB177"/>
    <mergeCell ref="AC177:AD177"/>
    <mergeCell ref="X178:Z178"/>
    <mergeCell ref="AA178:AB178"/>
    <mergeCell ref="AC178:AD178"/>
    <mergeCell ref="X179:Z179"/>
    <mergeCell ref="AA179:AB179"/>
    <mergeCell ref="AC179:AD179"/>
    <mergeCell ref="X180:Z180"/>
    <mergeCell ref="AA180:AB180"/>
    <mergeCell ref="AC180:AD180"/>
    <mergeCell ref="X181:Z181"/>
    <mergeCell ref="AA181:AB181"/>
    <mergeCell ref="AC181:AD181"/>
    <mergeCell ref="X182:Z182"/>
    <mergeCell ref="AA182:AB182"/>
    <mergeCell ref="AC182:AD182"/>
    <mergeCell ref="X183:Z183"/>
    <mergeCell ref="AA183:AB183"/>
    <mergeCell ref="AC183:AD183"/>
    <mergeCell ref="X184:Z184"/>
    <mergeCell ref="AA184:AB184"/>
    <mergeCell ref="AC184:AD184"/>
    <mergeCell ref="X185:Z185"/>
    <mergeCell ref="AA185:AB185"/>
    <mergeCell ref="AC185:AD185"/>
    <mergeCell ref="X186:Z186"/>
    <mergeCell ref="AA186:AB186"/>
    <mergeCell ref="AC186:AD186"/>
    <mergeCell ref="X187:Z187"/>
    <mergeCell ref="AA187:AB187"/>
    <mergeCell ref="AC187:AD187"/>
    <mergeCell ref="W188:AD188"/>
    <mergeCell ref="W189:Z189"/>
    <mergeCell ref="AA189:AD189"/>
    <mergeCell ref="W190:X190"/>
    <mergeCell ref="AA190:AB190"/>
    <mergeCell ref="W191:X191"/>
    <mergeCell ref="AA191:AB191"/>
    <mergeCell ref="W192:X192"/>
    <mergeCell ref="AA192:AB192"/>
    <mergeCell ref="AA193:AB193"/>
    <mergeCell ref="W194:X194"/>
    <mergeCell ref="AA194:AB194"/>
    <mergeCell ref="W195:X195"/>
    <mergeCell ref="AA195:AB195"/>
    <mergeCell ref="W196:X196"/>
    <mergeCell ref="AA196:AB196"/>
    <mergeCell ref="W197:X197"/>
    <mergeCell ref="AA197:AB197"/>
    <mergeCell ref="AA198:AB198"/>
    <mergeCell ref="W199:X199"/>
    <mergeCell ref="AA199:AB199"/>
    <mergeCell ref="W200:X200"/>
    <mergeCell ref="AA200:AB200"/>
    <mergeCell ref="W201:X201"/>
    <mergeCell ref="AA201:AB201"/>
    <mergeCell ref="AA202:AB202"/>
    <mergeCell ref="W203:X203"/>
    <mergeCell ref="AA203:AB203"/>
    <mergeCell ref="W204:X204"/>
    <mergeCell ref="AA204:AB204"/>
    <mergeCell ref="W205:X205"/>
    <mergeCell ref="AA205:AB205"/>
    <mergeCell ref="W206:X206"/>
    <mergeCell ref="AA206:AB206"/>
    <mergeCell ref="W207:X207"/>
    <mergeCell ref="AA207:AB207"/>
    <mergeCell ref="W208:X208"/>
    <mergeCell ref="W209:X209"/>
    <mergeCell ref="AA209:AB209"/>
    <mergeCell ref="W210:Z210"/>
    <mergeCell ref="W212:X212"/>
    <mergeCell ref="Y212:AD212"/>
    <mergeCell ref="W213:X213"/>
    <mergeCell ref="Y213:AA213"/>
    <mergeCell ref="AB213:AC213"/>
    <mergeCell ref="W222:X222"/>
    <mergeCell ref="Y222:AA222"/>
    <mergeCell ref="AB222:AD222"/>
    <mergeCell ref="W225:AD226"/>
    <mergeCell ref="X228:Z228"/>
    <mergeCell ref="AA228:AB228"/>
    <mergeCell ref="AC228:AD228"/>
    <mergeCell ref="W214:X214"/>
    <mergeCell ref="Y214:AA214"/>
    <mergeCell ref="AB214:AC214"/>
    <mergeCell ref="W215:AD215"/>
    <mergeCell ref="W216:AD219"/>
    <mergeCell ref="W220:X220"/>
    <mergeCell ref="Y220:AA220"/>
    <mergeCell ref="AB220:AD220"/>
    <mergeCell ref="W221:X221"/>
    <mergeCell ref="Y221:AA221"/>
    <mergeCell ref="AB221:AD221"/>
    <mergeCell ref="X229:Z229"/>
    <mergeCell ref="AA229:AB229"/>
    <mergeCell ref="AC229:AD229"/>
    <mergeCell ref="X230:Z230"/>
    <mergeCell ref="AA230:AB230"/>
    <mergeCell ref="AC230:AD230"/>
    <mergeCell ref="X231:Z231"/>
    <mergeCell ref="AA231:AB231"/>
    <mergeCell ref="AC231:AD231"/>
    <mergeCell ref="X232:Z232"/>
    <mergeCell ref="AA232:AB232"/>
    <mergeCell ref="AC232:AD232"/>
    <mergeCell ref="X233:Z233"/>
    <mergeCell ref="AA233:AB233"/>
    <mergeCell ref="AC233:AD233"/>
    <mergeCell ref="X234:Z234"/>
    <mergeCell ref="AA234:AB234"/>
    <mergeCell ref="AC234:AD234"/>
    <mergeCell ref="X235:Z235"/>
    <mergeCell ref="AA235:AB235"/>
    <mergeCell ref="AC235:AD235"/>
    <mergeCell ref="X236:Z236"/>
    <mergeCell ref="AA236:AB236"/>
    <mergeCell ref="AC236:AD236"/>
    <mergeCell ref="X237:Z237"/>
    <mergeCell ref="AA237:AB237"/>
    <mergeCell ref="AC237:AD237"/>
    <mergeCell ref="X238:Z238"/>
    <mergeCell ref="AA238:AB238"/>
    <mergeCell ref="AC238:AD238"/>
    <mergeCell ref="X239:Z239"/>
    <mergeCell ref="AA239:AB239"/>
    <mergeCell ref="AC239:AD239"/>
    <mergeCell ref="X240:Z240"/>
    <mergeCell ref="AA240:AB240"/>
    <mergeCell ref="AC240:AD240"/>
    <mergeCell ref="X241:Z241"/>
    <mergeCell ref="AA241:AB241"/>
    <mergeCell ref="AC241:AD241"/>
    <mergeCell ref="X242:Z242"/>
    <mergeCell ref="AA242:AB242"/>
    <mergeCell ref="AC242:AD242"/>
    <mergeCell ref="W243:AD243"/>
    <mergeCell ref="W244:Z244"/>
    <mergeCell ref="AA244:AD244"/>
    <mergeCell ref="W245:X245"/>
    <mergeCell ref="AA245:AB245"/>
    <mergeCell ref="W246:X246"/>
    <mergeCell ref="AA246:AB246"/>
    <mergeCell ref="W247:X247"/>
    <mergeCell ref="AA247:AB247"/>
    <mergeCell ref="AA248:AB248"/>
    <mergeCell ref="W249:X249"/>
    <mergeCell ref="AA249:AB249"/>
    <mergeCell ref="W250:X250"/>
    <mergeCell ref="AA250:AB250"/>
    <mergeCell ref="W251:X251"/>
    <mergeCell ref="AA251:AB251"/>
    <mergeCell ref="W252:X252"/>
    <mergeCell ref="AA252:AB252"/>
    <mergeCell ref="AA253:AB253"/>
    <mergeCell ref="W254:X254"/>
    <mergeCell ref="AA254:AB254"/>
    <mergeCell ref="W255:X255"/>
    <mergeCell ref="AA255:AB255"/>
    <mergeCell ref="W256:X256"/>
    <mergeCell ref="AA256:AB256"/>
    <mergeCell ref="AA257:AB257"/>
    <mergeCell ref="W258:X258"/>
    <mergeCell ref="AA258:AB258"/>
    <mergeCell ref="W259:X259"/>
    <mergeCell ref="AA259:AB259"/>
    <mergeCell ref="W260:X260"/>
    <mergeCell ref="AA260:AB260"/>
    <mergeCell ref="W261:X261"/>
    <mergeCell ref="AA261:AB261"/>
    <mergeCell ref="W262:X262"/>
    <mergeCell ref="AA262:AB262"/>
    <mergeCell ref="W263:X263"/>
    <mergeCell ref="W264:X264"/>
    <mergeCell ref="AA264:AB264"/>
    <mergeCell ref="W265:Z265"/>
    <mergeCell ref="W267:X267"/>
    <mergeCell ref="Y267:AD267"/>
    <mergeCell ref="W268:X268"/>
    <mergeCell ref="Y268:AA268"/>
    <mergeCell ref="AB268:AC268"/>
    <mergeCell ref="W269:X269"/>
    <mergeCell ref="Y269:AA269"/>
    <mergeCell ref="AB269:AC269"/>
    <mergeCell ref="W278:X278"/>
    <mergeCell ref="Y278:AA278"/>
    <mergeCell ref="AB278:AD278"/>
    <mergeCell ref="W270:AD270"/>
    <mergeCell ref="W271:AD274"/>
    <mergeCell ref="W275:X275"/>
    <mergeCell ref="Y275:AA275"/>
    <mergeCell ref="AB275:AD275"/>
    <mergeCell ref="W276:X276"/>
    <mergeCell ref="Y276:AA276"/>
    <mergeCell ref="AB276:AD276"/>
    <mergeCell ref="W277:X277"/>
    <mergeCell ref="Y277:AA277"/>
    <mergeCell ref="AB277:AD277"/>
  </mergeCells>
  <printOptions verticalCentered="1"/>
  <pageMargins left="0.25" right="0.25" top="0.75" bottom="0.75" header="0.3" footer="0.3"/>
  <pageSetup paperSize="9" scale="52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X19" sqref="X1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2" t="s">
        <v>1528</v>
      </c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4"/>
      <c r="AD4" s="217"/>
      <c r="AE4" s="216"/>
      <c r="AF4" s="216"/>
    </row>
    <row r="5" spans="2:32" ht="13.5" customHeight="1">
      <c r="B5" s="215"/>
      <c r="C5" s="215"/>
      <c r="D5" s="705"/>
      <c r="E5" s="706"/>
      <c r="F5" s="706"/>
      <c r="G5" s="706"/>
      <c r="H5" s="706"/>
      <c r="I5" s="706"/>
      <c r="J5" s="706"/>
      <c r="K5" s="706"/>
      <c r="L5" s="706"/>
      <c r="M5" s="706"/>
      <c r="N5" s="706"/>
      <c r="O5" s="706"/>
      <c r="P5" s="706"/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6"/>
      <c r="AC5" s="707"/>
      <c r="AD5" s="217"/>
      <c r="AE5" s="216"/>
      <c r="AF5" s="216"/>
    </row>
    <row r="6" spans="2:32" ht="12.75" customHeight="1">
      <c r="B6" s="215"/>
      <c r="C6" s="215"/>
      <c r="D6" s="705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7"/>
      <c r="AE6" s="216"/>
      <c r="AF6" s="216"/>
    </row>
    <row r="7" spans="2:32" ht="12.75" customHeight="1" thickBot="1">
      <c r="B7" s="215"/>
      <c r="C7" s="215"/>
      <c r="D7" s="708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1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T33" sqref="T33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6" t="s">
        <v>1527</v>
      </c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711" t="s">
        <v>1617</v>
      </c>
      <c r="D6" s="711"/>
      <c r="E6" s="711"/>
      <c r="F6" s="711"/>
      <c r="G6" s="711"/>
      <c r="H6" s="711"/>
      <c r="I6" s="711"/>
      <c r="J6" s="711"/>
      <c r="K6" s="711"/>
      <c r="L6" s="711"/>
      <c r="M6" s="711"/>
      <c r="W6" s="182"/>
      <c r="Y6" s="417"/>
      <c r="Z6" s="417"/>
      <c r="AA6" s="417"/>
      <c r="AB6" s="418"/>
      <c r="AC6" s="418"/>
    </row>
    <row r="7" spans="1:29" ht="18" customHeight="1">
      <c r="A7" s="18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2023-09-12T02:35:10Z</cp:lastPrinted>
  <dcterms:created xsi:type="dcterms:W3CDTF">2011-02-06T11:57:38Z</dcterms:created>
  <dcterms:modified xsi:type="dcterms:W3CDTF">2023-09-13T08:55:12Z</dcterms:modified>
</cp:coreProperties>
</file>