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A. BP LEBIH BESAR INVESTASI\NOV\"/>
    </mc:Choice>
  </mc:AlternateContent>
  <xr:revisionPtr revIDLastSave="0" documentId="8_{168B058B-2673-459B-8BFA-0B6C4E9C598B}" xr6:coauthVersionLast="47" xr6:coauthVersionMax="47" xr10:uidLastSave="{00000000-0000-0000-0000-000000000000}"/>
  <bookViews>
    <workbookView xWindow="-120" yWindow="-120" windowWidth="24240" windowHeight="1314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RAB!$A$1:$K$52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D17" i="11"/>
  <c r="H17" i="11" s="1"/>
  <c r="E17" i="11"/>
  <c r="G17" i="11"/>
  <c r="D18" i="11"/>
  <c r="J18" i="11" s="1"/>
  <c r="E18" i="11"/>
  <c r="G18" i="11"/>
  <c r="D19" i="11"/>
  <c r="H19" i="11" s="1"/>
  <c r="E19" i="11"/>
  <c r="G19" i="11"/>
  <c r="D20" i="11"/>
  <c r="H20" i="11" s="1"/>
  <c r="E20" i="11"/>
  <c r="G20" i="11"/>
  <c r="D27" i="11"/>
  <c r="I27" i="11" s="1"/>
  <c r="E27" i="11"/>
  <c r="G27" i="11"/>
  <c r="D28" i="11"/>
  <c r="I28" i="11" s="1"/>
  <c r="E28" i="11"/>
  <c r="G28" i="11"/>
  <c r="J19" i="11" l="1"/>
  <c r="I19" i="11"/>
  <c r="J17" i="11"/>
  <c r="J20" i="11"/>
  <c r="I17" i="11"/>
  <c r="I20" i="11"/>
  <c r="I18" i="11"/>
  <c r="H18" i="11"/>
  <c r="H28" i="11"/>
  <c r="H27" i="11"/>
  <c r="J28" i="11"/>
  <c r="J27" i="11"/>
  <c r="K19" i="11" l="1"/>
  <c r="K17" i="11"/>
  <c r="K20" i="11"/>
  <c r="K18" i="11"/>
  <c r="K27" i="11"/>
  <c r="K28" i="11"/>
  <c r="D16" i="11" l="1"/>
  <c r="H16" i="11" s="1"/>
  <c r="E16" i="11"/>
  <c r="G16" i="11"/>
  <c r="D15" i="11"/>
  <c r="H15" i="11" s="1"/>
  <c r="E15" i="11"/>
  <c r="G15" i="11"/>
  <c r="E7" i="64"/>
  <c r="J16" i="11" l="1"/>
  <c r="I16" i="11"/>
  <c r="J15" i="11"/>
  <c r="I15" i="11"/>
  <c r="G6" i="11"/>
  <c r="D30" i="11"/>
  <c r="J30" i="11" s="1"/>
  <c r="E30" i="11"/>
  <c r="G30" i="11"/>
  <c r="D31" i="11"/>
  <c r="J31" i="11" s="1"/>
  <c r="E31" i="11"/>
  <c r="G31" i="11"/>
  <c r="K16" i="11" l="1"/>
  <c r="K15" i="11"/>
  <c r="I30" i="11"/>
  <c r="H30" i="11"/>
  <c r="I31" i="11"/>
  <c r="H31" i="11"/>
  <c r="K30" i="11" l="1"/>
  <c r="K31" i="11"/>
  <c r="D25" i="11" l="1"/>
  <c r="G29" i="11" l="1"/>
  <c r="D29" i="11"/>
  <c r="H29" i="11" s="1"/>
  <c r="E29" i="11"/>
  <c r="J29" i="11" l="1"/>
  <c r="I29" i="11"/>
  <c r="F26" i="11"/>
  <c r="F24" i="11"/>
  <c r="F23" i="11"/>
  <c r="F22" i="11"/>
  <c r="D21" i="11"/>
  <c r="J21" i="11" s="1"/>
  <c r="E21" i="11"/>
  <c r="G21" i="11"/>
  <c r="J22" i="11"/>
  <c r="E22" i="11"/>
  <c r="G22" i="11"/>
  <c r="D23" i="11"/>
  <c r="J23" i="11" s="1"/>
  <c r="E23" i="11"/>
  <c r="G23" i="11"/>
  <c r="H24" i="11"/>
  <c r="E24" i="11"/>
  <c r="G24" i="11"/>
  <c r="E25" i="11"/>
  <c r="G25" i="11"/>
  <c r="D26" i="11"/>
  <c r="E26" i="11"/>
  <c r="G26" i="11"/>
  <c r="K29" i="11" l="1"/>
  <c r="H25" i="11"/>
  <c r="I21" i="11"/>
  <c r="J26" i="11"/>
  <c r="J24" i="11"/>
  <c r="H21" i="11"/>
  <c r="I26" i="11"/>
  <c r="H26" i="11"/>
  <c r="J25" i="11"/>
  <c r="I24" i="11"/>
  <c r="I23" i="11"/>
  <c r="I22" i="11"/>
  <c r="I25" i="11"/>
  <c r="H22" i="11"/>
  <c r="H23" i="11"/>
  <c r="K21" i="11" l="1"/>
  <c r="K25" i="11"/>
  <c r="K23" i="11"/>
  <c r="K24" i="11"/>
  <c r="K26" i="11"/>
  <c r="K22" i="11"/>
  <c r="D20" i="60" l="1"/>
  <c r="D14" i="11" l="1"/>
  <c r="J14" i="11" s="1"/>
  <c r="J32" i="11" s="1"/>
  <c r="E14" i="11"/>
  <c r="G14" i="11"/>
  <c r="K19" i="60"/>
  <c r="D19" i="60"/>
  <c r="H14" i="11" l="1"/>
  <c r="H32" i="11" s="1"/>
  <c r="I14" i="11"/>
  <c r="I32" i="11" s="1"/>
  <c r="K14" i="11" l="1"/>
  <c r="K32" i="11" l="1"/>
  <c r="W48" i="64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32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32" i="11"/>
  <c r="D33" i="11"/>
  <c r="H33" i="11" s="1"/>
  <c r="E3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3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40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3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33" i="11"/>
  <c r="I33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F224" i="29"/>
  <c r="E8" i="54"/>
  <c r="L8" i="54" s="1"/>
  <c r="M8" i="54" s="1"/>
  <c r="I9" i="54"/>
  <c r="H9" i="54"/>
  <c r="C10" i="54"/>
  <c r="D9" i="54"/>
  <c r="K36" i="39"/>
  <c r="K33" i="11"/>
  <c r="K35" i="11" s="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35" i="11"/>
  <c r="H36" i="11" s="1"/>
  <c r="I35" i="11"/>
  <c r="I36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16" i="29" l="1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37" i="11"/>
  <c r="I37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36" i="11" l="1"/>
  <c r="K37" i="11" s="1"/>
  <c r="B38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35" i="11"/>
  <c r="J3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<sst xmlns="http://schemas.openxmlformats.org/spreadsheetml/2006/main" count="4699" uniqueCount="1623">
  <si>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</si>
  <si>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</si>
  <si>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</si>
  <si>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</si>
  <si>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</si>
  <si>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</si>
  <si>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</si>
  <si>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</si>
  <si>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</si>
  <si>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</si>
  <si>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</si>
  <si>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</si>
  <si>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</si>
  <si>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</si>
  <si>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</si>
  <si>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</si>
  <si>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</si>
  <si>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</si>
  <si>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</si>
  <si>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</si>
  <si>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</si>
  <si>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</si>
  <si>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</si>
  <si>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</si>
  <si>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</si>
  <si>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</si>
  <si>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</si>
  <si>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</si>
  <si>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</si>
  <si>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</si>
  <si>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</si>
  <si>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</si>
  <si>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</si>
  <si>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</si>
  <si>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</si>
  <si>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</si>
  <si>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</si>
  <si>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</si>
  <si>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</si>
  <si>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</si>
  <si>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</si>
  <si>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</si>
  <si>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</si>
  <si>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</si>
  <si>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</si>
  <si>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</si>
  <si>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</si>
  <si>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</si>
  <si>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</si>
  <si>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</si>
  <si>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</si>
  <si>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</si>
  <si>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</si>
  <si>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</si>
  <si>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</si>
  <si>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</si>
  <si>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</si>
  <si>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</si>
  <si>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</si>
  <si>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</si>
  <si>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</si>
  <si>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</si>
  <si>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</si>
  <si>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</si>
  <si>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</si>
  <si>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</si>
  <si>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</si>
  <si>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</si>
  <si>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</si>
  <si>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</si>
  <si>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</si>
  <si>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</si>
  <si>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</si>
  <si>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</si>
  <si>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</si>
  <si>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</si>
  <si>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</si>
  <si>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</si>
  <si>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</si>
  <si>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</si>
  <si>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</si>
  <si>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</si>
  <si>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</si>
  <si>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</si>
  <si>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</si>
  <si>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</si>
  <si>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</si>
  <si>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</si>
  <si>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</si>
  <si>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</si>
  <si>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</si>
  <si>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</si>
  <si>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</si>
  <si>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</si>
  <si>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</si>
  <si>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</si>
  <si>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</si>
  <si>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</si>
  <si>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</si>
  <si>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</si>
  <si>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</si>
  <si>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</si>
  <si>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</si>
  <si>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</si>
  <si>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</si>
  <si>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</si>
  <si>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</si>
  <si>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</si>
  <si>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</si>
  <si>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</si>
  <si>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</si>
  <si>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</si>
  <si>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</si>
  <si>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</si>
  <si>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</si>
  <si>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</si>
  <si>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</si>
  <si>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</si>
  <si>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</si>
  <si>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</si>
  <si>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</si>
  <si>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</si>
  <si>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</si>
  <si>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</si>
  <si>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</si>
  <si>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</si>
  <si>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</si>
  <si>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</si>
  <si>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</si>
  <si>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</si>
  <si>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</si>
  <si>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</si>
  <si>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</si>
  <si>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</si>
  <si>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</si>
  <si>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</si>
  <si>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</si>
  <si>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</si>
  <si>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</si>
  <si>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</si>
  <si>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</si>
  <si>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</si>
  <si>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</si>
  <si>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</si>
  <si>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</si>
  <si>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</si>
  <si>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</si>
  <si>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</si>
  <si>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</si>
  <si>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</si>
  <si>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</si>
  <si>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</si>
  <si>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</si>
  <si>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</si>
  <si>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</si>
  <si>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</si>
  <si>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</si>
  <si>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</si>
  <si>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</si>
  <si>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</si>
  <si>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</si>
  <si>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</si>
  <si>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</si>
  <si>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</si>
  <si>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</si>
  <si>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</si>
  <si>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</si>
  <si>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</si>
  <si>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</si>
  <si>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</si>
  <si>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</si>
  <si>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</si>
  <si>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</si>
  <si>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</si>
  <si>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</si>
  <si>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</si>
  <si>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</si>
  <si>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</si>
  <si>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</si>
  <si>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</si>
  <si>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</si>
  <si>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</si>
  <si>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</si>
  <si>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</si>
  <si>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</si>
  <si>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</si>
  <si>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</si>
  <si>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</si>
  <si>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</si>
  <si>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</si>
  <si>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</si>
  <si>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</si>
  <si>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</si>
  <si>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</si>
  <si>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</si>
  <si>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</si>
  <si>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</si>
  <si>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</si>
  <si>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</si>
  <si>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</si>
  <si>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</si>
  <si>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</si>
  <si>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</si>
  <si>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</si>
  <si>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</si>
  <si>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</si>
  <si>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</si>
  <si>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</si>
  <si>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</si>
  <si>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</si>
  <si>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</si>
  <si>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</si>
  <si>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</si>
  <si>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</si>
  <si>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</si>
  <si>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</si>
  <si>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</si>
  <si>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</si>
  <si>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</si>
  <si>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</si>
  <si>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</si>
  <si>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</si>
  <si>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</si>
  <si>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</si>
  <si>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</si>
  <si>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</si>
  <si>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</si>
  <si>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</si>
  <si>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</si>
  <si>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</si>
  <si>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</si>
  <si>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</si>
  <si>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</si>
  <si>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</si>
  <si>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</si>
  <si>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</si>
  <si>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</si>
  <si>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</si>
  <si>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</si>
  <si>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</si>
  <si>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</si>
  <si>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</si>
  <si>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</si>
  <si>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</si>
  <si>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</si>
  <si>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</si>
  <si>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</si>
  <si>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</si>
  <si>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</si>
  <si>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</si>
  <si>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</si>
  <si>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</si>
  <si>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</si>
  <si>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</si>
  <si>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</si>
  <si>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</si>
  <si>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</si>
  <si>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</si>
  <si>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</si>
  <si>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</si>
  <si>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</si>
  <si>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</si>
  <si>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</si>
  <si>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</si>
  <si>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</si>
  <si>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</si>
  <si>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</si>
  <si>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</si>
  <si>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</si>
  <si>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</si>
  <si>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</si>
  <si>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</si>
  <si>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</si>
  <si>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</si>
  <si>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</si>
  <si>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</si>
  <si>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</si>
  <si>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</si>
  <si>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</si>
  <si>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</si>
  <si>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</si>
  <si>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</si>
  <si>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</si>
  <si>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</si>
  <si>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</si>
  <si>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</si>
  <si>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</si>
  <si>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</si>
  <si>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</si>
  <si>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</si>
  <si>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</si>
  <si>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</si>
  <si>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</si>
  <si>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</si>
  <si>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</si>
  <si>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</si>
  <si>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</si>
  <si>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</si>
  <si>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</si>
  <si>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</si>
  <si>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</si>
  <si>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</si>
  <si>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</si>
  <si>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</si>
  <si>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</si>
  <si>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</si>
  <si>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</si>
  <si>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</si>
  <si>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</si>
  <si>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</si>
  <si>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</si>
  <si>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</si>
  <si>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</si>
  <si>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</si>
  <si>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</si>
  <si>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</si>
  <si>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</si>
  <si>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</si>
  <si>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</si>
  <si>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</si>
  <si>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</si>
  <si>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</si>
  <si>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</si>
  <si>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</si>
  <si>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</si>
  <si>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</si>
  <si>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</si>
  <si>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</si>
  <si>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</si>
  <si>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</si>
  <si>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</si>
  <si>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</si>
  <si>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</si>
  <si>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</si>
  <si>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</si>
  <si>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</si>
  <si>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</si>
  <si>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</si>
  <si>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</si>
  <si>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</si>
  <si>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</si>
  <si>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</si>
  <si>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</si>
  <si>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</si>
  <si>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</si>
  <si>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</si>
  <si>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</si>
  <si>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</si>
  <si>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</si>
  <si>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</si>
  <si>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</si>
  <si>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</si>
  <si>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</si>
  <si>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</si>
  <si>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</si>
  <si>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</si>
  <si>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</si>
  <si>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</si>
  <si>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</si>
  <si>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</si>
  <si>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</si>
  <si>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</si>
  <si>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</si>
  <si>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</si>
  <si>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</si>
  <si>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</si>
  <si>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</si>
  <si>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</si>
  <si>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</si>
  <si>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</si>
  <si>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</si>
  <si>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</si>
  <si>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</si>
  <si>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</si>
  <si>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</si>
  <si>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</si>
  <si>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</si>
  <si>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</si>
  <si>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</si>
  <si>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</si>
  <si>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</si>
  <si>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</si>
  <si>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</si>
  <si>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</si>
  <si>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</si>
  <si>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</si>
  <si>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</si>
  <si>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</si>
  <si>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</si>
  <si>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</si>
  <si>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</si>
  <si>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</si>
  <si>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</si>
  <si>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</si>
  <si>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</si>
  <si>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</si>
  <si>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</si>
  <si>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</si>
  <si>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</si>
  <si>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</si>
  <si>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</si>
  <si>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</si>
  <si>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</si>
  <si>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</si>
  <si>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</si>
  <si>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</si>
  <si>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</si>
  <si>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</si>
  <si>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</si>
  <si>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</si>
  <si>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</si>
  <si>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</si>
  <si>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</si>
  <si>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</si>
  <si>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</si>
  <si>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</si>
  <si>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</si>
  <si>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</si>
  <si>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</si>
  <si>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</si>
  <si>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</si>
  <si>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</si>
  <si>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</si>
  <si>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</si>
  <si>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</si>
  <si>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</si>
  <si>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</si>
  <si>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</si>
  <si>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</si>
  <si>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</si>
  <si>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</si>
  <si>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</si>
  <si>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</si>
  <si>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</si>
  <si>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</si>
  <si>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</si>
  <si>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</si>
  <si>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</si>
  <si>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</si>
  <si>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</si>
  <si>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</si>
  <si>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</si>
  <si>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</si>
  <si>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</si>
  <si>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</si>
  <si>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</si>
  <si>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</si>
  <si>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</si>
  <si>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</si>
  <si>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</si>
  <si>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</si>
  <si>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</si>
  <si>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</si>
  <si>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</si>
  <si>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</si>
  <si>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</si>
  <si>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</si>
  <si>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</si>
  <si>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</si>
  <si>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</si>
  <si>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</si>
  <si>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</si>
  <si>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</si>
  <si>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</si>
  <si>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</si>
  <si>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</si>
  <si>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</si>
  <si>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</si>
  <si>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</si>
  <si>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</si>
  <si>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</si>
  <si>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</si>
  <si>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</si>
  <si>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</si>
  <si>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</si>
  <si>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</si>
  <si>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</si>
  <si>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</si>
  <si>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</si>
  <si>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</si>
  <si>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</si>
  <si>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</si>
  <si>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</si>
  <si>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</si>
  <si>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</si>
  <si>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</si>
  <si>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</si>
  <si>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</si>
  <si>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</si>
  <si>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</si>
  <si>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</si>
  <si>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</si>
  <si>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</si>
  <si>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</si>
  <si>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</si>
  <si>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</si>
  <si>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</si>
  <si>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</si>
  <si>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</si>
  <si>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</si>
  <si>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</si>
  <si>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</si>
  <si>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</si>
  <si>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</si>
  <si>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</si>
  <si>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</si>
  <si>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</si>
  <si>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</si>
  <si>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</si>
  <si>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</si>
  <si>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</si>
  <si>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</si>
  <si>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</si>
  <si>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</si>
  <si>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</si>
  <si>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</si>
  <si>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</si>
  <si>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</si>
  <si>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</si>
  <si>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</si>
  <si>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</si>
  <si>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</si>
  <si>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</si>
  <si>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</si>
  <si>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</si>
  <si>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</si>
  <si>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</si>
  <si>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</si>
  <si>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</si>
  <si>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</si>
  <si>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</si>
  <si>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</si>
  <si>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</si>
  <si>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</si>
  <si>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</si>
  <si>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</si>
  <si>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</si>
  <si>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</si>
  <si>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</si>
  <si>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</si>
  <si>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</si>
  <si>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</si>
  <si>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</si>
  <si>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</si>
  <si>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</si>
  <si>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</si>
  <si>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</si>
  <si>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</si>
  <si>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</si>
  <si>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</si>
  <si>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</si>
  <si>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</si>
  <si>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</si>
  <si>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</si>
  <si>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</si>
  <si>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</si>
  <si>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</si>
  <si>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</si>
  <si>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</si>
  <si>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</si>
  <si>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</si>
  <si>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</si>
  <si>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</si>
  <si>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</si>
  <si>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</si>
  <si>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</si>
  <si>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</si>
  <si>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</si>
  <si>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</si>
  <si>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</si>
  <si>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</si>
  <si>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</si>
  <si>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</si>
  <si>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</si>
  <si>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</si>
  <si>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</si>
  <si>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</si>
  <si>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</si>
  <si>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</si>
  <si>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</si>
  <si>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</si>
  <si>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</si>
  <si>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</si>
  <si>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</si>
  <si>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</si>
  <si>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</si>
  <si>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</si>
  <si>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</si>
  <si>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</si>
  <si>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</si>
  <si>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</si>
  <si>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</si>
  <si>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</si>
  <si>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</si>
  <si>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</si>
  <si>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</si>
  <si>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</si>
  <si>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</si>
  <si>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</si>
  <si>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</si>
  <si>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</si>
  <si>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</si>
  <si>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</si>
  <si>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</si>
  <si>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</si>
  <si>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</si>
  <si>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</si>
  <si>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</si>
  <si>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</si>
  <si>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</si>
  <si>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</si>
  <si>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</si>
  <si>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</si>
  <si>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</si>
  <si>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</si>
  <si>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</si>
  <si>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</si>
  <si>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</si>
  <si>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</si>
  <si>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</si>
  <si>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</si>
  <si>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</si>
  <si>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</si>
  <si>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</si>
  <si>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</si>
  <si>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</si>
  <si>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</si>
  <si>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</si>
  <si>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</si>
  <si>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</si>
  <si>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</si>
  <si>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</si>
  <si>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</si>
  <si>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</si>
  <si>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</si>
  <si>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</si>
  <si>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</si>
  <si>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</si>
  <si>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</si>
  <si>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</si>
  <si>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</si>
  <si>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</si>
  <si>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</si>
  <si>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</si>
  <si>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</si>
  <si>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</si>
  <si>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</si>
  <si>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</si>
  <si>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</si>
  <si>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</si>
  <si>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</si>
  <si>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</si>
  <si>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</si>
  <si>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</si>
  <si>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</si>
  <si>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</si>
  <si>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</si>
  <si>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</si>
  <si>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</si>
  <si>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</si>
  <si>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</si>
  <si>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</si>
  <si>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</si>
  <si>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</si>
  <si>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</si>
  <si>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</si>
  <si>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</si>
  <si>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</si>
  <si>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</si>
  <si>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</si>
  <si>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</si>
  <si>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</si>
  <si>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</si>
  <si>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</si>
  <si>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</si>
  <si>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</si>
  <si>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</si>
  <si>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</si>
  <si>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</si>
  <si>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</si>
  <si>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</si>
  <si>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</si>
  <si>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</si>
  <si>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</si>
  <si>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</si>
  <si>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</si>
  <si>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</si>
  <si>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</si>
  <si>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</si>
  <si>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</si>
  <si>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</si>
  <si>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</si>
  <si>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</si>
  <si>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</si>
  <si>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</si>
  <si>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</si>
  <si>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</si>
  <si>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</si>
  <si>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</si>
  <si>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</si>
  <si>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</si>
  <si>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</si>
  <si>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</si>
  <si>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</si>
  <si>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</si>
  <si>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</si>
  <si>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</si>
  <si>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</si>
  <si>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</si>
  <si>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</si>
  <si>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</si>
  <si>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</si>
  <si>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</si>
  <si>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</si>
  <si>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</si>
  <si>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</si>
  <si>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</si>
  <si>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</si>
  <si>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</si>
  <si>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</si>
  <si>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</si>
  <si>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</si>
  <si>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</si>
  <si>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</si>
  <si>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</si>
  <si>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</si>
  <si>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</si>
  <si>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</si>
  <si>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</si>
  <si>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</si>
  <si>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</si>
  <si>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</si>
  <si>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</si>
  <si>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</si>
  <si>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</si>
  <si>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</si>
  <si>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</si>
  <si>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</si>
  <si>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</si>
  <si>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</si>
  <si>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</si>
  <si>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</si>
  <si>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</si>
  <si>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</si>
  <si>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</si>
  <si>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</si>
  <si>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</si>
  <si>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</si>
  <si>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</si>
  <si>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</si>
  <si>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</si>
  <si>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</si>
  <si>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</si>
  <si>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</si>
  <si>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</si>
  <si>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</si>
  <si>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</si>
  <si>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</si>
  <si>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</si>
  <si>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</si>
  <si>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</si>
  <si>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</si>
  <si>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</si>
  <si>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</si>
  <si>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</si>
  <si>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</si>
  <si>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</si>
  <si>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</si>
  <si>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</si>
  <si>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</si>
  <si>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</si>
  <si>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</si>
  <si>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</si>
  <si>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</si>
  <si>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</si>
  <si>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</si>
  <si>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</si>
  <si>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</si>
  <si>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</si>
  <si>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</si>
  <si>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</si>
  <si>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</si>
  <si>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</si>
  <si>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</si>
  <si>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</si>
  <si>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</si>
  <si>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</si>
  <si>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</si>
  <si>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</si>
  <si>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</si>
  <si>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</si>
  <si>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</si>
  <si>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</si>
  <si>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</si>
  <si>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</si>
  <si>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</si>
  <si>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</si>
  <si>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</si>
  <si>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</si>
  <si>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</si>
  <si>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</si>
  <si>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</si>
  <si>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</si>
  <si>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</si>
  <si>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</si>
  <si>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</si>
  <si>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</si>
  <si>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</si>
  <si>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</si>
  <si>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</si>
  <si>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</si>
  <si>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</si>
  <si>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</si>
  <si>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</si>
  <si>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</si>
  <si>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</si>
  <si>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</si>
  <si>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</si>
  <si>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</si>
  <si>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</si>
  <si>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</si>
  <si>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</si>
  <si>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</si>
  <si>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</si>
  <si>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</si>
  <si>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</si>
  <si>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</si>
  <si>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</si>
  <si>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</si>
  <si>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</si>
  <si>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</si>
  <si>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</si>
  <si>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</si>
  <si>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</si>
  <si>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</si>
  <si>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</si>
  <si>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</si>
  <si>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</si>
  <si>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</si>
  <si>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</si>
  <si>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</si>
  <si>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</si>
  <si>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</si>
  <si>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</si>
  <si>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</si>
  <si>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</si>
  <si>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</si>
  <si>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</si>
  <si>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</si>
  <si>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</si>
  <si>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</si>
  <si>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</si>
  <si>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</si>
  <si>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</si>
  <si>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</si>
  <si>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</si>
  <si>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</si>
  <si>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</si>
  <si>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</si>
  <si>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</si>
  <si>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</si>
  <si>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</si>
  <si>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</si>
  <si>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</si>
  <si>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</si>
  <si>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</si>
  <si>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</si>
  <si>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</si>
  <si>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</si>
  <si>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</si>
  <si>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</si>
  <si>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</si>
  <si>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</si>
  <si>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</si>
  <si>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</si>
  <si>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</si>
  <si>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</si>
  <si>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</si>
  <si>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</si>
  <si>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</si>
  <si>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</si>
  <si>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</si>
  <si>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</si>
  <si>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</si>
  <si>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</si>
  <si>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</si>
  <si>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</si>
  <si>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</si>
  <si>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</si>
  <si>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</si>
  <si>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</si>
  <si>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</si>
  <si>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</si>
  <si>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</si>
  <si>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</si>
  <si>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</si>
  <si>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</si>
  <si>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</si>
  <si>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</si>
  <si>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</si>
  <si>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</si>
  <si>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</si>
  <si>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</si>
  <si>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</si>
  <si>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</si>
  <si>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</si>
  <si>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</si>
  <si>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</si>
  <si>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</si>
  <si>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</si>
  <si>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</si>
  <si>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</si>
  <si>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</si>
  <si>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</si>
  <si>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</si>
  <si>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</si>
  <si>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</si>
  <si>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</si>
  <si>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</si>
  <si>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</si>
  <si>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</si>
  <si>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</si>
  <si>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</si>
  <si>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</si>
  <si>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</si>
  <si>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</si>
  <si>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</si>
  <si>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</si>
  <si>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</si>
  <si>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</si>
  <si>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</si>
  <si>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</si>
  <si>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</si>
  <si>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</si>
  <si>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</si>
  <si>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</si>
  <si>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</si>
  <si>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</si>
  <si>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</si>
  <si>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</si>
  <si>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</si>
  <si>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</si>
  <si>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</si>
  <si>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</si>
  <si>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</si>
  <si>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</si>
  <si>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</si>
  <si>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</si>
  <si>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</si>
  <si>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</si>
  <si>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</si>
  <si>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</si>
  <si>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</si>
  <si>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</si>
  <si>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</si>
  <si>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</si>
  <si>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</si>
  <si>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</si>
  <si>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</si>
  <si>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</si>
  <si>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</si>
  <si>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</si>
  <si>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</si>
  <si>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</si>
  <si>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</si>
  <si>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</si>
  <si>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</si>
  <si>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</si>
  <si>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</si>
  <si>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</si>
  <si>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</si>
  <si>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</si>
  <si>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</si>
  <si>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</si>
  <si>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</si>
  <si>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</si>
  <si>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</si>
  <si>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</si>
  <si>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</si>
  <si>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</si>
  <si>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</si>
  <si>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</si>
  <si>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</si>
  <si>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</si>
  <si>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</si>
  <si>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</si>
  <si>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</si>
  <si>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</si>
  <si>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</si>
  <si>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</si>
  <si>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</si>
  <si>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</si>
  <si>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</si>
  <si>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</si>
  <si>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</si>
  <si>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</si>
  <si>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</si>
  <si>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</si>
  <si>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</si>
  <si>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</si>
  <si>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</si>
  <si>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</si>
  <si>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</si>
  <si>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</si>
  <si>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</si>
  <si>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</si>
  <si>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</si>
  <si>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</si>
  <si>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</si>
  <si>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</si>
  <si>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</si>
  <si>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</si>
  <si>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</si>
  <si>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</si>
  <si>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</si>
  <si>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</si>
  <si>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</si>
  <si>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</si>
  <si>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</si>
  <si>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</si>
  <si>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</si>
  <si>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</si>
  <si>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</si>
  <si>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</si>
  <si>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</si>
  <si>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</si>
  <si>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</si>
  <si>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</si>
  <si>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</si>
  <si>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</si>
  <si>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</si>
  <si>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</si>
  <si>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</si>
  <si>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</si>
  <si>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</si>
  <si>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</si>
  <si>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</si>
  <si>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</si>
  <si>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</si>
  <si>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</si>
  <si>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</si>
  <si>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</si>
  <si>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</si>
  <si>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</si>
  <si>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</si>
  <si>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</si>
  <si>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</si>
  <si>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</si>
  <si>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</si>
  <si>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</si>
  <si>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</si>
  <si>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</si>
  <si>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</si>
  <si>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</si>
  <si>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</si>
  <si>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</si>
  <si>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</si>
  <si>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</si>
  <si>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</si>
  <si>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</si>
  <si>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</si>
  <si>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</si>
  <si>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</si>
  <si>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</si>
  <si>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</si>
  <si>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</si>
  <si>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</si>
  <si>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</si>
  <si>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</si>
  <si>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</si>
  <si>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</si>
  <si>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</si>
  <si>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</si>
  <si>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</si>
  <si>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</si>
  <si>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</si>
  <si>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</si>
  <si>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</si>
  <si>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</si>
  <si>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</si>
  <si>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</si>
  <si>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</si>
  <si>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</si>
  <si>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</si>
  <si>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</si>
  <si>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</si>
  <si>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</si>
  <si>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</si>
  <si>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</si>
  <si>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</si>
  <si>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</si>
  <si>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</si>
  <si>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</si>
  <si>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</si>
  <si>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</si>
  <si>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</si>
  <si>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</si>
  <si>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</si>
  <si>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</si>
  <si>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</si>
  <si>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</si>
  <si>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</si>
  <si>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</si>
  <si>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</si>
  <si>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</si>
  <si>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</si>
  <si>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</si>
  <si>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</si>
  <si>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</si>
  <si>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</si>
  <si>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</si>
  <si>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</si>
  <si>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</si>
  <si>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</si>
  <si>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</si>
  <si>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</si>
  <si>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</si>
  <si>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</si>
  <si>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</si>
  <si>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</si>
  <si>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</si>
  <si>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</si>
  <si>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</si>
  <si>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</si>
  <si>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</si>
  <si>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</si>
  <si>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</si>
  <si>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</si>
  <si>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</si>
  <si>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</si>
  <si>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</si>
  <si>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</si>
  <si>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</si>
  <si>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</si>
  <si>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</si>
  <si>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</si>
  <si>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</si>
  <si>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</si>
  <si>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</si>
  <si>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</si>
  <si>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</si>
  <si>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</si>
  <si>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</si>
  <si>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</si>
  <si>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</si>
  <si>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</si>
  <si>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</si>
  <si>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</si>
  <si>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</si>
  <si>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</si>
  <si>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</si>
  <si>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</si>
  <si>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</si>
  <si>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</si>
  <si>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</si>
  <si>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</si>
  <si>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</si>
  <si>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</si>
  <si>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</si>
  <si>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</si>
  <si>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</si>
  <si>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</si>
  <si>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</si>
  <si>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</si>
  <si>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</si>
  <si>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</si>
  <si>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</si>
  <si>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</si>
  <si>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</si>
  <si>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</si>
  <si>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</si>
  <si>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</si>
  <si>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</si>
  <si>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</si>
  <si>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</si>
  <si>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</si>
  <si>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</si>
  <si>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</si>
  <si>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</si>
  <si>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</si>
  <si>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</si>
  <si>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</si>
  <si>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</si>
  <si>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</si>
  <si>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</si>
  <si>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</si>
  <si>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</si>
  <si>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</si>
  <si>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</si>
  <si>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</si>
  <si>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</si>
  <si>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</si>
  <si>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</si>
  <si>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</si>
  <si>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</si>
  <si>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</si>
  <si>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</si>
  <si>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</si>
  <si>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</si>
  <si>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</si>
  <si>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</si>
  <si>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</si>
  <si>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</si>
  <si>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</si>
  <si>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</si>
  <si>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</si>
  <si>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</si>
  <si>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</si>
  <si>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</si>
  <si>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</si>
  <si>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</si>
  <si>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</si>
  <si>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</si>
  <si>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</si>
  <si>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</si>
  <si>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</si>
  <si>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</si>
  <si>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</si>
  <si>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</si>
  <si>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</si>
  <si>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</si>
  <si>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</si>
  <si>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</si>
  <si>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</si>
  <si>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</si>
  <si>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</si>
  <si>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</si>
  <si>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</si>
  <si>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</si>
  <si>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</si>
  <si>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</si>
  <si>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</si>
  <si>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</si>
  <si>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</si>
  <si>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</si>
  <si>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</si>
  <si>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</si>
  <si>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</si>
  <si>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</si>
  <si>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</si>
  <si>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</si>
  <si>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</si>
  <si>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</si>
  <si>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</si>
  <si>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</si>
  <si>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</si>
  <si>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</si>
  <si>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</si>
  <si>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</si>
  <si>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</si>
  <si>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</si>
  <si>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</si>
  <si>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</si>
  <si>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</si>
  <si>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</si>
  <si>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</si>
  <si>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</si>
  <si>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</si>
  <si>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</si>
  <si>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</si>
  <si>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</si>
  <si>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</si>
  <si>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</si>
  <si>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</si>
  <si>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</si>
  <si>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</si>
  <si>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</si>
  <si>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</si>
  <si>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</si>
  <si>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</si>
  <si>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</si>
  <si>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</si>
  <si>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</si>
  <si>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</si>
  <si>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</si>
  <si>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</si>
  <si>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</si>
  <si>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</si>
  <si>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</si>
  <si>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</si>
  <si>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</si>
  <si>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</si>
  <si>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</si>
  <si>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</si>
  <si>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</si>
  <si>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</si>
  <si>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</si>
  <si>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</si>
  <si>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</si>
  <si>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</si>
  <si>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</si>
  <si>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</si>
  <si>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</si>
  <si>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</si>
  <si>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</si>
  <si>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</si>
  <si>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</si>
  <si>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</si>
  <si>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</si>
  <si>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</si>
  <si>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</si>
  <si>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</si>
  <si>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</si>
  <si>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</si>
  <si>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</si>
  <si>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</si>
  <si>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</si>
  <si>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</si>
  <si>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</si>
  <si>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</si>
  <si>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</si>
  <si>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</si>
  <si>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</si>
  <si>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</si>
  <si>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</si>
  <si>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</si>
  <si>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</si>
  <si>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</si>
  <si>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</si>
  <si>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</si>
  <si>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</si>
  <si>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</si>
  <si>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</si>
  <si>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</si>
  <si>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</si>
  <si>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</si>
  <si>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</si>
  <si>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</si>
  <si>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</si>
  <si>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</si>
  <si>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</si>
  <si>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</si>
  <si>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</si>
  <si>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</si>
  <si>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</si>
  <si>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</si>
  <si>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</si>
  <si>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</si>
  <si>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</si>
  <si>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</si>
  <si>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</si>
  <si>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</si>
  <si>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</si>
  <si>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</si>
  <si>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</si>
  <si>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</si>
  <si>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</si>
  <si>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</si>
  <si>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</si>
  <si>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</si>
  <si>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</si>
  <si>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</si>
  <si>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</si>
  <si>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</si>
  <si>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</si>
  <si>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</si>
  <si>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</si>
  <si>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</si>
  <si>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</si>
  <si>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</si>
  <si>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</si>
  <si>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</si>
  <si>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</si>
  <si>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</si>
  <si>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</si>
  <si>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</si>
  <si>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</si>
  <si>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</si>
  <si>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</si>
  <si>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</si>
  <si>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</si>
  <si>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</si>
  <si>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</si>
  <si>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</si>
  <si>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</si>
  <si>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</si>
  <si>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</si>
  <si>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</si>
  <si>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</si>
  <si>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</si>
  <si>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</si>
  <si>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</si>
  <si>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</si>
  <si>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</si>
  <si>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</si>
  <si>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</si>
  <si>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</si>
  <si>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</si>
  <si>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</si>
  <si>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</si>
  <si>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</si>
  <si>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</si>
  <si>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</si>
  <si>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</si>
  <si>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</si>
  <si>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</si>
  <si>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</si>
  <si>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</si>
  <si>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</si>
  <si>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</si>
  <si>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</si>
  <si>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</si>
  <si>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</si>
  <si>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</si>
  <si>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</si>
  <si>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</si>
  <si>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</si>
  <si>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</si>
  <si>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</si>
  <si>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</si>
  <si>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</si>
  <si>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</si>
  <si>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</si>
  <si>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</si>
  <si>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</si>
  <si>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</si>
  <si>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</si>
  <si>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</si>
  <si>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</si>
  <si>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</si>
  <si>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</si>
  <si>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</si>
  <si>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</si>
  <si>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</si>
  <si>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</si>
  <si>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</si>
  <si>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</si>
  <si>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</si>
  <si>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</si>
  <si>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</si>
  <si>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</si>
  <si>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</si>
  <si>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</si>
  <si>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</si>
  <si>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</si>
  <si>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</si>
  <si>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</si>
  <si>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</si>
  <si>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</si>
  <si>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</si>
  <si>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</si>
  <si>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</si>
  <si>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</si>
  <si>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</si>
  <si>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</si>
  <si>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</si>
  <si>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</si>
  <si>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</si>
  <si>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</si>
  <si>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</si>
  <si>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</si>
  <si>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</si>
  <si>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</si>
  <si>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</si>
  <si>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</si>
  <si>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</si>
  <si>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</si>
  <si>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</si>
  <si>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</si>
  <si>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</si>
  <si>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</si>
  <si>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</si>
  <si>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</si>
  <si>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</si>
  <si>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</si>
  <si>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</si>
  <si>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</si>
  <si>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</si>
  <si>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</si>
  <si>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</si>
  <si>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</si>
  <si>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</si>
  <si>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</si>
  <si>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</si>
  <si>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</si>
  <si>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</si>
  <si>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</si>
  <si>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</si>
  <si>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</si>
  <si>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</si>
  <si>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</si>
  <si>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</si>
  <si>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</si>
  <si>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</si>
  <si>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</si>
  <si>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</si>
  <si>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</si>
  <si>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</si>
  <si>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</si>
  <si>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</si>
  <si>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</si>
  <si>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</si>
  <si>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</si>
  <si>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</si>
  <si>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</si>
  <si>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</si>
  <si>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</si>
  <si>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</si>
  <si>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</si>
  <si>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</si>
  <si>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</si>
  <si>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</si>
  <si>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</si>
  <si>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</si>
  <si>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</si>
  <si>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</si>
  <si>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</si>
  <si>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</si>
  <si>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</si>
  <si>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</si>
  <si>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</si>
  <si>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</si>
  <si>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</si>
  <si>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</si>
  <si>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</si>
  <si>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</si>
  <si>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</si>
  <si>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</si>
  <si>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</si>
  <si>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</si>
  <si>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</si>
  <si>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</si>
  <si>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</si>
  <si>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</si>
  <si>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</si>
  <si>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</si>
  <si>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</si>
  <si>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</si>
  <si>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</si>
  <si>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</si>
  <si>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</si>
  <si>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</si>
  <si>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</si>
  <si>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</si>
  <si>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</si>
  <si>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</si>
  <si>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</si>
  <si>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</si>
  <si>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</si>
  <si>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</si>
  <si>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</si>
  <si>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</si>
  <si>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</si>
  <si>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</si>
  <si>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</si>
  <si>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</si>
  <si>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</si>
  <si>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</si>
  <si>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</si>
  <si>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</si>
  <si>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</si>
  <si>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</si>
  <si>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</si>
  <si>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</si>
  <si>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</si>
  <si>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</si>
  <si>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</si>
  <si>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</si>
  <si>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</si>
  <si>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</si>
  <si>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</si>
  <si>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</si>
  <si>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</si>
  <si>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</si>
  <si>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</si>
  <si>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</si>
  <si>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</si>
  <si>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</si>
  <si>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</si>
  <si>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</si>
  <si>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</si>
  <si>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</si>
  <si>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</si>
  <si>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</si>
  <si>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</si>
  <si>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</si>
  <si>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</si>
  <si>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</si>
  <si>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</si>
  <si>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</si>
  <si>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</si>
  <si>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</si>
  <si>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</si>
  <si>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</si>
  <si>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</si>
  <si>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</si>
  <si>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</si>
  <si>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</si>
  <si>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</si>
  <si>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</si>
  <si>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</si>
  <si>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</si>
  <si>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</si>
  <si>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</si>
  <si>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</si>
  <si>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</si>
  <si>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</si>
  <si>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</si>
  <si>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</si>
  <si>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</si>
  <si>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</si>
  <si>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</si>
  <si>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</si>
  <si>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</si>
  <si>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</si>
  <si>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</si>
  <si>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</si>
  <si>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APP</t>
  </si>
  <si>
    <t>PEKERJAAN PEMASANGAN KONSTRUKSI TR</t>
  </si>
  <si>
    <t>Tambah Daya</t>
  </si>
  <si>
    <t>Daya 41.500 VA</t>
  </si>
  <si>
    <t>ATB</t>
  </si>
  <si>
    <t>KOORDINAT : -6.916230, 110.759264</t>
  </si>
  <si>
    <t>DS TANJUNGANYAR , KEC GAJAH</t>
  </si>
  <si>
    <t>AGR H ALI SA'DI ,H.</t>
  </si>
  <si>
    <t>I2</t>
  </si>
  <si>
    <t>Demak, 14 November 2023</t>
  </si>
  <si>
    <t>MANAGER ULP</t>
  </si>
  <si>
    <t>ACHMAD SUHENDRO</t>
  </si>
  <si>
    <t>Staff Teknik</t>
  </si>
  <si>
    <t>TL Teknik</t>
  </si>
  <si>
    <t>Manager ULP</t>
  </si>
  <si>
    <t>Mbag. Perencanaan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</si>
</sst>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4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5653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7" fillId="0" borderId="0"/>
    <xf numFmtId="41" fontId="22" fillId="0" borderId="0" applyFont="0" applyFill="0" applyBorder="0" applyAlignment="0" applyProtection="0"/>
    <xf numFmtId="0" fontId="7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7" fillId="0" borderId="0"/>
    <xf numFmtId="0" fontId="16" fillId="0" borderId="0"/>
    <xf numFmtId="0" fontId="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95"/>
    <xf numFmtId="0" fontId="89" fillId="0" borderId="96"/>
    <xf numFmtId="43" fontId="22" fillId="0" borderId="0" applyFont="0" applyFill="0" applyBorder="0" applyAlignment="0" applyProtection="0"/>
    <xf numFmtId="0" fontId="37" fillId="20" borderId="103" applyNumberFormat="0" applyAlignment="0" applyProtection="0"/>
    <xf numFmtId="0" fontId="16" fillId="27" borderId="102" applyNumberFormat="0" applyFont="0" applyAlignment="0" applyProtection="0"/>
    <xf numFmtId="0" fontId="22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7" fillId="21" borderId="99" applyNumberFormat="0" applyAlignment="0" applyProtection="0"/>
    <xf numFmtId="0" fontId="33" fillId="7" borderId="107" applyNumberFormat="0" applyAlignment="0" applyProtection="0"/>
    <xf numFmtId="0" fontId="39" fillId="0" borderId="104" applyNumberFormat="0" applyFill="0" applyAlignment="0" applyProtection="0"/>
    <xf numFmtId="0" fontId="6" fillId="0" borderId="0"/>
    <xf numFmtId="0" fontId="6" fillId="0" borderId="0"/>
    <xf numFmtId="0" fontId="88" fillId="0" borderId="106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0" fontId="22" fillId="27" borderId="102" applyNumberFormat="0" applyFont="0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0" fontId="6" fillId="0" borderId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43" fontId="6" fillId="0" borderId="0" applyFont="0" applyFill="0" applyBorder="0" applyAlignment="0" applyProtection="0"/>
    <xf numFmtId="0" fontId="79" fillId="23" borderId="105"/>
    <xf numFmtId="0" fontId="79" fillId="0" borderId="105"/>
    <xf numFmtId="0" fontId="79" fillId="0" borderId="100"/>
    <xf numFmtId="0" fontId="79" fillId="0" borderId="100"/>
    <xf numFmtId="0" fontId="74" fillId="0" borderId="105"/>
    <xf numFmtId="0" fontId="74" fillId="0" borderId="105"/>
    <xf numFmtId="0" fontId="74" fillId="0" borderId="111"/>
    <xf numFmtId="0" fontId="74" fillId="0" borderId="111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6" fillId="0" borderId="0"/>
    <xf numFmtId="0" fontId="6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37" fillId="20" borderId="103" applyNumberFormat="0" applyAlignment="0" applyProtection="0"/>
    <xf numFmtId="0" fontId="22" fillId="27" borderId="102" applyNumberFormat="0" applyFont="0" applyAlignment="0" applyProtection="0"/>
    <xf numFmtId="0" fontId="33" fillId="7" borderId="101" applyNumberFormat="0" applyAlignment="0" applyProtection="0"/>
    <xf numFmtId="0" fontId="26" fillId="20" borderId="101" applyNumberForma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2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74" fillId="0" borderId="111"/>
    <xf numFmtId="0" fontId="74" fillId="0" borderId="111"/>
    <xf numFmtId="0" fontId="79" fillId="0" borderId="100"/>
    <xf numFmtId="0" fontId="79" fillId="0" borderId="100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9" fontId="22" fillId="0" borderId="0" applyFont="0" applyFill="0" applyBorder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9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88" fillId="0" borderId="113"/>
    <xf numFmtId="0" fontId="88" fillId="0" borderId="113"/>
    <xf numFmtId="0" fontId="89" fillId="0" borderId="114"/>
    <xf numFmtId="0" fontId="89" fillId="0" borderId="114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11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7" borderId="131" applyNumberFormat="0" applyFont="0" applyAlignment="0" applyProtection="0"/>
    <xf numFmtId="0" fontId="22" fillId="27" borderId="131" applyNumberFormat="0" applyFont="0" applyAlignment="0" applyProtection="0"/>
    <xf numFmtId="0" fontId="26" fillId="20" borderId="117" applyNumberFormat="0" applyAlignment="0" applyProtection="0"/>
    <xf numFmtId="0" fontId="74" fillId="0" borderId="140"/>
    <xf numFmtId="0" fontId="33" fillId="7" borderId="107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33" fillId="7" borderId="117" applyNumberFormat="0" applyAlignment="0" applyProtection="0"/>
    <xf numFmtId="0" fontId="16" fillId="27" borderId="125" applyNumberFormat="0" applyFont="0" applyAlignment="0" applyProtection="0"/>
    <xf numFmtId="0" fontId="3" fillId="0" borderId="0"/>
    <xf numFmtId="0" fontId="33" fillId="7" borderId="117" applyNumberFormat="0" applyAlignment="0" applyProtection="0"/>
    <xf numFmtId="0" fontId="26" fillId="20" borderId="124" applyNumberFormat="0" applyAlignment="0" applyProtection="0"/>
    <xf numFmtId="0" fontId="33" fillId="7" borderId="117" applyNumberFormat="0" applyAlignment="0" applyProtection="0"/>
    <xf numFmtId="0" fontId="26" fillId="20" borderId="136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" fillId="0" borderId="0"/>
    <xf numFmtId="194" fontId="43" fillId="28" borderId="125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22" fillId="0" borderId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26" fillId="20" borderId="124" applyNumberFormat="0" applyAlignment="0" applyProtection="0"/>
    <xf numFmtId="0" fontId="33" fillId="7" borderId="124" applyNumberFormat="0" applyAlignment="0" applyProtection="0"/>
    <xf numFmtId="0" fontId="33" fillId="7" borderId="136" applyNumberFormat="0" applyAlignment="0" applyProtection="0"/>
    <xf numFmtId="0" fontId="22" fillId="27" borderId="125" applyNumberFormat="0" applyFont="0" applyAlignment="0" applyProtection="0"/>
    <xf numFmtId="0" fontId="37" fillId="20" borderId="126" applyNumberFormat="0" applyAlignment="0" applyProtection="0"/>
    <xf numFmtId="0" fontId="88" fillId="0" borderId="123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0" fontId="22" fillId="27" borderId="131" applyNumberFormat="0" applyFont="0" applyAlignment="0" applyProtection="0"/>
    <xf numFmtId="0" fontId="22" fillId="27" borderId="131" applyNumberFormat="0" applyFont="0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43" fontId="22" fillId="0" borderId="0" applyFont="0" applyFill="0" applyBorder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07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79" fillId="23" borderId="134"/>
    <xf numFmtId="0" fontId="79" fillId="0" borderId="134"/>
    <xf numFmtId="0" fontId="74" fillId="0" borderId="134"/>
    <xf numFmtId="0" fontId="74" fillId="0" borderId="134"/>
    <xf numFmtId="43" fontId="3" fillId="0" borderId="0" applyFont="0" applyFill="0" applyBorder="0" applyAlignment="0" applyProtection="0"/>
    <xf numFmtId="0" fontId="74" fillId="0" borderId="140"/>
    <xf numFmtId="0" fontId="74" fillId="0" borderId="128"/>
    <xf numFmtId="0" fontId="74" fillId="0" borderId="128"/>
    <xf numFmtId="0" fontId="79" fillId="0" borderId="140"/>
    <xf numFmtId="0" fontId="79" fillId="23" borderId="140"/>
    <xf numFmtId="0" fontId="79" fillId="0" borderId="128"/>
    <xf numFmtId="0" fontId="74" fillId="0" borderId="118"/>
    <xf numFmtId="0" fontId="74" fillId="0" borderId="118"/>
    <xf numFmtId="0" fontId="74" fillId="0" borderId="118"/>
    <xf numFmtId="0" fontId="74" fillId="0" borderId="118"/>
    <xf numFmtId="0" fontId="79" fillId="23" borderId="128"/>
    <xf numFmtId="0" fontId="79" fillId="0" borderId="118"/>
    <xf numFmtId="0" fontId="79" fillId="0" borderId="118"/>
    <xf numFmtId="0" fontId="79" fillId="23" borderId="118"/>
    <xf numFmtId="0" fontId="79" fillId="23" borderId="118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2" fillId="27" borderId="137" applyNumberFormat="0" applyFont="0" applyAlignment="0" applyProtection="0"/>
    <xf numFmtId="194" fontId="43" fillId="28" borderId="137" applyAlignment="0" applyProtection="0"/>
    <xf numFmtId="194" fontId="43" fillId="28" borderId="137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33" fillId="7" borderId="117" applyNumberFormat="0" applyAlignment="0" applyProtection="0"/>
    <xf numFmtId="0" fontId="33" fillId="7" borderId="124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33" fillId="7" borderId="136" applyNumberFormat="0" applyAlignment="0" applyProtection="0"/>
    <xf numFmtId="0" fontId="88" fillId="0" borderId="115"/>
    <xf numFmtId="0" fontId="89" fillId="0" borderId="116"/>
    <xf numFmtId="0" fontId="33" fillId="7" borderId="124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33" fillId="7" borderId="130" applyNumberFormat="0" applyAlignment="0" applyProtection="0"/>
    <xf numFmtId="0" fontId="33" fillId="7" borderId="107" applyNumberFormat="0" applyAlignment="0" applyProtection="0"/>
    <xf numFmtId="0" fontId="33" fillId="7" borderId="117" applyNumberFormat="0" applyAlignment="0" applyProtection="0"/>
    <xf numFmtId="0" fontId="22" fillId="27" borderId="137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0" borderId="0"/>
    <xf numFmtId="194" fontId="43" fillId="28" borderId="125" applyAlignment="0" applyProtection="0"/>
    <xf numFmtId="0" fontId="22" fillId="0" borderId="0"/>
    <xf numFmtId="0" fontId="33" fillId="7" borderId="136" applyNumberFormat="0" applyAlignment="0" applyProtection="0"/>
    <xf numFmtId="0" fontId="33" fillId="7" borderId="136" applyNumberForma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3" fillId="0" borderId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0" fontId="22" fillId="27" borderId="137" applyNumberFormat="0" applyFont="0" applyAlignment="0" applyProtection="0"/>
    <xf numFmtId="0" fontId="22" fillId="27" borderId="137" applyNumberFormat="0" applyFont="0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3" fillId="0" borderId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194" fontId="43" fillId="28" borderId="137" applyAlignment="0" applyProtection="0"/>
    <xf numFmtId="0" fontId="37" fillId="20" borderId="132" applyNumberFormat="0" applyAlignment="0" applyProtection="0"/>
    <xf numFmtId="0" fontId="22" fillId="27" borderId="131" applyNumberFormat="0" applyFont="0" applyAlignment="0" applyProtection="0"/>
    <xf numFmtId="0" fontId="88" fillId="0" borderId="129"/>
    <xf numFmtId="0" fontId="3" fillId="0" borderId="0"/>
    <xf numFmtId="0" fontId="26" fillId="20" borderId="130" applyNumberFormat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194" fontId="43" fillId="28" borderId="137" applyAlignment="0" applyProtection="0"/>
    <xf numFmtId="194" fontId="43" fillId="28" borderId="137" applyAlignment="0" applyProtection="0"/>
    <xf numFmtId="0" fontId="88" fillId="0" borderId="122"/>
    <xf numFmtId="0" fontId="88" fillId="0" borderId="122"/>
    <xf numFmtId="0" fontId="16" fillId="27" borderId="137" applyNumberFormat="0" applyFont="0" applyAlignment="0" applyProtection="0"/>
    <xf numFmtId="0" fontId="22" fillId="0" borderId="0"/>
    <xf numFmtId="0" fontId="22" fillId="27" borderId="131" applyNumberFormat="0" applyFont="0" applyAlignment="0" applyProtection="0"/>
    <xf numFmtId="0" fontId="33" fillId="7" borderId="124" applyNumberFormat="0" applyAlignment="0" applyProtection="0"/>
    <xf numFmtId="0" fontId="39" fillId="0" borderId="127" applyNumberFormat="0" applyFill="0" applyAlignment="0" applyProtection="0"/>
    <xf numFmtId="0" fontId="26" fillId="20" borderId="136" applyNumberFormat="0" applyAlignment="0" applyProtection="0"/>
    <xf numFmtId="0" fontId="33" fillId="7" borderId="107" applyNumberFormat="0" applyAlignment="0" applyProtection="0"/>
    <xf numFmtId="0" fontId="88" fillId="0" borderId="115"/>
    <xf numFmtId="0" fontId="22" fillId="27" borderId="137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22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37" fillId="20" borderId="126" applyNumberFormat="0" applyAlignment="0" applyProtection="0"/>
    <xf numFmtId="0" fontId="22" fillId="27" borderId="137" applyNumberFormat="0" applyFont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33" applyNumberFormat="0" applyFill="0" applyAlignment="0" applyProtection="0"/>
    <xf numFmtId="0" fontId="33" fillId="7" borderId="130" applyNumberFormat="0" applyAlignment="0" applyProtection="0"/>
    <xf numFmtId="0" fontId="39" fillId="0" borderId="127" applyNumberFormat="0" applyFill="0" applyAlignment="0" applyProtection="0"/>
    <xf numFmtId="0" fontId="16" fillId="27" borderId="137" applyNumberFormat="0" applyFont="0" applyAlignment="0" applyProtection="0"/>
    <xf numFmtId="0" fontId="22" fillId="0" borderId="0"/>
    <xf numFmtId="0" fontId="22" fillId="0" borderId="0"/>
    <xf numFmtId="0" fontId="22" fillId="0" borderId="0"/>
    <xf numFmtId="0" fontId="3" fillId="0" borderId="0"/>
    <xf numFmtId="0" fontId="39" fillId="0" borderId="127" applyNumberFormat="0" applyFill="0" applyAlignment="0" applyProtection="0"/>
    <xf numFmtId="43" fontId="11" fillId="0" borderId="0" applyFont="0" applyFill="0" applyBorder="0" applyAlignment="0" applyProtection="0"/>
    <xf numFmtId="0" fontId="3" fillId="0" borderId="0"/>
    <xf numFmtId="4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9" fillId="0" borderId="139" applyNumberFormat="0" applyFill="0" applyAlignment="0" applyProtection="0"/>
    <xf numFmtId="0" fontId="37" fillId="20" borderId="138" applyNumberFormat="0" applyAlignment="0" applyProtection="0"/>
    <xf numFmtId="0" fontId="22" fillId="27" borderId="137" applyNumberFormat="0" applyFont="0" applyAlignment="0" applyProtection="0"/>
    <xf numFmtId="0" fontId="88" fillId="0" borderId="135"/>
    <xf numFmtId="0" fontId="33" fillId="7" borderId="136" applyNumberFormat="0" applyAlignment="0" applyProtection="0"/>
    <xf numFmtId="0" fontId="26" fillId="20" borderId="136" applyNumberFormat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22" fillId="0" borderId="0"/>
    <xf numFmtId="0" fontId="16" fillId="27" borderId="131" applyNumberFormat="0" applyFont="0" applyAlignment="0" applyProtection="0"/>
    <xf numFmtId="0" fontId="22" fillId="0" borderId="0"/>
    <xf numFmtId="0" fontId="22" fillId="27" borderId="131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22" fillId="0" borderId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88" fillId="0" borderId="141"/>
    <xf numFmtId="0" fontId="33" fillId="7" borderId="136" applyNumberFormat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22" fillId="0" borderId="0"/>
  </cellStyleXfs>
  <cellXfs count="688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8" xfId="0" applyFont="1" applyFill="1" applyBorder="1" applyAlignment="1">
      <alignment horizontal="center" vertical="center"/>
    </xf>
    <xf numFmtId="0" fontId="120" fillId="33" borderId="69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79" xfId="2670" applyFont="1" applyFill="1" applyBorder="1" applyAlignment="1">
      <alignment horizontal="left" vertical="center"/>
    </xf>
    <xf numFmtId="0" fontId="161" fillId="39" borderId="80" xfId="2670" applyFont="1" applyFill="1" applyBorder="1" applyAlignment="1">
      <alignment horizontal="center" vertical="center"/>
    </xf>
    <xf numFmtId="0" fontId="161" fillId="39" borderId="82" xfId="2670" applyFont="1" applyFill="1" applyBorder="1" applyAlignment="1">
      <alignment horizontal="left" vertical="center"/>
    </xf>
    <xf numFmtId="0" fontId="161" fillId="39" borderId="78" xfId="2670" applyFont="1" applyFill="1" applyBorder="1" applyAlignment="1">
      <alignment horizontal="center" vertical="center"/>
    </xf>
    <xf numFmtId="0" fontId="161" fillId="39" borderId="84" xfId="2670" applyFont="1" applyFill="1" applyBorder="1" applyAlignment="1">
      <alignment horizontal="left" vertical="center"/>
    </xf>
    <xf numFmtId="0" fontId="161" fillId="39" borderId="85" xfId="2670" applyFont="1" applyFill="1" applyBorder="1" applyAlignment="1">
      <alignment horizontal="center" vertical="center"/>
    </xf>
    <xf numFmtId="167" fontId="142" fillId="40" borderId="81" xfId="2672" applyFont="1" applyFill="1" applyBorder="1" applyAlignment="1" applyProtection="1">
      <alignment horizontal="right" vertical="center" wrapText="1"/>
      <protection locked="0"/>
    </xf>
    <xf numFmtId="167" fontId="142" fillId="40" borderId="83" xfId="2672" applyFont="1" applyFill="1" applyBorder="1" applyAlignment="1" applyProtection="1">
      <alignment horizontal="right" vertical="center"/>
      <protection locked="0"/>
    </xf>
    <xf numFmtId="169" fontId="142" fillId="40" borderId="83" xfId="2672" applyNumberFormat="1" applyFont="1" applyFill="1" applyBorder="1" applyAlignment="1" applyProtection="1">
      <alignment horizontal="right" vertical="center"/>
      <protection locked="0"/>
    </xf>
    <xf numFmtId="169" fontId="142" fillId="40" borderId="86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0" xfId="2673" applyFont="1" applyFill="1" applyBorder="1" applyAlignment="1">
      <alignment vertical="center" wrapText="1"/>
    </xf>
    <xf numFmtId="0" fontId="148" fillId="43" borderId="90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4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93" fillId="0" borderId="97" xfId="1450" applyFont="1" applyBorder="1" applyAlignment="1">
      <alignment horizontal="left" vertical="center"/>
    </xf>
    <xf numFmtId="0" fontId="93" fillId="0" borderId="98" xfId="1450" applyFont="1" applyBorder="1" applyAlignment="1">
      <alignment horizontal="left" vertical="center"/>
    </xf>
    <xf numFmtId="0" fontId="93" fillId="0" borderId="40" xfId="1450" applyFont="1" applyBorder="1" applyAlignment="1">
      <alignment horizontal="center" vertical="center"/>
    </xf>
    <xf numFmtId="0" fontId="93" fillId="0" borderId="47" xfId="1450" applyFont="1" applyBorder="1" applyAlignment="1">
      <alignment horizontal="center" vertical="center"/>
    </xf>
    <xf numFmtId="0" fontId="44" fillId="0" borderId="20" xfId="1615" applyFont="1" applyBorder="1" applyAlignment="1">
      <alignment horizontal="center" vertical="center"/>
    </xf>
    <xf numFmtId="0" fontId="44" fillId="0" borderId="21" xfId="1615" applyFont="1" applyBorder="1" applyAlignment="1">
      <alignment horizontal="left" vertical="center" wrapText="1"/>
    </xf>
    <xf numFmtId="0" fontId="115" fillId="0" borderId="20" xfId="1653" applyFont="1" applyBorder="1" applyAlignment="1">
      <alignment horizontal="center" vertical="center"/>
    </xf>
    <xf numFmtId="0" fontId="176" fillId="0" borderId="20" xfId="1653" applyFont="1" applyBorder="1" applyAlignment="1">
      <alignment horizontal="center" vertical="center"/>
    </xf>
    <xf numFmtId="0" fontId="176" fillId="0" borderId="21" xfId="1653" applyFont="1" applyBorder="1" applyAlignment="1">
      <alignment vertical="center" wrapText="1"/>
    </xf>
    <xf numFmtId="0" fontId="22" fillId="0" borderId="21" xfId="1451" applyBorder="1" applyAlignment="1">
      <alignment horizontal="left" wrapText="1"/>
    </xf>
    <xf numFmtId="0" fontId="4" fillId="0" borderId="21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87" xfId="2673" applyFont="1" applyFill="1" applyBorder="1" applyAlignment="1">
      <alignment horizontal="center" vertical="center" wrapText="1"/>
    </xf>
    <xf numFmtId="0" fontId="165" fillId="42" borderId="88" xfId="2673" applyFont="1" applyFill="1" applyBorder="1" applyAlignment="1">
      <alignment horizontal="center" vertical="center" wrapText="1"/>
    </xf>
    <xf numFmtId="0" fontId="165" fillId="42" borderId="89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1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2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3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1" xfId="2673" applyNumberFormat="1" applyFont="1" applyFill="1" applyBorder="1" applyAlignment="1">
      <alignment horizontal="center" vertical="center" wrapText="1"/>
    </xf>
    <xf numFmtId="0" fontId="165" fillId="41" borderId="87" xfId="2673" applyFont="1" applyFill="1" applyBorder="1" applyAlignment="1">
      <alignment horizontal="center" vertical="center" wrapText="1"/>
    </xf>
    <xf numFmtId="0" fontId="165" fillId="41" borderId="88" xfId="2673" applyFont="1" applyFill="1" applyBorder="1" applyAlignment="1">
      <alignment horizontal="center" vertical="center" wrapText="1"/>
    </xf>
    <xf numFmtId="0" fontId="165" fillId="41" borderId="89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6" xfId="2670" applyFill="1" applyBorder="1" applyAlignment="1">
      <alignment horizontal="center" vertical="center"/>
    </xf>
    <xf numFmtId="0" fontId="140" fillId="0" borderId="77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left" vertical="center"/>
    </xf>
    <xf numFmtId="0" fontId="93" fillId="33" borderId="40" xfId="0" applyFont="1" applyFill="1" applyBorder="1" applyAlignment="1">
      <alignment horizontal="left" vertical="center"/>
    </xf>
    <xf numFmtId="0" fontId="121" fillId="33" borderId="74" xfId="0" applyFont="1" applyFill="1" applyBorder="1" applyAlignment="1">
      <alignment horizontal="center" vertical="center" wrapText="1"/>
    </xf>
    <xf numFmtId="0" fontId="121" fillId="33" borderId="75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0" borderId="60" xfId="1450" applyFont="1" applyBorder="1" applyAlignment="1">
      <alignment horizontal="left" vertical="center"/>
    </xf>
    <xf numFmtId="0" fontId="93" fillId="0" borderId="61" xfId="1450" applyFont="1" applyBorder="1" applyAlignment="1">
      <alignment horizontal="left" vertical="center"/>
    </xf>
    <xf numFmtId="49" fontId="116" fillId="33" borderId="3" xfId="0" applyNumberFormat="1" applyFont="1" applyFill="1" applyBorder="1" applyAlignment="1">
      <alignment horizontal="center" vertical="center"/>
    </xf>
    <xf numFmtId="0" fontId="120" fillId="33" borderId="72" xfId="0" applyFont="1" applyFill="1" applyBorder="1" applyAlignment="1">
      <alignment horizontal="left" vertical="center"/>
    </xf>
    <xf numFmtId="0" fontId="120" fillId="33" borderId="73" xfId="0" applyFont="1" applyFill="1" applyBorder="1" applyAlignment="1">
      <alignment horizontal="left" vertical="center"/>
    </xf>
    <xf numFmtId="49" fontId="116" fillId="33" borderId="3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93" fillId="0" borderId="97" xfId="1450" applyFont="1" applyBorder="1" applyAlignment="1">
      <alignment horizontal="left" vertical="center"/>
    </xf>
    <xf numFmtId="0" fontId="93" fillId="0" borderId="98" xfId="1450" applyFont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565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6699"/>
      <color rgb="FFFF0066"/>
      <color rgb="FFCCFF66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0.41499999999999992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4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4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162381</xdr:colOff>
      <xdr:row>2</xdr:row>
      <xdr:rowOff>9474</xdr:rowOff>
    </xdr:from>
    <xdr:to>
      <xdr:col>21</xdr:col>
      <xdr:colOff>247902</xdr:colOff>
      <xdr:row>6</xdr:row>
      <xdr:rowOff>106801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4C3B014-83CD-40FE-B8A9-0BC7667C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6944181" y="333324"/>
          <a:ext cx="847521" cy="706927"/>
        </a:xfrm>
        <a:prstGeom prst="rect">
          <a:avLst/>
        </a:prstGeom>
      </xdr:spPr>
    </xdr:pic>
    <xdr:clientData/>
  </xdr:twoCellAnchor>
  <xdr:twoCellAnchor>
    <xdr:from>
      <xdr:col>26</xdr:col>
      <xdr:colOff>87024</xdr:colOff>
      <xdr:row>5</xdr:row>
      <xdr:rowOff>41124</xdr:rowOff>
    </xdr:from>
    <xdr:to>
      <xdr:col>29</xdr:col>
      <xdr:colOff>259693</xdr:colOff>
      <xdr:row>16</xdr:row>
      <xdr:rowOff>136532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D73720E7-A420-4542-B169-8235A252EC25}"/>
            </a:ext>
          </a:extLst>
        </xdr:cNvPr>
        <xdr:cNvGrpSpPr/>
      </xdr:nvGrpSpPr>
      <xdr:grpSpPr>
        <a:xfrm>
          <a:off x="9587176" y="819689"/>
          <a:ext cx="1373647" cy="1751930"/>
          <a:chOff x="9713886" y="808452"/>
          <a:chExt cx="1342558" cy="1766630"/>
        </a:xfrm>
      </xdr:grpSpPr>
      <xdr:grpSp>
        <xdr:nvGrpSpPr>
          <xdr:cNvPr id="131" name="Group 13">
            <a:extLst>
              <a:ext uri="{FF2B5EF4-FFF2-40B4-BE49-F238E27FC236}">
                <a16:creationId xmlns:a16="http://schemas.microsoft.com/office/drawing/2014/main" id="{060D6BD9-5867-48B6-A58F-14F6B7242CA5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90" name="Oval 1">
              <a:extLst>
                <a:ext uri="{FF2B5EF4-FFF2-40B4-BE49-F238E27FC236}">
                  <a16:creationId xmlns:a16="http://schemas.microsoft.com/office/drawing/2014/main" id="{42E06FCA-F10D-4B75-8F4D-C30574A5C02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191" name="Straight Connector 3">
              <a:extLst>
                <a:ext uri="{FF2B5EF4-FFF2-40B4-BE49-F238E27FC236}">
                  <a16:creationId xmlns:a16="http://schemas.microsoft.com/office/drawing/2014/main" id="{74666ABA-1610-4B8A-B267-2928592C5081}"/>
                </a:ext>
              </a:extLst>
            </xdr:cNvPr>
            <xdr:cNvCxnSpPr>
              <a:stCxn id="147" idx="1"/>
              <a:endCxn id="14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2" name="Straight Connector 191">
              <a:extLst>
                <a:ext uri="{FF2B5EF4-FFF2-40B4-BE49-F238E27FC236}">
                  <a16:creationId xmlns:a16="http://schemas.microsoft.com/office/drawing/2014/main" id="{40B04D93-B0CD-4C8A-ACCE-583AA61D45C5}"/>
                </a:ext>
              </a:extLst>
            </xdr:cNvPr>
            <xdr:cNvCxnSpPr>
              <a:stCxn id="147" idx="3"/>
              <a:endCxn id="14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AB13FFD3-55F1-44AB-B64B-810D0F3763F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33" name="Group 14">
            <a:extLst>
              <a:ext uri="{FF2B5EF4-FFF2-40B4-BE49-F238E27FC236}">
                <a16:creationId xmlns:a16="http://schemas.microsoft.com/office/drawing/2014/main" id="{9DFBB569-95A6-4E03-8661-F903AD9F0FB6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87" name="Oval 186">
              <a:extLst>
                <a:ext uri="{FF2B5EF4-FFF2-40B4-BE49-F238E27FC236}">
                  <a16:creationId xmlns:a16="http://schemas.microsoft.com/office/drawing/2014/main" id="{EBB5BC96-D2C8-40AB-A288-998E50E3E9E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188" name="Straight Connector 187">
              <a:extLst>
                <a:ext uri="{FF2B5EF4-FFF2-40B4-BE49-F238E27FC236}">
                  <a16:creationId xmlns:a16="http://schemas.microsoft.com/office/drawing/2014/main" id="{10699C66-1696-454E-AE13-14EC74788CCD}"/>
                </a:ext>
              </a:extLst>
            </xdr:cNvPr>
            <xdr:cNvCxnSpPr>
              <a:stCxn id="187" idx="1"/>
              <a:endCxn id="1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9" name="Straight Connector 188">
              <a:extLst>
                <a:ext uri="{FF2B5EF4-FFF2-40B4-BE49-F238E27FC236}">
                  <a16:creationId xmlns:a16="http://schemas.microsoft.com/office/drawing/2014/main" id="{1516C53E-FE28-4CE5-A4D4-B072165A2448}"/>
                </a:ext>
              </a:extLst>
            </xdr:cNvPr>
            <xdr:cNvCxnSpPr>
              <a:stCxn id="187" idx="3"/>
              <a:endCxn id="1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F076118B-6F21-4E64-9C92-DE4D9316EF49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5B91A31F-77CD-47E5-87F7-18DE94BC809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16DED4B0-A7C7-4DFF-8113-9C2EFAD2077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076289E5-8205-4203-BECE-51010B9FEA1E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B8142599-3DDE-45A6-8925-862C6B3BF3F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963D48E4-10BE-40A8-8A2E-3258EE9F73E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FBE62B-8402-440A-B6FA-D911E36F4BA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6B13B81D-9F57-4E80-86CD-5CFCDB6F360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F1FC6061-B7D8-446B-87EF-A335A61E0A3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EEB5C5B7-133E-45E8-8BD2-36F808F29497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8BA487D9-57A9-44F1-95CA-4632A139793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007209C2-33B5-43A0-97EE-64F51174C4D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FF1CF2-D55B-4A6B-9378-747A93166DB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50">
            <a:extLst>
              <a:ext uri="{FF2B5EF4-FFF2-40B4-BE49-F238E27FC236}">
                <a16:creationId xmlns:a16="http://schemas.microsoft.com/office/drawing/2014/main" id="{7FBF3ED9-7102-40DA-99CF-07C5F2CE4563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B2996898-91A6-4687-872C-44CCF54C92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52">
            <a:extLst>
              <a:ext uri="{FF2B5EF4-FFF2-40B4-BE49-F238E27FC236}">
                <a16:creationId xmlns:a16="http://schemas.microsoft.com/office/drawing/2014/main" id="{46997BEE-8ED5-4F0F-84DC-C0EEB70A5C4C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A64C4F3F-0B38-4085-9379-83CCEBB85C8E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0A9386DA-8BC6-4561-8C99-5E8150D598F9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2284A60-DB47-4B3B-812F-3F276FE9839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5D484FEF-846A-4886-A2A9-C34A3595516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50B8706F-1611-465A-9017-B05D6F0F565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FF809A73-3871-4A54-B568-5DF3376B0A1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AF68E3A1-82EF-44EB-BDB7-9F71B3E1566B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FA29D1AC-6C7D-44BB-8AE8-B81263A5A28C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158" name="Isosceles Triangle 157">
            <a:extLst>
              <a:ext uri="{FF2B5EF4-FFF2-40B4-BE49-F238E27FC236}">
                <a16:creationId xmlns:a16="http://schemas.microsoft.com/office/drawing/2014/main" id="{986E1F61-5B4A-4779-BBD9-716503E9BCBC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59" name="Group 73">
            <a:extLst>
              <a:ext uri="{FF2B5EF4-FFF2-40B4-BE49-F238E27FC236}">
                <a16:creationId xmlns:a16="http://schemas.microsoft.com/office/drawing/2014/main" id="{D2C01037-6692-4A0B-8889-4DC4AE5878C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85" name="TextBox 57">
              <a:extLst>
                <a:ext uri="{FF2B5EF4-FFF2-40B4-BE49-F238E27FC236}">
                  <a16:creationId xmlns:a16="http://schemas.microsoft.com/office/drawing/2014/main" id="{45C15052-E9A5-4A29-ABBB-7BC66A5305C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86" name="Straight Connector 185">
              <a:extLst>
                <a:ext uri="{FF2B5EF4-FFF2-40B4-BE49-F238E27FC236}">
                  <a16:creationId xmlns:a16="http://schemas.microsoft.com/office/drawing/2014/main" id="{D5799933-5BE9-427B-BC78-4A207E9D9EA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" name="Group 74">
            <a:extLst>
              <a:ext uri="{FF2B5EF4-FFF2-40B4-BE49-F238E27FC236}">
                <a16:creationId xmlns:a16="http://schemas.microsoft.com/office/drawing/2014/main" id="{E7269166-BD74-45A5-AC39-4D58AFF55146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83" name="TextBox 55">
              <a:extLst>
                <a:ext uri="{FF2B5EF4-FFF2-40B4-BE49-F238E27FC236}">
                  <a16:creationId xmlns:a16="http://schemas.microsoft.com/office/drawing/2014/main" id="{58CC291B-E0FE-48F8-85AD-9FE92164E28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84" name="Straight Connector 183">
              <a:extLst>
                <a:ext uri="{FF2B5EF4-FFF2-40B4-BE49-F238E27FC236}">
                  <a16:creationId xmlns:a16="http://schemas.microsoft.com/office/drawing/2014/main" id="{77C1087C-B131-4FA0-BFBF-966BF37EE59E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1" name="Group 89">
            <a:extLst>
              <a:ext uri="{FF2B5EF4-FFF2-40B4-BE49-F238E27FC236}">
                <a16:creationId xmlns:a16="http://schemas.microsoft.com/office/drawing/2014/main" id="{8AB3204E-6196-4E3A-B5CC-9C1D17E65A8A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9" name="Straight Connector 178">
              <a:extLst>
                <a:ext uri="{FF2B5EF4-FFF2-40B4-BE49-F238E27FC236}">
                  <a16:creationId xmlns:a16="http://schemas.microsoft.com/office/drawing/2014/main" id="{79375664-6CF1-4749-AFB2-250D081640C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Connector 79">
              <a:extLst>
                <a:ext uri="{FF2B5EF4-FFF2-40B4-BE49-F238E27FC236}">
                  <a16:creationId xmlns:a16="http://schemas.microsoft.com/office/drawing/2014/main" id="{27801470-D547-4D43-B1A9-E1EC6395B26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Straight Connector 80">
              <a:extLst>
                <a:ext uri="{FF2B5EF4-FFF2-40B4-BE49-F238E27FC236}">
                  <a16:creationId xmlns:a16="http://schemas.microsoft.com/office/drawing/2014/main" id="{85103410-B2CE-4917-AF98-0AAAB2C258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Straight Connector 88">
              <a:extLst>
                <a:ext uri="{FF2B5EF4-FFF2-40B4-BE49-F238E27FC236}">
                  <a16:creationId xmlns:a16="http://schemas.microsoft.com/office/drawing/2014/main" id="{3D35312B-EDC3-4582-A38D-8C538B6AC2A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2" name="Group 90">
            <a:extLst>
              <a:ext uri="{FF2B5EF4-FFF2-40B4-BE49-F238E27FC236}">
                <a16:creationId xmlns:a16="http://schemas.microsoft.com/office/drawing/2014/main" id="{1230CD84-7776-4949-900C-0F3B09CC83B4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08A678EA-F12A-4470-A2ED-71BD3651D41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175">
              <a:extLst>
                <a:ext uri="{FF2B5EF4-FFF2-40B4-BE49-F238E27FC236}">
                  <a16:creationId xmlns:a16="http://schemas.microsoft.com/office/drawing/2014/main" id="{EF179D51-64FC-436F-B3D7-BBC10406267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7" name="Straight Connector 176">
              <a:extLst>
                <a:ext uri="{FF2B5EF4-FFF2-40B4-BE49-F238E27FC236}">
                  <a16:creationId xmlns:a16="http://schemas.microsoft.com/office/drawing/2014/main" id="{1ABB7655-D247-41CD-B740-E24F6993B8F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" name="Straight Connector 177">
              <a:extLst>
                <a:ext uri="{FF2B5EF4-FFF2-40B4-BE49-F238E27FC236}">
                  <a16:creationId xmlns:a16="http://schemas.microsoft.com/office/drawing/2014/main" id="{B1D40DF5-1138-41B9-83E5-E026FC119CF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8C57DF26-95DC-43FC-8994-E523B9FC760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1EAC5480-2A20-4098-B430-00A9E2568F8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Arrow Connector 164">
            <a:extLst>
              <a:ext uri="{FF2B5EF4-FFF2-40B4-BE49-F238E27FC236}">
                <a16:creationId xmlns:a16="http://schemas.microsoft.com/office/drawing/2014/main" id="{D6914BCE-597C-4E0E-9DFE-6027837CDC24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3D1F9EB9-8128-4037-BC32-01C860EDA10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7" name="Group 155">
            <a:extLst>
              <a:ext uri="{FF2B5EF4-FFF2-40B4-BE49-F238E27FC236}">
                <a16:creationId xmlns:a16="http://schemas.microsoft.com/office/drawing/2014/main" id="{58946337-4900-43CD-BDEF-C8C69ACA1456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72" name="Isosceles Triangle 171">
              <a:extLst>
                <a:ext uri="{FF2B5EF4-FFF2-40B4-BE49-F238E27FC236}">
                  <a16:creationId xmlns:a16="http://schemas.microsoft.com/office/drawing/2014/main" id="{35F2B468-B7D8-431F-A0C1-74EF8F857501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3" name="Isosceles Triangle 172">
              <a:extLst>
                <a:ext uri="{FF2B5EF4-FFF2-40B4-BE49-F238E27FC236}">
                  <a16:creationId xmlns:a16="http://schemas.microsoft.com/office/drawing/2014/main" id="{CD702929-88EF-41D0-B0F3-78C0A4304FDA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4" name="Isosceles Triangle 173">
              <a:extLst>
                <a:ext uri="{FF2B5EF4-FFF2-40B4-BE49-F238E27FC236}">
                  <a16:creationId xmlns:a16="http://schemas.microsoft.com/office/drawing/2014/main" id="{7CAED516-EE76-4E9A-97F7-700914DB67C9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168" name="Group 134">
            <a:extLst>
              <a:ext uri="{FF2B5EF4-FFF2-40B4-BE49-F238E27FC236}">
                <a16:creationId xmlns:a16="http://schemas.microsoft.com/office/drawing/2014/main" id="{59CB8EE0-22C9-4393-94F5-01C632D35EC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69" name="Isosceles Triangle 168">
              <a:extLst>
                <a:ext uri="{FF2B5EF4-FFF2-40B4-BE49-F238E27FC236}">
                  <a16:creationId xmlns:a16="http://schemas.microsoft.com/office/drawing/2014/main" id="{DF49387A-E4CE-484C-86F7-B97CDFA65DD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0" name="Isosceles Triangle 169">
              <a:extLst>
                <a:ext uri="{FF2B5EF4-FFF2-40B4-BE49-F238E27FC236}">
                  <a16:creationId xmlns:a16="http://schemas.microsoft.com/office/drawing/2014/main" id="{775F4FD0-F247-4B3F-AD0A-E24594F75FA9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1" name="Isosceles Triangle 170">
              <a:extLst>
                <a:ext uri="{FF2B5EF4-FFF2-40B4-BE49-F238E27FC236}">
                  <a16:creationId xmlns:a16="http://schemas.microsoft.com/office/drawing/2014/main" id="{AC1EC8CD-94D7-4457-A0FD-8C87DCE6276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172232</xdr:colOff>
      <xdr:row>25</xdr:row>
      <xdr:rowOff>124238</xdr:rowOff>
    </xdr:from>
    <xdr:to>
      <xdr:col>7</xdr:col>
      <xdr:colOff>248482</xdr:colOff>
      <xdr:row>26</xdr:row>
      <xdr:rowOff>131792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3A0EE8F-43D1-4A7A-8B14-6F5F934E4860}"/>
            </a:ext>
          </a:extLst>
        </xdr:cNvPr>
        <xdr:cNvSpPr/>
      </xdr:nvSpPr>
      <xdr:spPr>
        <a:xfrm rot="16200000">
          <a:off x="2351775" y="3941304"/>
          <a:ext cx="156641" cy="762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SA" sz="1100"/>
        </a:p>
      </xdr:txBody>
    </xdr:sp>
    <xdr:clientData/>
  </xdr:twoCellAnchor>
  <xdr:twoCellAnchor>
    <xdr:from>
      <xdr:col>10</xdr:col>
      <xdr:colOff>117377</xdr:colOff>
      <xdr:row>22</xdr:row>
      <xdr:rowOff>135999</xdr:rowOff>
    </xdr:from>
    <xdr:to>
      <xdr:col>10</xdr:col>
      <xdr:colOff>118110</xdr:colOff>
      <xdr:row>30</xdr:row>
      <xdr:rowOff>74123</xdr:rowOff>
    </xdr:to>
    <xdr:cxnSp macro="">
      <xdr:nvCxnSpPr>
        <xdr:cNvPr id="330" name="Straight Connector 329">
          <a:extLst>
            <a:ext uri="{FF2B5EF4-FFF2-40B4-BE49-F238E27FC236}">
              <a16:creationId xmlns:a16="http://schemas.microsoft.com/office/drawing/2014/main" id="{40D5FA34-12E7-47A5-89C8-FD36BAAAE02D}"/>
            </a:ext>
          </a:extLst>
        </xdr:cNvPr>
        <xdr:cNvCxnSpPr>
          <a:stCxn id="3" idx="7"/>
          <a:endCxn id="288" idx="6"/>
        </xdr:cNvCxnSpPr>
      </xdr:nvCxnSpPr>
      <xdr:spPr>
        <a:xfrm flipV="1">
          <a:off x="3480116" y="3465608"/>
          <a:ext cx="733" cy="1122537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27089</xdr:colOff>
      <xdr:row>14</xdr:row>
      <xdr:rowOff>44027</xdr:rowOff>
    </xdr:from>
    <xdr:to>
      <xdr:col>10</xdr:col>
      <xdr:colOff>145199</xdr:colOff>
      <xdr:row>15</xdr:row>
      <xdr:rowOff>5186</xdr:rowOff>
    </xdr:to>
    <xdr:grpSp>
      <xdr:nvGrpSpPr>
        <xdr:cNvPr id="282" name="Group 281">
          <a:extLst>
            <a:ext uri="{FF2B5EF4-FFF2-40B4-BE49-F238E27FC236}">
              <a16:creationId xmlns:a16="http://schemas.microsoft.com/office/drawing/2014/main" id="{5D002BF7-02E8-421C-843D-C583D8044DF9}"/>
            </a:ext>
          </a:extLst>
        </xdr:cNvPr>
        <xdr:cNvGrpSpPr/>
      </xdr:nvGrpSpPr>
      <xdr:grpSpPr>
        <a:xfrm>
          <a:off x="3389828" y="2180940"/>
          <a:ext cx="118110" cy="1102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3" name="Oval 282">
            <a:extLst>
              <a:ext uri="{FF2B5EF4-FFF2-40B4-BE49-F238E27FC236}">
                <a16:creationId xmlns:a16="http://schemas.microsoft.com/office/drawing/2014/main" id="{8929F990-44FE-4D90-BFD0-47A7B455970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889A8C6E-9051-4FBE-8BC9-B46843E9E8FE}"/>
              </a:ext>
            </a:extLst>
          </xdr:cNvPr>
          <xdr:cNvCxnSpPr>
            <a:stCxn id="283" idx="1"/>
            <a:endCxn id="2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F844F32A-C6B9-4CFB-B2AA-52977711EFEA}"/>
              </a:ext>
            </a:extLst>
          </xdr:cNvPr>
          <xdr:cNvCxnSpPr>
            <a:stCxn id="283" idx="3"/>
            <a:endCxn id="2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0</xdr:colOff>
      <xdr:row>22</xdr:row>
      <xdr:rowOff>80876</xdr:rowOff>
    </xdr:from>
    <xdr:to>
      <xdr:col>10</xdr:col>
      <xdr:colOff>118110</xdr:colOff>
      <xdr:row>23</xdr:row>
      <xdr:rowOff>42035</xdr:rowOff>
    </xdr:to>
    <xdr:grpSp>
      <xdr:nvGrpSpPr>
        <xdr:cNvPr id="287" name="Group 286">
          <a:extLst>
            <a:ext uri="{FF2B5EF4-FFF2-40B4-BE49-F238E27FC236}">
              <a16:creationId xmlns:a16="http://schemas.microsoft.com/office/drawing/2014/main" id="{688CD83C-57D0-411B-877C-4732EFD69A5B}"/>
            </a:ext>
          </a:extLst>
        </xdr:cNvPr>
        <xdr:cNvGrpSpPr/>
      </xdr:nvGrpSpPr>
      <xdr:grpSpPr>
        <a:xfrm>
          <a:off x="3362739" y="3410485"/>
          <a:ext cx="118110" cy="1102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8" name="Oval 287">
            <a:extLst>
              <a:ext uri="{FF2B5EF4-FFF2-40B4-BE49-F238E27FC236}">
                <a16:creationId xmlns:a16="http://schemas.microsoft.com/office/drawing/2014/main" id="{67E00AA8-42EA-4B6A-B547-07EF303468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FAAB651D-EDCC-4567-B73A-79C77942CA12}"/>
              </a:ext>
            </a:extLst>
          </xdr:cNvPr>
          <xdr:cNvCxnSpPr>
            <a:stCxn id="288" idx="1"/>
            <a:endCxn id="2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05D921BF-D47F-48D2-B668-1E88173CBD94}"/>
              </a:ext>
            </a:extLst>
          </xdr:cNvPr>
          <xdr:cNvCxnSpPr>
            <a:stCxn id="288" idx="3"/>
            <a:endCxn id="2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16564</xdr:colOff>
      <xdr:row>30</xdr:row>
      <xdr:rowOff>57978</xdr:rowOff>
    </xdr:from>
    <xdr:to>
      <xdr:col>10</xdr:col>
      <xdr:colOff>134674</xdr:colOff>
      <xdr:row>31</xdr:row>
      <xdr:rowOff>19137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177A747-6908-4776-8A57-774EB5DFC7DC}"/>
            </a:ext>
          </a:extLst>
        </xdr:cNvPr>
        <xdr:cNvGrpSpPr/>
      </xdr:nvGrpSpPr>
      <xdr:grpSpPr>
        <a:xfrm>
          <a:off x="3379303" y="4572000"/>
          <a:ext cx="118110" cy="1102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404710AE-883E-BB69-6511-80C07644608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38D0FCB6-5627-72EB-F657-DDBCCEBFEE63}"/>
              </a:ext>
            </a:extLst>
          </xdr:cNvPr>
          <xdr:cNvCxnSpPr>
            <a:stCxn id="3" idx="1"/>
            <a:endCxn id="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300D478E-7A60-3FBA-DAC5-99A0B74475F2}"/>
              </a:ext>
            </a:extLst>
          </xdr:cNvPr>
          <xdr:cNvCxnSpPr>
            <a:stCxn id="3" idx="3"/>
            <a:endCxn id="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132522</xdr:colOff>
      <xdr:row>24</xdr:row>
      <xdr:rowOff>132522</xdr:rowOff>
    </xdr:from>
    <xdr:to>
      <xdr:col>8</xdr:col>
      <xdr:colOff>281609</xdr:colOff>
      <xdr:row>25</xdr:row>
      <xdr:rowOff>124239</xdr:rowOff>
    </xdr:to>
    <xdr:sp macro="" textlink="">
      <xdr:nvSpPr>
        <xdr:cNvPr id="18" name="Isosceles Triangle 17">
          <a:extLst>
            <a:ext uri="{FF2B5EF4-FFF2-40B4-BE49-F238E27FC236}">
              <a16:creationId xmlns:a16="http://schemas.microsoft.com/office/drawing/2014/main" id="{F328CAFC-332D-48C2-B7AA-D4DEAC4BAF6B}"/>
            </a:ext>
          </a:extLst>
        </xdr:cNvPr>
        <xdr:cNvSpPr/>
      </xdr:nvSpPr>
      <xdr:spPr>
        <a:xfrm>
          <a:off x="2733261" y="3760305"/>
          <a:ext cx="149087" cy="140804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8</xdr:col>
      <xdr:colOff>149087</xdr:colOff>
      <xdr:row>26</xdr:row>
      <xdr:rowOff>16564</xdr:rowOff>
    </xdr:from>
    <xdr:to>
      <xdr:col>8</xdr:col>
      <xdr:colOff>267197</xdr:colOff>
      <xdr:row>26</xdr:row>
      <xdr:rowOff>126810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69165CA-2948-456F-BF72-196B22B2816E}"/>
            </a:ext>
          </a:extLst>
        </xdr:cNvPr>
        <xdr:cNvGrpSpPr/>
      </xdr:nvGrpSpPr>
      <xdr:grpSpPr>
        <a:xfrm>
          <a:off x="2749826" y="3942521"/>
          <a:ext cx="118110" cy="1102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71ACF260-5367-D373-3EA2-DA0CD37CBE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ABCBF0FE-210C-F25E-4815-CB6AE499572E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5B65911-8EB2-DE00-C8A8-878D8F08962C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231914</xdr:colOff>
      <xdr:row>12</xdr:row>
      <xdr:rowOff>15982</xdr:rowOff>
    </xdr:from>
    <xdr:to>
      <xdr:col>9</xdr:col>
      <xdr:colOff>238149</xdr:colOff>
      <xdr:row>30</xdr:row>
      <xdr:rowOff>107673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6B08F1DB-A3C0-4FBF-B3B4-9257CA778E26}"/>
            </a:ext>
          </a:extLst>
        </xdr:cNvPr>
        <xdr:cNvCxnSpPr/>
      </xdr:nvCxnSpPr>
      <xdr:spPr>
        <a:xfrm flipH="1">
          <a:off x="3213653" y="1838156"/>
          <a:ext cx="6235" cy="278353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215349</xdr:colOff>
      <xdr:row>22</xdr:row>
      <xdr:rowOff>49697</xdr:rowOff>
    </xdr:from>
    <xdr:to>
      <xdr:col>7</xdr:col>
      <xdr:colOff>165653</xdr:colOff>
      <xdr:row>27</xdr:row>
      <xdr:rowOff>2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C76CE57F-7401-4805-B948-92B0366B7957}"/>
            </a:ext>
          </a:extLst>
        </xdr:cNvPr>
        <xdr:cNvSpPr txBox="1"/>
      </xdr:nvSpPr>
      <xdr:spPr>
        <a:xfrm>
          <a:off x="1673088" y="3379306"/>
          <a:ext cx="712304" cy="69573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7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 ALI SAADI</a:t>
          </a:r>
        </a:p>
        <a:p>
          <a:pPr algn="ctr"/>
          <a:endParaRPr lang="en-US" sz="7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7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PD 23 KVA - 41.5</a:t>
          </a:r>
        </a:p>
      </xdr:txBody>
    </xdr:sp>
    <xdr:clientData/>
  </xdr:twoCellAnchor>
  <xdr:twoCellAnchor>
    <xdr:from>
      <xdr:col>10</xdr:col>
      <xdr:colOff>118110</xdr:colOff>
      <xdr:row>14</xdr:row>
      <xdr:rowOff>138128</xdr:rowOff>
    </xdr:from>
    <xdr:to>
      <xdr:col>10</xdr:col>
      <xdr:colOff>127902</xdr:colOff>
      <xdr:row>22</xdr:row>
      <xdr:rowOff>135999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3057FECE-465B-42C2-810D-7E74EE463489}"/>
            </a:ext>
          </a:extLst>
        </xdr:cNvPr>
        <xdr:cNvCxnSpPr>
          <a:stCxn id="288" idx="6"/>
          <a:endCxn id="283" idx="5"/>
        </xdr:cNvCxnSpPr>
      </xdr:nvCxnSpPr>
      <xdr:spPr>
        <a:xfrm flipV="1">
          <a:off x="3480849" y="2275041"/>
          <a:ext cx="9792" cy="1190567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267197</xdr:colOff>
      <xdr:row>22</xdr:row>
      <xdr:rowOff>135999</xdr:rowOff>
    </xdr:from>
    <xdr:to>
      <xdr:col>10</xdr:col>
      <xdr:colOff>0</xdr:colOff>
      <xdr:row>26</xdr:row>
      <xdr:rowOff>71687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9E463967-005F-4236-A594-6D232149AB0A}"/>
            </a:ext>
          </a:extLst>
        </xdr:cNvPr>
        <xdr:cNvCxnSpPr>
          <a:stCxn id="23" idx="6"/>
          <a:endCxn id="288" idx="2"/>
        </xdr:cNvCxnSpPr>
      </xdr:nvCxnSpPr>
      <xdr:spPr>
        <a:xfrm flipV="1">
          <a:off x="2867936" y="3465608"/>
          <a:ext cx="494803" cy="53203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248482</xdr:colOff>
      <xdr:row>26</xdr:row>
      <xdr:rowOff>53472</xdr:rowOff>
    </xdr:from>
    <xdr:to>
      <xdr:col>8</xdr:col>
      <xdr:colOff>208142</xdr:colOff>
      <xdr:row>26</xdr:row>
      <xdr:rowOff>126810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EE385B89-1D3C-4E2F-8A00-C07984BA3E9B}"/>
            </a:ext>
          </a:extLst>
        </xdr:cNvPr>
        <xdr:cNvCxnSpPr>
          <a:stCxn id="26" idx="2"/>
          <a:endCxn id="23" idx="4"/>
        </xdr:cNvCxnSpPr>
      </xdr:nvCxnSpPr>
      <xdr:spPr>
        <a:xfrm>
          <a:off x="2468221" y="3979429"/>
          <a:ext cx="340660" cy="7333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138544</xdr:colOff>
      <xdr:row>13</xdr:row>
      <xdr:rowOff>-1</xdr:rowOff>
    </xdr:from>
    <xdr:to>
      <xdr:col>18</xdr:col>
      <xdr:colOff>536862</xdr:colOff>
      <xdr:row>47</xdr:row>
      <xdr:rowOff>72311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F71ABE-A177-58F3-BD3B-E0D8466AB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5271" y="2182090"/>
          <a:ext cx="8278091" cy="53716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0" t="s">
        <v>1134</v>
      </c>
      <c r="C4" s="500"/>
      <c r="D4" s="500"/>
      <c r="E4" s="500"/>
      <c r="F4" s="500"/>
      <c r="G4" s="500"/>
      <c r="H4" s="50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1" t="s">
        <v>0</v>
      </c>
      <c r="C7" s="501" t="s">
        <v>1</v>
      </c>
      <c r="D7" s="502" t="s">
        <v>42</v>
      </c>
      <c r="E7" s="502" t="s">
        <v>43</v>
      </c>
      <c r="F7" s="502" t="s">
        <v>1135</v>
      </c>
      <c r="G7" s="503" t="s">
        <v>41</v>
      </c>
      <c r="H7" s="499" t="s">
        <v>1042</v>
      </c>
      <c r="I7" s="499" t="s">
        <v>1137</v>
      </c>
      <c r="J7" s="499" t="s">
        <v>1026</v>
      </c>
      <c r="K7" s="493" t="s">
        <v>1024</v>
      </c>
      <c r="L7" s="494"/>
    </row>
    <row r="8" spans="1:12" ht="15" customHeight="1">
      <c r="B8" s="501"/>
      <c r="C8" s="501"/>
      <c r="D8" s="502"/>
      <c r="E8" s="502"/>
      <c r="F8" s="502"/>
      <c r="G8" s="503"/>
      <c r="H8" s="499"/>
      <c r="I8" s="499"/>
      <c r="J8" s="499"/>
      <c r="K8" s="495"/>
      <c r="L8" s="496"/>
    </row>
    <row r="9" spans="1:12" ht="15" customHeight="1">
      <c r="B9" s="501"/>
      <c r="C9" s="501"/>
      <c r="D9" s="502"/>
      <c r="E9" s="502"/>
      <c r="F9" s="502"/>
      <c r="G9" s="503"/>
      <c r="H9" s="499"/>
      <c r="I9" s="499"/>
      <c r="J9" s="499"/>
      <c r="K9" s="497"/>
      <c r="L9" s="49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41.5 kVA MCCB 63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NFA2X-T 3x35+1x35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Mtr</v>
      </c>
      <c r="F13" s="138">
        <f t="shared" ref="F13:F76" ca="1" si="2">IF(ISERROR(OFFSET($D$713,MATCH(A13,$F$714:$F$1320,0),0)),"",OFFSET($D$713,MATCH(A13,$F$714:$F$1320,0),0))</f>
        <v>10</v>
      </c>
      <c r="G13" s="41">
        <f ca="1">IF(ISERROR(OFFSET('HARGA SATUAN'!$I$6,MATCH(C13,'HARGA SATUAN'!$C$7:$C$1492,0),0)),"",OFFSET('HARGA SATUAN'!$I$6,MATCH(C13,'HARGA SATUAN'!$C$7:$C$1492,0),0))</f>
        <v>30400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KWH MPB; 3P; 4W; 230/400 V; 5(80) A; Class 1</v>
      </c>
      <c r="D14" s="101" t="str">
        <f ca="1">IF(ISERROR(OFFSET('HARGA SATUAN'!$D$6,MATCH(C14,'HARGA SATUAN'!$C$7:$C$1492,0),0)),"",OFFSET('HARGA SATUAN'!$D$6,MATCH(C14,'HARGA SATUAN'!$C$7:$C$1492,0),0))</f>
        <v>HDW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1719200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Modem 3G/4G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Unit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1113900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SUMIFS(RAB!$F$14:$F$31,RAB!$C$14:$C$31,C714)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SUMIFS(RAB!$F$14:$F$31,RAB!$C$14:$C$31,C715)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SUMIFS(RAB!$F$14:$F$31,RAB!$C$14:$C$31,C716)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SUMIFS(RAB!$F$14:$F$31,RAB!$C$14:$C$31,C717)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SUMIFS(RAB!$F$14:$F$31,RAB!$C$14:$C$31,C718)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SUMIFS(RAB!$F$14:$F$31,RAB!$C$14:$C$31,C719)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SUMIFS(RAB!$F$14:$F$31,RAB!$C$14:$C$31,C720)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SUMIFS(RAB!$F$14:$F$31,RAB!$C$14:$C$31,C721)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SUMIFS(RAB!$F$14:$F$31,RAB!$C$14:$C$31,C722)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SUMIFS(RAB!$F$14:$F$31,RAB!$C$14:$C$31,C723)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SUMIFS(RAB!$F$14:$F$31,RAB!$C$14:$C$31,C724)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SUMIFS(RAB!$F$14:$F$31,RAB!$C$14:$C$31,C725)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SUMIFS(RAB!$F$14:$F$31,RAB!$C$14:$C$31,C726)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SUMIFS(RAB!$F$14:$F$31,RAB!$C$14:$C$31,C727)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SUMIFS(RAB!$F$14:$F$31,RAB!$C$14:$C$31,C728)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SUMIFS(RAB!$F$14:$F$31,RAB!$C$14:$C$31,C729)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SUMIFS(RAB!$F$14:$F$31,RAB!$C$14:$C$31,C730)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SUMIFS(RAB!$F$14:$F$31,RAB!$C$14:$C$31,C731)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SUMIFS(RAB!$F$14:$F$31,RAB!$C$14:$C$31,C732)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SUMIFS(RAB!$F$14:$F$31,RAB!$C$14:$C$31,C733)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SUMIFS(RAB!$F$14:$F$31,RAB!$C$14:$C$31,C734)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SUMIFS(RAB!$F$14:$F$31,RAB!$C$14:$C$31,C735)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SUMIFS(RAB!$F$14:$F$31,RAB!$C$14:$C$31,C736)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SUMIFS(RAB!$F$14:$F$31,RAB!$C$14:$C$31,C737)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SUMIFS(RAB!$F$14:$F$31,RAB!$C$14:$C$31,C738)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SUMIFS(RAB!$F$14:$F$31,RAB!$C$14:$C$31,C739)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SUMIFS(RAB!$F$14:$F$31,RAB!$C$14:$C$31,C740)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SUMIFS(RAB!$F$14:$F$31,RAB!$C$14:$C$31,C741)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SUMIFS(RAB!$F$14:$F$31,RAB!$C$14:$C$31,C742)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SUMIFS(RAB!$F$14:$F$31,RAB!$C$14:$C$31,C743)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SUMIFS(RAB!$F$14:$F$31,RAB!$C$14:$C$31,C744)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SUMIFS(RAB!$F$14:$F$31,RAB!$C$14:$C$31,C745)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SUMIFS(RAB!$F$14:$F$31,RAB!$C$14:$C$31,C746)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SUMIFS(RAB!$F$14:$F$31,RAB!$C$14:$C$31,C747)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SUMIFS(RAB!$F$14:$F$31,RAB!$C$14:$C$31,C748)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SUMIFS(RAB!$F$14:$F$31,RAB!$C$14:$C$31,C749)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SUMIFS(RAB!$F$14:$F$31,RAB!$C$14:$C$31,C750)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SUMIFS(RAB!$F$14:$F$31,RAB!$C$14:$C$31,C751)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SUMIFS(RAB!$F$14:$F$31,RAB!$C$14:$C$31,C752)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SUMIFS(RAB!$F$14:$F$31,RAB!$C$14:$C$31,C753)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SUMIFS(RAB!$F$14:$F$31,RAB!$C$14:$C$31,C754)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SUMIFS(RAB!$F$14:$F$31,RAB!$C$14:$C$31,C755)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SUMIFS(RAB!$F$14:$F$31,RAB!$C$14:$C$31,C756)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SUMIFS(RAB!$F$14:$F$31,RAB!$C$14:$C$31,C757)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SUMIFS(RAB!$F$14:$F$31,RAB!$C$14:$C$31,C758)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SUMIFS(RAB!$F$14:$F$31,RAB!$C$14:$C$31,C759)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SUMIFS(RAB!$F$14:$F$31,RAB!$C$14:$C$31,C760)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SUMIFS(RAB!$F$14:$F$31,RAB!$C$14:$C$31,C761)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SUMIFS(RAB!$F$14:$F$31,RAB!$C$14:$C$31,C762)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SUMIFS(RAB!$F$14:$F$31,RAB!$C$14:$C$31,C763)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SUMIFS(RAB!$F$14:$F$31,RAB!$C$14:$C$31,C764)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SUMIFS(RAB!$F$14:$F$31,RAB!$C$14:$C$31,C765)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SUMIFS(RAB!$F$14:$F$31,RAB!$C$14:$C$31,C766)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SUMIFS(RAB!$F$14:$F$31,RAB!$C$14:$C$31,C767)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SUMIFS(RAB!$F$14:$F$31,RAB!$C$14:$C$31,C768)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SUMIFS(RAB!$F$14:$F$31,RAB!$C$14:$C$31,C769)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SUMIFS(RAB!$F$14:$F$31,RAB!$C$14:$C$31,C770)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SUMIFS(RAB!$F$14:$F$31,RAB!$C$14:$C$31,C771)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SUMIFS(RAB!$F$14:$F$31,RAB!$C$14:$C$31,C772)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SUMIFS(RAB!$F$14:$F$31,RAB!$C$14:$C$31,C773)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SUMIFS(RAB!$F$14:$F$31,RAB!$C$14:$C$31,C774)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SUMIFS(RAB!$F$14:$F$31,RAB!$C$14:$C$31,C775)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SUMIFS(RAB!$F$14:$F$31,RAB!$C$14:$C$31,C776)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SUMIFS(RAB!$F$14:$F$31,RAB!$C$14:$C$31,C777)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SUMIFS(RAB!$F$14:$F$31,RAB!$C$14:$C$31,C778)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SUMIFS(RAB!$F$14:$F$31,RAB!$C$14:$C$31,C779)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SUMIFS(RAB!$F$14:$F$31,RAB!$C$14:$C$31,C780)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SUMIFS(RAB!$F$14:$F$31,RAB!$C$14:$C$31,C781)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SUMIFS(RAB!$F$14:$F$31,RAB!$C$14:$C$31,C782)</f>
        <v>1</v>
      </c>
      <c r="E782" s="26">
        <f t="shared" ca="1" si="34"/>
        <v>1</v>
      </c>
      <c r="F782" s="26">
        <f ca="1">IF(D782=0,0,SUM($E$713:E782))</f>
        <v>1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SUMIFS(RAB!$F$14:$F$31,RAB!$C$14:$C$31,C783)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SUMIFS(RAB!$F$14:$F$31,RAB!$C$14:$C$31,C784)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SUMIFS(RAB!$F$14:$F$31,RAB!$C$14:$C$31,C785)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SUMIFS(RAB!$F$14:$F$31,RAB!$C$14:$C$31,C786)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SUMIFS(RAB!$F$14:$F$31,RAB!$C$14:$C$31,C787)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SUMIFS(RAB!$F$14:$F$31,RAB!$C$14:$C$31,C788)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SUMIFS(RAB!$F$14:$F$31,RAB!$C$14:$C$31,C789)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SUMIFS(RAB!$F$14:$F$31,RAB!$C$14:$C$31,C790)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SUMIFS(RAB!$F$14:$F$31,RAB!$C$14:$C$31,C791)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SUMIFS(RAB!$F$14:$F$31,RAB!$C$14:$C$31,C792)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SUMIFS(RAB!$F$14:$F$31,RAB!$C$14:$C$31,C793)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SUMIFS(RAB!$F$14:$F$31,RAB!$C$14:$C$31,C794)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SUMIFS(RAB!$F$14:$F$31,RAB!$C$14:$C$31,C795)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SUMIFS(RAB!$F$14:$F$31,RAB!$C$14:$C$31,C796)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SUMIFS(RAB!$F$14:$F$31,RAB!$C$14:$C$31,C797)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SUMIFS(RAB!$F$14:$F$31,RAB!$C$14:$C$31,C798)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SUMIFS(RAB!$F$14:$F$31,RAB!$C$14:$C$31,C799)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SUMIFS(RAB!$F$14:$F$31,RAB!$C$14:$C$31,C800)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SUMIFS(RAB!$F$14:$F$31,RAB!$C$14:$C$31,C801)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SUMIFS(RAB!$F$14:$F$31,RAB!$C$14:$C$31,C802)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SUMIFS(RAB!$F$14:$F$31,RAB!$C$14:$C$31,C803)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SUMIFS(RAB!$F$14:$F$31,RAB!$C$14:$C$31,C804)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SUMIFS(RAB!$F$14:$F$31,RAB!$C$14:$C$31,C805)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SUMIFS(RAB!$F$14:$F$31,RAB!$C$14:$C$31,C806)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SUMIFS(RAB!$F$14:$F$31,RAB!$C$14:$C$31,C807)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SUMIFS(RAB!$F$14:$F$31,RAB!$C$14:$C$31,C808)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SUMIFS(RAB!$F$14:$F$31,RAB!$C$14:$C$31,C809)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SUMIFS(RAB!$F$14:$F$31,RAB!$C$14:$C$31,C810)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SUMIFS(RAB!$F$14:$F$31,RAB!$C$14:$C$31,C811)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SUMIFS(RAB!$F$14:$F$31,RAB!$C$14:$C$31,C812)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SUMIFS(RAB!$F$14:$F$31,RAB!$C$14:$C$31,C813)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SUMIFS(RAB!$F$14:$F$31,RAB!$C$14:$C$31,C814)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SUMIFS(RAB!$F$14:$F$31,RAB!$C$14:$C$31,C815)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SUMIFS(RAB!$F$14:$F$31,RAB!$C$14:$C$31,C816)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SUMIFS(RAB!$F$14:$F$31,RAB!$C$14:$C$31,C817)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SUMIFS(RAB!$F$14:$F$31,RAB!$C$14:$C$31,C818)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SUMIFS(RAB!$F$14:$F$31,RAB!$C$14:$C$31,C819)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SUMIFS(RAB!$F$14:$F$31,RAB!$C$14:$C$31,C820)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SUMIFS(RAB!$F$14:$F$31,RAB!$C$14:$C$31,C821)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SUMIFS(RAB!$F$14:$F$31,RAB!$C$14:$C$31,C822)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SUMIFS(RAB!$F$14:$F$31,RAB!$C$14:$C$31,C823)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SUMIFS(RAB!$F$14:$F$31,RAB!$C$14:$C$31,C824)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SUMIFS(RAB!$F$14:$F$31,RAB!$C$14:$C$31,C825)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SUMIFS(RAB!$F$14:$F$31,RAB!$C$14:$C$31,C826)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SUMIFS(RAB!$F$14:$F$31,RAB!$C$14:$C$31,C827)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SUMIFS(RAB!$F$14:$F$31,RAB!$C$14:$C$31,C828)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SUMIFS(RAB!$F$14:$F$31,RAB!$C$14:$C$31,C829)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SUMIFS(RAB!$F$14:$F$31,RAB!$C$14:$C$31,C830)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SUMIFS(RAB!$F$14:$F$31,RAB!$C$14:$C$31,C831)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SUMIFS(RAB!$F$14:$F$31,RAB!$C$14:$C$31,C832)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SUMIFS(RAB!$F$14:$F$31,RAB!$C$14:$C$31,C833)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SUMIFS(RAB!$F$14:$F$31,RAB!$C$14:$C$31,C834)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SUMIFS(RAB!$F$14:$F$31,RAB!$C$14:$C$31,C835)</f>
        <v>10</v>
      </c>
      <c r="E835" s="26">
        <f t="shared" ca="1" si="34"/>
        <v>1</v>
      </c>
      <c r="F835" s="26">
        <f ca="1">IF(D835=0,0,SUM($E$713:E835))</f>
        <v>2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SUMIFS(RAB!$F$14:$F$31,RAB!$C$14:$C$31,C836)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SUMIFS(RAB!$F$14:$F$31,RAB!$C$14:$C$31,C837)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SUMIFS(RAB!$F$14:$F$31,RAB!$C$14:$C$31,C838)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SUMIFS(RAB!$F$14:$F$31,RAB!$C$14:$C$31,C839)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SUMIFS(RAB!$F$14:$F$31,RAB!$C$14:$C$31,C840)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SUMIFS(RAB!$F$14:$F$31,RAB!$C$14:$C$31,C841)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SUMIFS(RAB!$F$14:$F$31,RAB!$C$14:$C$31,C842)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SUMIFS(RAB!$F$14:$F$31,RAB!$C$14:$C$31,C843)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SUMIFS(RAB!$F$14:$F$31,RAB!$C$14:$C$31,C844)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SUMIFS(RAB!$F$14:$F$31,RAB!$C$14:$C$31,C845)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SUMIFS(RAB!$F$14:$F$31,RAB!$C$14:$C$31,C846)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SUMIFS(RAB!$F$14:$F$31,RAB!$C$14:$C$31,C847)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SUMIFS(RAB!$F$14:$F$31,RAB!$C$14:$C$31,C848)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SUMIFS(RAB!$F$14:$F$31,RAB!$C$14:$C$31,C849)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SUMIFS(RAB!$F$14:$F$31,RAB!$C$14:$C$31,C850)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SUMIFS(RAB!$F$14:$F$31,RAB!$C$14:$C$31,C851)</f>
        <v>1</v>
      </c>
      <c r="E851" s="26">
        <f t="shared" ca="1" si="35"/>
        <v>1</v>
      </c>
      <c r="F851" s="26">
        <f ca="1">IF(D851=0,0,SUM($E$713:E851))</f>
        <v>3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SUMIFS(RAB!$F$14:$F$31,RAB!$C$14:$C$31,C852)</f>
        <v>1</v>
      </c>
      <c r="E852" s="26">
        <f t="shared" ca="1" si="35"/>
        <v>1</v>
      </c>
      <c r="F852" s="26">
        <f ca="1">IF(D852=0,0,SUM($E$713:E852))</f>
        <v>4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SUMIFS(RAB!$F$14:$F$31,RAB!$C$14:$C$31,C853)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SUMIFS(RAB!$F$14:$F$31,RAB!$C$14:$C$31,C854)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SUMIFS(RAB!$F$14:$F$31,RAB!$C$14:$C$31,C855)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SUMIFS(RAB!$F$14:$F$31,RAB!$C$14:$C$31,C856)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SUMIFS(RAB!$F$14:$F$31,RAB!$C$14:$C$31,C857)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SUMIFS(RAB!$F$14:$F$31,RAB!$C$14:$C$31,C858)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SUMIFS(RAB!$F$14:$F$31,RAB!$C$14:$C$31,C859)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SUMIFS(RAB!$F$14:$F$31,RAB!$C$14:$C$31,C860)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SUMIFS(RAB!$F$14:$F$31,RAB!$C$14:$C$31,C861)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SUMIFS(RAB!$F$14:$F$31,RAB!$C$14:$C$31,C862)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SUMIFS(RAB!$F$14:$F$31,RAB!$C$14:$C$31,C863)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SUMIFS(RAB!$F$14:$F$31,RAB!$C$14:$C$31,C864)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SUMIFS(RAB!$F$14:$F$31,RAB!$C$14:$C$31,C865)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SUMIFS(RAB!$F$14:$F$31,RAB!$C$14:$C$31,C866)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SUMIFS(RAB!$F$14:$F$31,RAB!$C$14:$C$31,C867)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SUMIFS(RAB!$F$14:$F$31,RAB!$C$14:$C$31,C868)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SUMIFS(RAB!$F$14:$F$31,RAB!$C$14:$C$31,C869)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SUMIFS(RAB!$F$14:$F$31,RAB!$C$14:$C$31,C870)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SUMIFS(RAB!$F$14:$F$31,RAB!$C$14:$C$31,C871)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SUMIFS(RAB!$F$14:$F$31,RAB!$C$14:$C$31,C872)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SUMIFS(RAB!$F$14:$F$31,RAB!$C$14:$C$31,C873)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SUMIFS(RAB!$F$14:$F$31,RAB!$C$14:$C$31,C874)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SUMIFS(RAB!$F$14:$F$31,RAB!$C$14:$C$31,C875)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SUMIFS(RAB!$F$14:$F$31,RAB!$C$14:$C$31,C876)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SUMIFS(RAB!$F$14:$F$31,RAB!$C$14:$C$31,C877)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SUMIFS(RAB!$F$14:$F$31,RAB!$C$14:$C$31,C878)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SUMIFS(RAB!$F$14:$F$31,RAB!$C$14:$C$31,C879)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SUMIFS(RAB!$F$14:$F$31,RAB!$C$14:$C$31,C880)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SUMIFS(RAB!$F$14:$F$31,RAB!$C$14:$C$31,C881)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SUMIFS(RAB!$F$14:$F$31,RAB!$C$14:$C$31,C882)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SUMIFS(RAB!$F$14:$F$31,RAB!$C$14:$C$31,C883)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SUMIFS(RAB!$F$14:$F$31,RAB!$C$14:$C$31,C884)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SUMIFS(RAB!$F$14:$F$31,RAB!$C$14:$C$31,C885)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SUMIFS(RAB!$F$14:$F$31,RAB!$C$14:$C$31,C886)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SUMIFS(RAB!$F$14:$F$31,RAB!$C$14:$C$31,C887)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SUMIFS(RAB!$F$14:$F$31,RAB!$C$14:$C$31,C888)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SUMIFS(RAB!$F$14:$F$31,RAB!$C$14:$C$31,C889)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SUMIFS(RAB!$F$14:$F$31,RAB!$C$14:$C$31,C890)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SUMIFS(RAB!$F$14:$F$31,RAB!$C$14:$C$31,C891)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SUMIFS(RAB!$F$14:$F$31,RAB!$C$14:$C$31,C892)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SUMIFS(RAB!$F$14:$F$31,RAB!$C$14:$C$31,C893)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SUMIFS(RAB!$F$14:$F$31,RAB!$C$14:$C$31,C894)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SUMIFS(RAB!$F$14:$F$31,RAB!$C$14:$C$31,C895)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SUMIFS(RAB!$F$14:$F$31,RAB!$C$14:$C$31,C896)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SUMIFS(RAB!$F$14:$F$31,RAB!$C$14:$C$31,C897)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SUMIFS(RAB!$F$14:$F$31,RAB!$C$14:$C$31,C898)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SUMIFS(RAB!$F$14:$F$31,RAB!$C$14:$C$31,C899)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SUMIFS(RAB!$F$14:$F$31,RAB!$C$14:$C$31,C900)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SUMIFS(RAB!$F$14:$F$31,RAB!$C$14:$C$31,C901)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SUMIFS(RAB!$F$14:$F$31,RAB!$C$14:$C$31,C902)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SUMIFS(RAB!$F$14:$F$31,RAB!$C$14:$C$31,C903)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SUMIFS(RAB!$F$14:$F$31,RAB!$C$14:$C$31,C904)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SUMIFS(RAB!$F$14:$F$31,RAB!$C$14:$C$31,C905)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SUMIFS(RAB!$F$14:$F$31,RAB!$C$14:$C$31,C906)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SUMIFS(RAB!$F$14:$F$31,RAB!$C$14:$C$31,C907)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SUMIFS(RAB!$F$14:$F$31,RAB!$C$14:$C$31,C908)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SUMIFS(RAB!$F$14:$F$31,RAB!$C$14:$C$31,C909)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SUMIFS(RAB!$F$14:$F$31,RAB!$C$14:$C$31,C910)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SUMIFS(RAB!$F$14:$F$31,RAB!$C$14:$C$31,C911)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SUMIFS(RAB!$F$14:$F$31,RAB!$C$14:$C$31,C912)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SUMIFS(RAB!$F$14:$F$31,RAB!$C$14:$C$31,C913)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SUMIFS(RAB!$F$14:$F$31,RAB!$C$14:$C$31,C914)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SUMIFS(RAB!$F$14:$F$31,RAB!$C$14:$C$31,C915)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SUMIFS(RAB!$F$14:$F$31,RAB!$C$14:$C$31,C916)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SUMIFS(RAB!$F$14:$F$31,RAB!$C$14:$C$31,C917)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SUMIFS(RAB!$F$14:$F$31,RAB!$C$14:$C$31,C918)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SUMIFS(RAB!$F$14:$F$31,RAB!$C$14:$C$31,C919)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SUMIFS(RAB!$F$14:$F$31,RAB!$C$14:$C$31,C920)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SUMIFS(RAB!$F$14:$F$31,RAB!$C$14:$C$31,C921)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SUMIFS(RAB!$F$14:$F$31,RAB!$C$14:$C$31,C922)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SUMIFS(RAB!$F$14:$F$31,RAB!$C$14:$C$31,C923)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SUMIFS(RAB!$F$14:$F$31,RAB!$C$14:$C$31,C924)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SUMIFS(RAB!$F$14:$F$31,RAB!$C$14:$C$31,C925)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SUMIFS(RAB!$F$14:$F$31,RAB!$C$14:$C$31,C926)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SUMIFS(RAB!$F$14:$F$31,RAB!$C$14:$C$31,C927)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SUMIFS(RAB!$F$14:$F$31,RAB!$C$14:$C$31,C928)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SUMIFS(RAB!$F$14:$F$31,RAB!$C$14:$C$31,C929)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SUMIFS(RAB!$F$14:$F$31,RAB!$C$14:$C$31,C930)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SUMIFS(RAB!$F$14:$F$31,RAB!$C$14:$C$31,C931)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SUMIFS(RAB!$F$14:$F$31,RAB!$C$14:$C$31,C932)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SUMIFS(RAB!$F$14:$F$31,RAB!$C$14:$C$31,C933)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SUMIFS(RAB!$F$14:$F$31,RAB!$C$14:$C$31,C934)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SUMIFS(RAB!$F$14:$F$31,RAB!$C$14:$C$31,C935)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SUMIFS(RAB!$F$14:$F$31,RAB!$C$14:$C$31,C936)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SUMIFS(RAB!$F$14:$F$31,RAB!$C$14:$C$31,C937)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SUMIFS(RAB!$F$14:$F$31,RAB!$C$14:$C$31,C938)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SUMIFS(RAB!$F$14:$F$31,RAB!$C$14:$C$31,C939)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SUMIFS(RAB!$F$14:$F$31,RAB!$C$14:$C$31,C940)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SUMIFS(RAB!$F$14:$F$31,RAB!$C$14:$C$31,C941)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SUMIFS(RAB!$F$14:$F$31,RAB!$C$14:$C$31,C942)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SUMIFS(RAB!$F$14:$F$31,RAB!$C$14:$C$31,C943)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SUMIFS(RAB!$F$14:$F$31,RAB!$C$14:$C$31,C944)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SUMIFS(RAB!$F$14:$F$31,RAB!$C$14:$C$31,C945)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SUMIFS(RAB!$F$14:$F$31,RAB!$C$14:$C$31,C946)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SUMIFS(RAB!$F$14:$F$31,RAB!$C$14:$C$31,C947)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SUMIFS(RAB!$F$14:$F$31,RAB!$C$14:$C$31,C948)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SUMIFS(RAB!$F$14:$F$31,RAB!$C$14:$C$31,C949)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SUMIFS(RAB!$F$14:$F$31,RAB!$C$14:$C$31,C950)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SUMIFS(RAB!$F$14:$F$31,RAB!$C$14:$C$31,C951)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SUMIFS(RAB!$F$14:$F$31,RAB!$C$14:$C$31,C952)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SUMIFS(RAB!$F$14:$F$31,RAB!$C$14:$C$31,C953)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SUMIFS(RAB!$F$14:$F$31,RAB!$C$14:$C$31,C954)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SUMIFS(RAB!$F$14:$F$31,RAB!$C$14:$C$31,C955)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SUMIFS(RAB!$F$14:$F$31,RAB!$C$14:$C$31,C956)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SUMIFS(RAB!$F$14:$F$31,RAB!$C$14:$C$31,C957)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SUMIFS(RAB!$F$14:$F$31,RAB!$C$14:$C$31,C958)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SUMIFS(RAB!$F$14:$F$31,RAB!$C$14:$C$31,C959)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SUMIFS(RAB!$F$14:$F$31,RAB!$C$14:$C$31,C960)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SUMIFS(RAB!$F$14:$F$31,RAB!$C$14:$C$31,C961)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SUMIFS(RAB!$F$14:$F$31,RAB!$C$14:$C$31,C962)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SUMIFS(RAB!$F$14:$F$31,RAB!$C$14:$C$31,C963)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SUMIFS(RAB!$F$14:$F$31,RAB!$C$14:$C$31,C964)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SUMIFS(RAB!$F$14:$F$31,RAB!$C$14:$C$31,C965)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SUMIFS(RAB!$F$14:$F$31,RAB!$C$14:$C$31,C966)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SUMIFS(RAB!$F$14:$F$31,RAB!$C$14:$C$31,C967)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SUMIFS(RAB!$F$14:$F$31,RAB!$C$14:$C$31,C968)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SUMIFS(RAB!$F$14:$F$31,RAB!$C$14:$C$31,C969)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SUMIFS(RAB!$F$14:$F$31,RAB!$C$14:$C$31,C970)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SUMIFS(RAB!$F$14:$F$31,RAB!$C$14:$C$31,C971)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SUMIFS(RAB!$F$14:$F$31,RAB!$C$14:$C$31,C972)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SUMIFS(RAB!$F$14:$F$31,RAB!$C$14:$C$31,C973)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SUMIFS(RAB!$F$14:$F$31,RAB!$C$14:$C$31,C974)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SUMIFS(RAB!$F$14:$F$31,RAB!$C$14:$C$31,C975)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SUMIFS(RAB!$F$14:$F$31,RAB!$C$14:$C$31,C976)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SUMIFS(RAB!$F$14:$F$31,RAB!$C$14:$C$31,C977)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SUMIFS(RAB!$F$14:$F$31,RAB!$C$14:$C$31,C978)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SUMIFS(RAB!$F$14:$F$31,RAB!$C$14:$C$31,C979)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SUMIFS(RAB!$F$14:$F$31,RAB!$C$14:$C$31,C980)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SUMIFS(RAB!$F$14:$F$31,RAB!$C$14:$C$31,C981)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SUMIFS(RAB!$F$14:$F$31,RAB!$C$14:$C$31,C982)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SUMIFS(RAB!$F$14:$F$31,RAB!$C$14:$C$31,C983)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SUMIFS(RAB!$F$14:$F$31,RAB!$C$14:$C$31,C984)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SUMIFS(RAB!$F$14:$F$31,RAB!$C$14:$C$31,C985)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SUMIFS(RAB!$F$14:$F$31,RAB!$C$14:$C$31,C986)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SUMIFS(RAB!$F$14:$F$31,RAB!$C$14:$C$31,C987)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SUMIFS(RAB!$F$14:$F$31,RAB!$C$14:$C$31,C988)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SUMIFS(RAB!$F$14:$F$31,RAB!$C$14:$C$31,C989)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SUMIFS(RAB!$F$14:$F$31,RAB!$C$14:$C$31,C990)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SUMIFS(RAB!$F$14:$F$31,RAB!$C$14:$C$31,C991)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SUMIFS(RAB!$F$14:$F$31,RAB!$C$14:$C$31,C992)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SUMIFS(RAB!$F$14:$F$31,RAB!$C$14:$C$31,C993)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SUMIFS(RAB!$F$14:$F$31,RAB!$C$14:$C$31,C994)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SUMIFS(RAB!$F$14:$F$31,RAB!$C$14:$C$31,C995)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SUMIFS(RAB!$F$14:$F$31,RAB!$C$14:$C$31,C996)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SUMIFS(RAB!$F$14:$F$31,RAB!$C$14:$C$31,C997)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SUMIFS(RAB!$F$14:$F$31,RAB!$C$14:$C$31,C998)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SUMIFS(RAB!$F$14:$F$31,RAB!$C$14:$C$31,C999)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SUMIFS(RAB!$F$14:$F$31,RAB!$C$14:$C$31,C1000)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SUMIFS(RAB!$F$14:$F$31,RAB!$C$14:$C$31,C1001)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SUMIFS(RAB!$F$14:$F$31,RAB!$C$14:$C$31,C1002)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SUMIFS(RAB!$F$14:$F$31,RAB!$C$14:$C$31,C1003)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SUMIFS(RAB!$F$14:$F$31,RAB!$C$14:$C$31,C1004)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SUMIFS(RAB!$F$14:$F$31,RAB!$C$14:$C$31,C1005)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SUMIFS(RAB!$F$14:$F$31,RAB!$C$14:$C$31,C1006)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SUMIFS(RAB!$F$14:$F$31,RAB!$C$14:$C$31,C1007)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SUMIFS(RAB!$F$14:$F$31,RAB!$C$14:$C$31,C1008)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SUMIFS(RAB!$F$14:$F$31,RAB!$C$14:$C$31,C1009)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SUMIFS(RAB!$F$14:$F$31,RAB!$C$14:$C$31,C1010)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SUMIFS(RAB!$F$14:$F$31,RAB!$C$14:$C$31,C1011)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SUMIFS(RAB!$F$14:$F$31,RAB!$C$14:$C$31,C1012)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SUMIFS(RAB!$F$14:$F$31,RAB!$C$14:$C$31,C1013)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SUMIFS(RAB!$F$14:$F$31,RAB!$C$14:$C$31,C1014)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SUMIFS(RAB!$F$14:$F$31,RAB!$C$14:$C$31,C1015)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SUMIFS(RAB!$F$14:$F$31,RAB!$C$14:$C$31,C1016)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SUMIFS(RAB!$F$14:$F$31,RAB!$C$14:$C$31,C1017)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SUMIFS(RAB!$F$14:$F$31,RAB!$C$14:$C$31,C1018)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SUMIFS(RAB!$F$14:$F$31,RAB!$C$14:$C$31,C1019)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SUMIFS(RAB!$F$14:$F$31,RAB!$C$14:$C$31,C1020)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SUMIFS(RAB!$F$14:$F$31,RAB!$C$14:$C$31,C1021)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SUMIFS(RAB!$F$14:$F$31,RAB!$C$14:$C$31,C1022)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SUMIFS(RAB!$F$14:$F$31,RAB!$C$14:$C$31,C1023)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SUMIFS(RAB!$F$14:$F$31,RAB!$C$14:$C$31,C1024)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SUMIFS(RAB!$F$14:$F$31,RAB!$C$14:$C$31,C1025)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SUMIFS(RAB!$F$14:$F$31,RAB!$C$14:$C$31,C1026)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SUMIFS(RAB!$F$14:$F$31,RAB!$C$14:$C$31,C1027)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SUMIFS(RAB!$F$14:$F$31,RAB!$C$14:$C$31,C1028)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SUMIFS(RAB!$F$14:$F$31,RAB!$C$14:$C$31,C1029)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SUMIFS(RAB!$F$14:$F$31,RAB!$C$14:$C$31,C1030)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SUMIFS(RAB!$F$14:$F$31,RAB!$C$14:$C$31,C1031)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SUMIFS(RAB!$F$14:$F$31,RAB!$C$14:$C$31,C1032)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SUMIFS(RAB!$F$14:$F$31,RAB!$C$14:$C$31,C1033)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SUMIFS(RAB!$F$14:$F$31,RAB!$C$14:$C$31,C1034)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SUMIFS(RAB!$F$14:$F$31,RAB!$C$14:$C$31,C1035)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SUMIFS(RAB!$F$14:$F$31,RAB!$C$14:$C$31,C1036)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SUMIFS(RAB!$F$14:$F$31,RAB!$C$14:$C$31,C1037)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SUMIFS(RAB!$F$14:$F$31,RAB!$C$14:$C$31,C1038)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SUMIFS(RAB!$F$14:$F$31,RAB!$C$14:$C$31,C1039)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SUMIFS(RAB!$F$14:$F$31,RAB!$C$14:$C$31,C1040)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SUMIFS(RAB!$F$14:$F$31,RAB!$C$14:$C$31,C1041)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SUMIFS(RAB!$F$14:$F$31,RAB!$C$14:$C$31,C1042)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SUMIFS(RAB!$F$14:$F$31,RAB!$C$14:$C$31,C1043)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SUMIFS(RAB!$F$14:$F$31,RAB!$C$14:$C$31,C1044)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SUMIFS(RAB!$F$14:$F$31,RAB!$C$14:$C$31,C1045)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SUMIFS(RAB!$F$14:$F$31,RAB!$C$14:$C$31,C1046)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SUMIFS(RAB!$F$14:$F$31,RAB!$C$14:$C$31,C1047)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SUMIFS(RAB!$F$14:$F$31,RAB!$C$14:$C$31,C1048)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SUMIFS(RAB!$F$14:$F$31,RAB!$C$14:$C$31,C1049)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SUMIFS(RAB!$F$14:$F$31,RAB!$C$14:$C$31,C1050)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SUMIFS(RAB!$F$14:$F$31,RAB!$C$14:$C$31,C1051)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SUMIFS(RAB!$F$14:$F$31,RAB!$C$14:$C$31,C1052)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SUMIFS(RAB!$F$14:$F$31,RAB!$C$14:$C$31,C1053)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SUMIFS(RAB!$F$14:$F$31,RAB!$C$14:$C$31,C1054)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SUMIFS(RAB!$F$14:$F$31,RAB!$C$14:$C$31,C1055)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SUMIFS(RAB!$F$14:$F$31,RAB!$C$14:$C$31,C1056)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SUMIFS(RAB!$F$14:$F$31,RAB!$C$14:$C$31,C1057)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SUMIFS(RAB!$F$14:$F$31,RAB!$C$14:$C$31,C1058)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SUMIFS(RAB!$F$14:$F$31,RAB!$C$14:$C$31,C1059)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SUMIFS(RAB!$F$14:$F$31,RAB!$C$14:$C$31,C1060)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SUMIFS(RAB!$F$14:$F$31,RAB!$C$14:$C$31,C1061)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SUMIFS(RAB!$F$14:$F$31,RAB!$C$14:$C$31,C1062)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SUMIFS(RAB!$F$14:$F$31,RAB!$C$14:$C$31,C1063)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SUMIFS(RAB!$F$14:$F$31,RAB!$C$14:$C$31,C1064)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SUMIFS(RAB!$F$14:$F$31,RAB!$C$14:$C$31,C1065)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SUMIFS(RAB!$F$14:$F$31,RAB!$C$14:$C$31,C1066)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SUMIFS(RAB!$F$14:$F$31,RAB!$C$14:$C$31,C1067)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SUMIFS(RAB!$F$14:$F$31,RAB!$C$14:$C$31,C1068)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SUMIFS(RAB!$F$14:$F$31,RAB!$C$14:$C$31,C1069)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SUMIFS(RAB!$F$14:$F$31,RAB!$C$14:$C$31,C1070)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SUMIFS(RAB!$F$14:$F$31,RAB!$C$14:$C$31,C1071)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SUMIFS(RAB!$F$14:$F$31,RAB!$C$14:$C$31,C1072)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SUMIFS(RAB!$F$14:$F$31,RAB!$C$14:$C$31,C1073)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SUMIFS(RAB!$F$14:$F$31,RAB!$C$14:$C$31,C1074)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SUMIFS(RAB!$F$14:$F$31,RAB!$C$14:$C$31,C1075)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SUMIFS(RAB!$F$14:$F$31,RAB!$C$14:$C$31,C1076)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SUMIFS(RAB!$F$14:$F$31,RAB!$C$14:$C$31,C1077)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SUMIFS(RAB!$F$14:$F$31,RAB!$C$14:$C$31,C1078)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SUMIFS(RAB!$F$14:$F$31,RAB!$C$14:$C$31,C1079)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SUMIFS(RAB!$F$14:$F$31,RAB!$C$14:$C$31,C1080)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SUMIFS(RAB!$F$14:$F$31,RAB!$C$14:$C$31,C1081)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SUMIFS(RAB!$F$14:$F$31,RAB!$C$14:$C$31,C1082)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SUMIFS(RAB!$F$14:$F$31,RAB!$C$14:$C$31,C1083)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SUMIFS(RAB!$F$14:$F$31,RAB!$C$14:$C$31,C1084)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SUMIFS(RAB!$F$14:$F$31,RAB!$C$14:$C$31,C1085)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SUMIFS(RAB!$F$14:$F$31,RAB!$C$14:$C$31,C1086)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SUMIFS(RAB!$F$14:$F$31,RAB!$C$14:$C$31,C1087)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SUMIFS(RAB!$F$14:$F$31,RAB!$C$14:$C$31,C1088)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SUMIFS(RAB!$F$14:$F$31,RAB!$C$14:$C$31,C1089)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SUMIFS(RAB!$F$14:$F$31,RAB!$C$14:$C$31,C1090)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SUMIFS(RAB!$F$14:$F$31,RAB!$C$14:$C$31,C1091)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SUMIFS(RAB!$F$14:$F$31,RAB!$C$14:$C$31,C1092)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SUMIFS(RAB!$F$14:$F$31,RAB!$C$14:$C$31,C1093)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SUMIFS(RAB!$F$14:$F$31,RAB!$C$14:$C$31,C1094)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SUMIFS(RAB!$F$14:$F$31,RAB!$C$14:$C$31,C1095)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SUMIFS(RAB!$F$14:$F$31,RAB!$C$14:$C$31,C1096)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SUMIFS(RAB!$F$14:$F$31,RAB!$C$14:$C$31,C1097)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SUMIFS(RAB!$F$14:$F$31,RAB!$C$14:$C$31,C1098)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SUMIFS(RAB!$F$14:$F$31,RAB!$C$14:$C$31,C1099)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SUMIFS(RAB!$F$14:$F$31,RAB!$C$14:$C$31,C1100)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SUMIFS(RAB!$F$14:$F$31,RAB!$C$14:$C$31,C1101)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SUMIFS(RAB!$F$14:$F$31,RAB!$C$14:$C$31,C1102)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SUMIFS(RAB!$F$14:$F$31,RAB!$C$14:$C$31,C1103)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SUMIFS(RAB!$F$14:$F$31,RAB!$C$14:$C$31,C1104)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SUMIFS(RAB!$F$14:$F$31,RAB!$C$14:$C$31,C1105)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SUMIFS(RAB!$F$14:$F$31,RAB!$C$14:$C$31,C1106)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SUMIFS(RAB!$F$14:$F$31,RAB!$C$14:$C$31,C1107)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SUMIFS(RAB!$F$14:$F$31,RAB!$C$14:$C$31,C1108)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SUMIFS(RAB!$F$14:$F$31,RAB!$C$14:$C$31,C1109)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SUMIFS(RAB!$F$14:$F$31,RAB!$C$14:$C$31,C1110)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SUMIFS(RAB!$F$14:$F$31,RAB!$C$14:$C$31,C1111)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SUMIFS(RAB!$F$14:$F$31,RAB!$C$14:$C$31,C1112)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SUMIFS(RAB!$F$14:$F$31,RAB!$C$14:$C$31,C1113)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SUMIFS(RAB!$F$14:$F$31,RAB!$C$14:$C$31,C1114)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SUMIFS(RAB!$F$14:$F$31,RAB!$C$14:$C$31,C1115)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SUMIFS(RAB!$F$14:$F$31,RAB!$C$14:$C$31,C1116)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SUMIFS(RAB!$F$14:$F$31,RAB!$C$14:$C$31,C1117)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SUMIFS(RAB!$F$14:$F$31,RAB!$C$14:$C$31,C1118)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SUMIFS(RAB!$F$14:$F$31,RAB!$C$14:$C$31,C1119)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SUMIFS(RAB!$F$14:$F$31,RAB!$C$14:$C$31,C1120)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SUMIFS(RAB!$F$14:$F$31,RAB!$C$14:$C$31,C1121)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SUMIFS(RAB!$F$14:$F$31,RAB!$C$14:$C$31,C1122)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SUMIFS(RAB!$F$14:$F$31,RAB!$C$14:$C$31,C1123)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SUMIFS(RAB!$F$14:$F$31,RAB!$C$14:$C$31,C1124)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SUMIFS(RAB!$F$14:$F$31,RAB!$C$14:$C$31,C1125)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SUMIFS(RAB!$F$14:$F$31,RAB!$C$14:$C$31,C1126)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SUMIFS(RAB!$F$14:$F$31,RAB!$C$14:$C$31,C1127)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SUMIFS(RAB!$F$14:$F$31,RAB!$C$14:$C$31,C1128)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SUMIFS(RAB!$F$14:$F$31,RAB!$C$14:$C$31,C1129)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SUMIFS(RAB!$F$14:$F$31,RAB!$C$14:$C$31,C1130)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SUMIFS(RAB!$F$14:$F$31,RAB!$C$14:$C$31,C1131)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SUMIFS(RAB!$F$14:$F$31,RAB!$C$14:$C$31,C1132)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SUMIFS(RAB!$F$14:$F$31,RAB!$C$14:$C$31,C1133)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SUMIFS(RAB!$F$14:$F$31,RAB!$C$14:$C$31,C1134)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SUMIFS(RAB!$F$14:$F$31,RAB!$C$14:$C$31,C1135)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SUMIFS(RAB!$F$14:$F$31,RAB!$C$14:$C$31,C1136)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SUMIFS(RAB!$F$14:$F$31,RAB!$C$14:$C$31,C1137)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SUMIFS(RAB!$F$14:$F$31,RAB!$C$14:$C$31,C1138)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SUMIFS(RAB!$F$14:$F$31,RAB!$C$14:$C$31,C1139)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SUMIFS(RAB!$F$14:$F$31,RAB!$C$14:$C$31,C1140)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SUMIFS(RAB!$F$14:$F$31,RAB!$C$14:$C$31,C1141)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SUMIFS(RAB!$F$14:$F$31,RAB!$C$14:$C$31,C1142)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SUMIFS(RAB!$F$14:$F$31,RAB!$C$14:$C$31,C1143)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SUMIFS(RAB!$F$14:$F$31,RAB!$C$14:$C$31,C1144)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SUMIFS(RAB!$F$14:$F$31,RAB!$C$14:$C$31,C1145)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SUMIFS(RAB!$F$14:$F$31,RAB!$C$14:$C$31,C1146)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SUMIFS(RAB!$F$14:$F$31,RAB!$C$14:$C$31,C1147)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SUMIFS(RAB!$F$14:$F$31,RAB!$C$14:$C$31,C1148)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SUMIFS(RAB!$F$14:$F$31,RAB!$C$14:$C$31,C1149)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SUMIFS(RAB!$F$14:$F$31,RAB!$C$14:$C$31,C1150)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SUMIFS(RAB!$F$14:$F$31,RAB!$C$14:$C$31,C1151)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SUMIFS(RAB!$F$14:$F$31,RAB!$C$14:$C$31,C1152)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SUMIFS(RAB!$F$14:$F$31,RAB!$C$14:$C$31,C1153)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SUMIFS(RAB!$F$14:$F$31,RAB!$C$14:$C$31,C1154)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SUMIFS(RAB!$F$14:$F$31,RAB!$C$14:$C$31,C1155)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SUMIFS(RAB!$F$14:$F$31,RAB!$C$14:$C$31,C1156)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SUMIFS(RAB!$F$14:$F$31,RAB!$C$14:$C$31,C1157)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SUMIFS(RAB!$F$14:$F$31,RAB!$C$14:$C$31,C1158)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SUMIFS(RAB!$F$14:$F$31,RAB!$C$14:$C$31,C1159)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SUMIFS(RAB!$F$14:$F$31,RAB!$C$14:$C$31,C1160)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SUMIFS(RAB!$F$14:$F$31,RAB!$C$14:$C$31,C1161)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SUMIFS(RAB!$F$14:$F$31,RAB!$C$14:$C$31,C1162)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SUMIFS(RAB!$F$14:$F$31,RAB!$C$14:$C$31,C1163)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SUMIFS(RAB!$F$14:$F$31,RAB!$C$14:$C$31,C1164)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SUMIFS(RAB!$F$14:$F$31,RAB!$C$14:$C$31,C1165)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SUMIFS(RAB!$F$14:$F$31,RAB!$C$14:$C$31,C1166)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SUMIFS(RAB!$F$14:$F$31,RAB!$C$14:$C$31,C1167)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SUMIFS(RAB!$F$14:$F$31,RAB!$C$14:$C$31,C1168)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SUMIFS(RAB!$F$14:$F$31,RAB!$C$14:$C$31,C1169)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SUMIFS(RAB!$F$14:$F$31,RAB!$C$14:$C$31,C1170)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SUMIFS(RAB!$F$14:$F$31,RAB!$C$14:$C$31,C1171)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SUMIFS(RAB!$F$14:$F$31,RAB!$C$14:$C$31,C1172)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SUMIFS(RAB!$F$14:$F$31,RAB!$C$14:$C$31,C1173)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SUMIFS(RAB!$F$14:$F$31,RAB!$C$14:$C$31,C1174)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SUMIFS(RAB!$F$14:$F$31,RAB!$C$14:$C$31,C1175)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SUMIFS(RAB!$F$14:$F$31,RAB!$C$14:$C$31,C1176)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SUMIFS(RAB!$F$14:$F$31,RAB!$C$14:$C$31,C1177)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SUMIFS(RAB!$F$14:$F$31,RAB!$C$14:$C$31,C1178)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SUMIFS(RAB!$F$14:$F$31,RAB!$C$14:$C$31,C1179)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SUMIFS(RAB!$F$14:$F$31,RAB!$C$14:$C$31,C1180)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SUMIFS(RAB!$F$14:$F$31,RAB!$C$14:$C$31,C1181)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SUMIFS(RAB!$F$14:$F$31,RAB!$C$14:$C$31,C1182)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SUMIFS(RAB!$F$14:$F$31,RAB!$C$14:$C$31,C1183)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SUMIFS(RAB!$F$14:$F$31,RAB!$C$14:$C$31,C1184)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SUMIFS(RAB!$F$14:$F$31,RAB!$C$14:$C$31,C1185)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SUMIFS(RAB!$F$14:$F$31,RAB!$C$14:$C$31,C1186)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SUMIFS(RAB!$F$14:$F$31,RAB!$C$14:$C$31,C1187)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SUMIFS(RAB!$F$14:$F$31,RAB!$C$14:$C$31,C1188)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SUMIFS(RAB!$F$14:$F$31,RAB!$C$14:$C$31,C1189)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SUMIFS(RAB!$F$14:$F$31,RAB!$C$14:$C$31,C1190)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SUMIFS(RAB!$F$14:$F$31,RAB!$C$14:$C$31,C1191)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SUMIFS(RAB!$F$14:$F$31,RAB!$C$14:$C$31,C1192)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SUMIFS(RAB!$F$14:$F$31,RAB!$C$14:$C$31,C1193)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SUMIFS(RAB!$F$14:$F$31,RAB!$C$14:$C$31,C1194)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SUMIFS(RAB!$F$14:$F$31,RAB!$C$14:$C$31,C1195)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SUMIFS(RAB!$F$14:$F$31,RAB!$C$14:$C$31,C1196)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SUMIFS(RAB!$F$14:$F$31,RAB!$C$14:$C$31,C1197)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SUMIFS(RAB!$F$14:$F$31,RAB!$C$14:$C$31,C1198)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SUMIFS(RAB!$F$14:$F$31,RAB!$C$14:$C$31,C1199)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SUMIFS(RAB!$F$14:$F$31,RAB!$C$14:$C$31,C1200)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SUMIFS(RAB!$F$14:$F$31,RAB!$C$14:$C$31,C1201)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SUMIFS(RAB!$F$14:$F$31,RAB!$C$14:$C$31,C1202)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SUMIFS(RAB!$F$14:$F$31,RAB!$C$14:$C$31,C1203)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SUMIFS(RAB!$F$14:$F$31,RAB!$C$14:$C$31,C1204)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SUMIFS(RAB!$F$14:$F$31,RAB!$C$14:$C$31,C1205)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SUMIFS(RAB!$F$14:$F$31,RAB!$C$14:$C$31,C1206)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SUMIFS(RAB!$F$14:$F$31,RAB!$C$14:$C$31,C1207)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SUMIFS(RAB!$F$14:$F$31,RAB!$C$14:$C$31,C1208)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SUMIFS(RAB!$F$14:$F$31,RAB!$C$14:$C$31,C1209)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SUMIFS(RAB!$F$14:$F$31,RAB!$C$14:$C$31,C1210)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SUMIFS(RAB!$F$14:$F$31,RAB!$C$14:$C$31,C1211)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SUMIFS(RAB!$F$14:$F$31,RAB!$C$14:$C$31,C1212)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SUMIFS(RAB!$F$14:$F$31,RAB!$C$14:$C$31,C1213)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SUMIFS(RAB!$F$14:$F$31,RAB!$C$14:$C$31,C1214)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SUMIFS(RAB!$F$14:$F$31,RAB!$C$14:$C$31,C1215)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SUMIFS(RAB!$F$14:$F$31,RAB!$C$14:$C$31,C1216)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SUMIFS(RAB!$F$14:$F$31,RAB!$C$14:$C$31,C1217)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SUMIFS(RAB!$F$14:$F$31,RAB!$C$14:$C$31,C1218)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SUMIFS(RAB!$F$14:$F$31,RAB!$C$14:$C$31,C1219)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SUMIFS(RAB!$F$14:$F$31,RAB!$C$14:$C$31,C1220)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SUMIFS(RAB!$F$14:$F$31,RAB!$C$14:$C$31,C1221)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SUMIFS(RAB!$F$14:$F$31,RAB!$C$14:$C$31,C1222)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SUMIFS(RAB!$F$14:$F$31,RAB!$C$14:$C$31,C1223)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SUMIFS(RAB!$F$14:$F$31,RAB!$C$14:$C$31,C1224)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SUMIFS(RAB!$F$14:$F$31,RAB!$C$14:$C$31,C1225)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SUMIFS(RAB!$F$14:$F$31,RAB!$C$14:$C$31,C1226)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SUMIFS(RAB!$F$14:$F$31,RAB!$C$14:$C$31,C1227)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SUMIFS(RAB!$F$14:$F$31,RAB!$C$14:$C$31,C1228)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SUMIFS(RAB!$F$14:$F$31,RAB!$C$14:$C$31,C1229)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SUMIFS(RAB!$F$14:$F$31,RAB!$C$14:$C$31,C1230)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SUMIFS(RAB!$F$14:$F$31,RAB!$C$14:$C$31,C1231)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SUMIFS(RAB!$F$14:$F$31,RAB!$C$14:$C$31,C1232)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SUMIFS(RAB!$F$14:$F$31,RAB!$C$14:$C$31,C1233)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SUMIFS(RAB!$F$14:$F$31,RAB!$C$14:$C$31,C1234)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SUMIFS(RAB!$F$14:$F$31,RAB!$C$14:$C$31,C1235)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SUMIFS(RAB!$F$14:$F$31,RAB!$C$14:$C$31,C1236)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SUMIFS(RAB!$F$14:$F$31,RAB!$C$14:$C$31,C1237)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SUMIFS(RAB!$F$14:$F$31,RAB!$C$14:$C$31,C1238)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SUMIFS(RAB!$F$14:$F$31,RAB!$C$14:$C$31,C1239)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SUMIFS(RAB!$F$14:$F$31,RAB!$C$14:$C$31,C1240)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SUMIFS(RAB!$F$14:$F$31,RAB!$C$14:$C$31,C1241)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SUMIFS(RAB!$F$14:$F$31,RAB!$C$14:$C$31,C1242)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SUMIFS(RAB!$F$14:$F$31,RAB!$C$14:$C$31,C1243)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SUMIFS(RAB!$F$14:$F$31,RAB!$C$14:$C$31,C1244)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SUMIFS(RAB!$F$14:$F$31,RAB!$C$14:$C$31,C1245)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SUMIFS(RAB!$F$14:$F$31,RAB!$C$14:$C$31,C1246)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SUMIFS(RAB!$F$14:$F$31,RAB!$C$14:$C$31,C1247)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SUMIFS(RAB!$F$14:$F$31,RAB!$C$14:$C$31,C1248)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SUMIFS(RAB!$F$14:$F$31,RAB!$C$14:$C$31,C1249)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SUMIFS(RAB!$F$14:$F$31,RAB!$C$14:$C$31,C1250)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SUMIFS(RAB!$F$14:$F$31,RAB!$C$14:$C$31,C1251)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SUMIFS(RAB!$F$14:$F$31,RAB!$C$14:$C$31,C1252)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SUMIFS(RAB!$F$14:$F$31,RAB!$C$14:$C$31,C1253)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SUMIFS(RAB!$F$14:$F$31,RAB!$C$14:$C$31,C1254)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SUMIFS(RAB!$F$14:$F$31,RAB!$C$14:$C$31,C1255)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SUMIFS(RAB!$F$14:$F$31,RAB!$C$14:$C$31,C1256)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SUMIFS(RAB!$F$14:$F$31,RAB!$C$14:$C$31,C1257)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SUMIFS(RAB!$F$14:$F$31,RAB!$C$14:$C$31,C1258)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SUMIFS(RAB!$F$14:$F$31,RAB!$C$14:$C$31,C1259)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SUMIFS(RAB!$F$14:$F$31,RAB!$C$14:$C$31,C1260)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SUMIFS(RAB!$F$14:$F$31,RAB!$C$14:$C$31,C1261)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SUMIFS(RAB!$F$14:$F$31,RAB!$C$14:$C$31,C1262)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SUMIFS(RAB!$F$14:$F$31,RAB!$C$14:$C$31,C1263)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SUMIFS(RAB!$F$14:$F$31,RAB!$C$14:$C$31,C1264)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SUMIFS(RAB!$F$14:$F$31,RAB!$C$14:$C$31,C1265)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SUMIFS(RAB!$F$14:$F$31,RAB!$C$14:$C$31,C1266)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SUMIFS(RAB!$F$14:$F$31,RAB!$C$14:$C$31,C1267)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SUMIFS(RAB!$F$14:$F$31,RAB!$C$14:$C$31,C1268)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SUMIFS(RAB!$F$14:$F$31,RAB!$C$14:$C$31,C1269)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SUMIFS(RAB!$F$14:$F$31,RAB!$C$14:$C$31,C1270)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SUMIFS(RAB!$F$14:$F$31,RAB!$C$14:$C$31,C1271)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SUMIFS(RAB!$F$14:$F$31,RAB!$C$14:$C$31,C1272)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SUMIFS(RAB!$F$14:$F$31,RAB!$C$14:$C$31,C1273)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SUMIFS(RAB!$F$14:$F$31,RAB!$C$14:$C$31,C1274)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SUMIFS(RAB!$F$14:$F$31,RAB!$C$14:$C$31,C1275)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SUMIFS(RAB!$F$14:$F$31,RAB!$C$14:$C$31,C1276)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SUMIFS(RAB!$F$14:$F$31,RAB!$C$14:$C$31,C1277)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SUMIFS(RAB!$F$14:$F$31,RAB!$C$14:$C$31,C1278)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SUMIFS(RAB!$F$14:$F$31,RAB!$C$14:$C$31,C1279)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SUMIFS(RAB!$F$14:$F$31,RAB!$C$14:$C$31,C1280)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SUMIFS(RAB!$F$14:$F$31,RAB!$C$14:$C$31,C1281)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SUMIFS(RAB!$F$14:$F$31,RAB!$C$14:$C$31,C1282)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SUMIFS(RAB!$F$14:$F$31,RAB!$C$14:$C$31,C1283)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SUMIFS(RAB!$F$14:$F$31,RAB!$C$14:$C$31,C1284)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SUMIFS(RAB!$F$14:$F$31,RAB!$C$14:$C$31,C1285)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SUMIFS(RAB!$F$14:$F$31,RAB!$C$14:$C$31,C1286)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SUMIFS(RAB!$F$14:$F$31,RAB!$C$14:$C$31,C1287)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SUMIFS(RAB!$F$14:$F$31,RAB!$C$14:$C$31,C1288)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SUMIFS(RAB!$F$14:$F$31,RAB!$C$14:$C$31,C1289)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SUMIFS(RAB!$F$14:$F$31,RAB!$C$14:$C$31,C1290)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SUMIFS(RAB!$F$14:$F$31,RAB!$C$14:$C$31,C1291)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SUMIFS(RAB!$F$14:$F$31,RAB!$C$14:$C$31,C1292)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SUMIFS(RAB!$F$14:$F$31,RAB!$C$14:$C$31,C1293)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SUMIFS(RAB!$F$14:$F$31,RAB!$C$14:$C$31,C1294)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SUMIFS(RAB!$F$14:$F$31,RAB!$C$14:$C$31,C1295)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SUMIFS(RAB!$F$14:$F$31,RAB!$C$14:$C$31,C1296)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SUMIFS(RAB!$F$14:$F$31,RAB!$C$14:$C$31,C1297)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SUMIFS(RAB!$F$14:$F$31,RAB!$C$14:$C$31,C1298)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SUMIFS(RAB!$F$14:$F$31,RAB!$C$14:$C$31,C1299)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SUMIFS(RAB!$F$14:$F$31,RAB!$C$14:$C$31,C1300)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SUMIFS(RAB!$F$14:$F$31,RAB!$C$14:$C$31,C1301)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SUMIFS(RAB!$F$14:$F$31,RAB!$C$14:$C$31,C1302)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SUMIFS(RAB!$F$14:$F$31,RAB!$C$14:$C$31,C1303)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SUMIFS(RAB!$F$14:$F$31,RAB!$C$14:$C$31,C1304)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SUMIFS(RAB!$F$14:$F$31,RAB!$C$14:$C$31,C1305)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SUMIFS(RAB!$F$14:$F$31,RAB!$C$14:$C$31,C1306)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SUMIFS(RAB!$F$14:$F$31,RAB!$C$14:$C$31,C1307)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SUMIFS(RAB!$F$14:$F$31,RAB!$C$14:$C$31,C1308)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SUMIFS(RAB!$F$14:$F$31,RAB!$C$14:$C$31,C1309)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SUMIFS(RAB!$F$14:$F$31,RAB!$C$14:$C$31,C1310)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SUMIFS(RAB!$F$14:$F$31,RAB!$C$14:$C$31,C1311)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SUMIFS(RAB!$F$14:$F$31,RAB!$C$14:$C$31,C1312)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SUMIFS(RAB!$F$14:$F$31,RAB!$C$14:$C$31,C1313)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SUMIFS(RAB!$F$14:$F$31,RAB!$C$14:$C$31,C1314)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SUMIFS(RAB!$F$14:$F$31,RAB!$C$14:$C$31,C1315)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SUMIFS(RAB!$F$14:$F$31,RAB!$C$14:$C$31,C1316)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SUMIFS(RAB!$F$14:$F$31,RAB!$C$14:$C$31,C1317)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SUMIFS(RAB!$F$14:$F$31,RAB!$C$14:$C$31,C1318)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SUMIFS(RAB!$F$14:$F$31,RAB!$C$14:$C$31,C1319)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SUMIFS(RAB!$F$14:$F$31,RAB!$C$14:$C$31,C1320)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7" priority="5" operator="equal">
      <formula>0</formula>
    </cfRule>
  </conditionalFormatting>
  <conditionalFormatting sqref="A10:L65536">
    <cfRule type="cellIs" dxfId="46" priority="1" operator="equal">
      <formula>0</formula>
    </cfRule>
  </conditionalFormatting>
  <conditionalFormatting sqref="C12:C711">
    <cfRule type="cellIs" dxfId="45" priority="66" stopIfTrue="1" operator="equal">
      <formula>0</formula>
    </cfRule>
  </conditionalFormatting>
  <conditionalFormatting sqref="E712:E65536">
    <cfRule type="cellIs" dxfId="44" priority="16" stopIfTrue="1" operator="equal">
      <formula>0</formula>
    </cfRule>
  </conditionalFormatting>
  <conditionalFormatting sqref="G1:G11 E6:E11 E1:E3 H7 H10:H11 F10:F711 G712:G65536">
    <cfRule type="cellIs" dxfId="43" priority="69" stopIfTrue="1" operator="equal">
      <formula>0</formula>
    </cfRule>
  </conditionalFormatting>
  <conditionalFormatting sqref="G12:H711">
    <cfRule type="cellIs" dxfId="42" priority="12" stopIfTrue="1" operator="equal">
      <formula>0</formula>
    </cfRule>
  </conditionalFormatting>
  <conditionalFormatting sqref="I7:K7">
    <cfRule type="cellIs" dxfId="41" priority="4" stopIfTrue="1" operator="equal">
      <formula>0</formula>
    </cfRule>
  </conditionalFormatting>
  <conditionalFormatting sqref="I10:L711">
    <cfRule type="cellIs" dxfId="40" priority="2" stopIfTrue="1" operator="equal">
      <formula>0</formula>
    </cfRule>
  </conditionalFormatting>
  <conditionalFormatting sqref="L1:L6">
    <cfRule type="cellIs" dxfId="39" priority="10" operator="equal">
      <formula>0</formula>
    </cfRule>
  </conditionalFormatting>
  <conditionalFormatting sqref="M1:IV1048576 A8:G9">
    <cfRule type="cellIs" dxfId="3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04" t="s">
        <v>1127</v>
      </c>
      <c r="C4" s="504"/>
      <c r="D4" s="504"/>
      <c r="E4" s="504"/>
      <c r="F4" s="504"/>
      <c r="G4" s="504"/>
      <c r="H4" s="504"/>
      <c r="I4" s="504"/>
      <c r="J4" s="504"/>
      <c r="K4" s="50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8" t="str">
        <f>RAB!G6</f>
        <v>AGR H ALI SA'DI ,H.</v>
      </c>
      <c r="H6" s="528"/>
      <c r="I6" s="528"/>
      <c r="J6" s="528"/>
      <c r="K6" s="52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TANJUNGANYAR , KEC GAJAH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05" t="s">
        <v>0</v>
      </c>
      <c r="C11" s="507" t="s">
        <v>1</v>
      </c>
      <c r="D11" s="510" t="s">
        <v>42</v>
      </c>
      <c r="E11" s="510" t="s">
        <v>43</v>
      </c>
      <c r="F11" s="510" t="s">
        <v>2</v>
      </c>
      <c r="G11" s="512" t="s">
        <v>41</v>
      </c>
      <c r="H11" s="510" t="s">
        <v>3</v>
      </c>
      <c r="I11" s="510"/>
      <c r="J11" s="510"/>
      <c r="K11" s="515"/>
      <c r="M11" s="33"/>
      <c r="N11" s="33"/>
      <c r="O11" s="33"/>
      <c r="P11" s="33"/>
      <c r="R11" s="34"/>
      <c r="S11" s="74"/>
      <c r="T11" s="74"/>
    </row>
    <row r="12" spans="1:21" ht="15" customHeight="1">
      <c r="B12" s="506"/>
      <c r="C12" s="508"/>
      <c r="D12" s="511"/>
      <c r="E12" s="511"/>
      <c r="F12" s="511"/>
      <c r="G12" s="513"/>
      <c r="H12" s="519" t="s">
        <v>46</v>
      </c>
      <c r="I12" s="519" t="s">
        <v>5</v>
      </c>
      <c r="J12" s="511" t="s">
        <v>47</v>
      </c>
      <c r="K12" s="51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06"/>
      <c r="C13" s="509"/>
      <c r="D13" s="511"/>
      <c r="E13" s="511"/>
      <c r="F13" s="511"/>
      <c r="G13" s="514"/>
      <c r="H13" s="520"/>
      <c r="I13" s="520"/>
      <c r="J13" s="511"/>
      <c r="K13" s="51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9" t="s">
        <v>1008</v>
      </c>
      <c r="D38" s="529"/>
      <c r="E38" s="529"/>
      <c r="F38" s="52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0" t="s">
        <v>462</v>
      </c>
      <c r="D39" s="530"/>
      <c r="E39" s="530"/>
      <c r="F39" s="53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1" t="s">
        <v>463</v>
      </c>
      <c r="D40" s="521"/>
      <c r="E40" s="521"/>
      <c r="F40" s="521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2" t="e">
        <f ca="1">"Terbilang : ( "&amp;L42&amp;" Rupiah )"</f>
        <v>#NAME?</v>
      </c>
      <c r="C41" s="523"/>
      <c r="D41" s="523"/>
      <c r="E41" s="523"/>
      <c r="F41" s="523"/>
      <c r="G41" s="523"/>
      <c r="H41" s="523"/>
      <c r="I41" s="523"/>
      <c r="J41" s="523"/>
      <c r="K41" s="524"/>
      <c r="L41" s="44"/>
      <c r="R41" s="58"/>
      <c r="S41" s="58"/>
      <c r="T41" s="58"/>
    </row>
    <row r="42" spans="1:20" s="36" customFormat="1">
      <c r="A42" s="30"/>
      <c r="B42" s="525"/>
      <c r="C42" s="526"/>
      <c r="D42" s="526"/>
      <c r="E42" s="526"/>
      <c r="F42" s="526"/>
      <c r="G42" s="526"/>
      <c r="H42" s="526"/>
      <c r="I42" s="526"/>
      <c r="J42" s="526"/>
      <c r="K42" s="527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6"/>
      <c r="I45" s="516"/>
      <c r="J45" s="517"/>
      <c r="K45" s="51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6"/>
      <c r="I46" s="516"/>
      <c r="J46" s="517"/>
      <c r="K46" s="51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6"/>
      <c r="I47" s="516"/>
      <c r="J47" s="517"/>
      <c r="K47" s="51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6"/>
      <c r="I52" s="516"/>
      <c r="J52" s="517"/>
      <c r="K52" s="51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SUMIFS(RAB!$F$14:$F$31,RAB!$C$14:$C$31,'REKAP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SUMIFS(RAB!$F$14:$F$31,RAB!$C$14:$C$31,'REKAP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SUMIFS(RAB!$F$14:$F$31,RAB!$C$14:$C$31,'REKAP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SUMIFS(RAB!$F$14:$F$31,RAB!$C$14:$C$31,'REKAP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SUMIFS(RAB!$F$14:$F$31,RAB!$C$14:$C$31,'REKAP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SUMIFS(RAB!$F$14:$F$31,RAB!$C$14:$C$31,'REKAP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SUMIFS(RAB!$F$14:$F$31,RAB!$C$14:$C$31,'REKAP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SUMIFS(RAB!$F$14:$F$31,RAB!$C$14:$C$31,'REKAP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SUMIFS(RAB!$F$14:$F$31,RAB!$C$14:$C$31,'REKAP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SUMIFS(RAB!$F$14:$F$31,RAB!$C$14:$C$31,'REKAP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SUMIFS(RAB!$F$14:$F$31,RAB!$C$14:$C$31,'REKAP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SUMIFS(RAB!$F$14:$F$31,RAB!$C$14:$C$31,'REKAP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SUMIFS(RAB!$F$14:$F$31,RAB!$C$14:$C$31,'REKAP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SUMIFS(RAB!$F$14:$F$31,RAB!$C$14:$C$31,'REKAP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SUMIFS(RAB!$F$14:$F$31,RAB!$C$14:$C$31,'REKAP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SUMIFS(RAB!$F$14:$F$31,RAB!$C$14:$C$31,'REKAP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SUMIFS(RAB!$F$14:$F$31,RAB!$C$14:$C$31,'REKAP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SUMIFS(RAB!$F$14:$F$31,RAB!$C$14:$C$31,'REKAP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SUMIFS(RAB!$F$14:$F$31,RAB!$C$14:$C$31,'REKAP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SUMIFS(RAB!$F$14:$F$31,RAB!$C$14:$C$31,'REKAP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04" t="s">
        <v>1034</v>
      </c>
      <c r="C4" s="504"/>
      <c r="D4" s="504"/>
      <c r="E4" s="504"/>
      <c r="F4" s="504"/>
      <c r="G4" s="504"/>
      <c r="H4" s="504"/>
      <c r="I4" s="504"/>
      <c r="J4" s="504"/>
      <c r="K4" s="50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8" t="str">
        <f>RAB!G6</f>
        <v>AGR H ALI SA'DI ,H.</v>
      </c>
      <c r="H6" s="528"/>
      <c r="I6" s="528"/>
      <c r="J6" s="528"/>
      <c r="K6" s="52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TANJUNGANYAR , KEC GAJAH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05" t="s">
        <v>0</v>
      </c>
      <c r="C11" s="507" t="s">
        <v>1</v>
      </c>
      <c r="D11" s="510" t="s">
        <v>42</v>
      </c>
      <c r="E11" s="510" t="s">
        <v>43</v>
      </c>
      <c r="F11" s="510" t="s">
        <v>2</v>
      </c>
      <c r="G11" s="512" t="s">
        <v>41</v>
      </c>
      <c r="H11" s="510" t="s">
        <v>3</v>
      </c>
      <c r="I11" s="510"/>
      <c r="J11" s="510"/>
      <c r="K11" s="515"/>
      <c r="M11" s="33"/>
      <c r="N11" s="33"/>
      <c r="O11" s="33"/>
      <c r="P11" s="33"/>
      <c r="R11" s="34"/>
      <c r="S11" s="74"/>
      <c r="T11" s="74"/>
    </row>
    <row r="12" spans="1:21" ht="15" customHeight="1">
      <c r="B12" s="506"/>
      <c r="C12" s="508"/>
      <c r="D12" s="511"/>
      <c r="E12" s="511"/>
      <c r="F12" s="511"/>
      <c r="G12" s="513"/>
      <c r="H12" s="519" t="s">
        <v>46</v>
      </c>
      <c r="I12" s="519" t="s">
        <v>5</v>
      </c>
      <c r="J12" s="511" t="s">
        <v>47</v>
      </c>
      <c r="K12" s="51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06"/>
      <c r="C13" s="509"/>
      <c r="D13" s="511"/>
      <c r="E13" s="511"/>
      <c r="F13" s="511"/>
      <c r="G13" s="514"/>
      <c r="H13" s="520"/>
      <c r="I13" s="520"/>
      <c r="J13" s="511"/>
      <c r="K13" s="51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41.5 kVA MCCB 63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NFA2X-T 3x35+1x35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01">
        <f t="shared" ref="F17:F80" ca="1" si="6">IF(ISERROR(OFFSET($D$223,MATCH(A17,$F$224:$F$373,0),0)),"",OFFSET($D$223,MATCH(A17,$F$224:$F$373,0),0))</f>
        <v>10</v>
      </c>
      <c r="G17" s="41">
        <f ca="1">IF(ISERROR(OFFSET('HARGA SATUAN'!$I$6,MATCH(C17,'HARGA SATUAN'!$C$7:$C$1492,0),0)),"",OFFSET('HARGA SATUAN'!$I$6,MATCH(C17,'HARGA SATUAN'!$C$7:$C$1492,0),0))</f>
        <v>30400</v>
      </c>
      <c r="H17" s="42">
        <f t="shared" ca="1" si="1"/>
        <v>304000</v>
      </c>
      <c r="I17" s="42">
        <f t="shared" ca="1" si="2"/>
        <v>0</v>
      </c>
      <c r="J17" s="42">
        <f t="shared" ca="1" si="3"/>
        <v>0</v>
      </c>
      <c r="K17" s="43">
        <f t="shared" ca="1" si="0"/>
        <v>304000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9" t="s">
        <v>1008</v>
      </c>
      <c r="D168" s="529"/>
      <c r="E168" s="529"/>
      <c r="F168" s="529"/>
      <c r="G168" s="77" t="s">
        <v>9</v>
      </c>
      <c r="H168" s="55">
        <f ca="1">SUM(H14:H167)</f>
        <v>3868900</v>
      </c>
      <c r="I168" s="55">
        <f ca="1">SUM(I14:I167)</f>
        <v>0</v>
      </c>
      <c r="J168" s="55">
        <f ca="1">SUM(J14:J167)</f>
        <v>0</v>
      </c>
      <c r="K168" s="55">
        <f ca="1">SUM(K14:K167)</f>
        <v>3868900</v>
      </c>
      <c r="L168" s="44"/>
      <c r="R168" s="99"/>
      <c r="S168" s="99"/>
      <c r="T168" s="99"/>
    </row>
    <row r="169" spans="1:20" s="36" customFormat="1">
      <c r="A169" s="30"/>
      <c r="B169" s="56"/>
      <c r="C169" s="530" t="s">
        <v>462</v>
      </c>
      <c r="D169" s="530"/>
      <c r="E169" s="530"/>
      <c r="F169" s="530"/>
      <c r="G169" s="59" t="s">
        <v>9</v>
      </c>
      <c r="H169" s="60">
        <f ca="1">H168*0.1</f>
        <v>386890</v>
      </c>
      <c r="I169" s="60">
        <f ca="1">I168*0.1</f>
        <v>0</v>
      </c>
      <c r="J169" s="60">
        <f ca="1">J168*0.1</f>
        <v>0</v>
      </c>
      <c r="K169" s="60">
        <f ca="1">K168*0.1</f>
        <v>386890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1" t="s">
        <v>463</v>
      </c>
      <c r="D170" s="521"/>
      <c r="E170" s="521"/>
      <c r="F170" s="521"/>
      <c r="G170" s="61" t="s">
        <v>9</v>
      </c>
      <c r="H170" s="78">
        <f ca="1">SUM(H168:H169)</f>
        <v>4255790</v>
      </c>
      <c r="I170" s="78">
        <f ca="1">SUM(I168:I169)</f>
        <v>0</v>
      </c>
      <c r="J170" s="61">
        <f ca="1">SUM(J168:J169)</f>
        <v>0</v>
      </c>
      <c r="K170" s="61">
        <f ca="1">SUM(K168:K169)</f>
        <v>4255790</v>
      </c>
      <c r="L170" s="44"/>
      <c r="R170" s="99"/>
      <c r="S170" s="99"/>
      <c r="T170" s="99"/>
    </row>
    <row r="171" spans="1:20" s="36" customFormat="1">
      <c r="A171" s="30"/>
      <c r="B171" s="522" t="e">
        <f ca="1">"Terbilang : ( "&amp;L172&amp;" Rupiah )"</f>
        <v>#NAME?</v>
      </c>
      <c r="C171" s="523"/>
      <c r="D171" s="523"/>
      <c r="E171" s="523"/>
      <c r="F171" s="523"/>
      <c r="G171" s="523"/>
      <c r="H171" s="523"/>
      <c r="I171" s="523"/>
      <c r="J171" s="523"/>
      <c r="K171" s="524"/>
      <c r="L171" s="44"/>
      <c r="R171" s="58"/>
      <c r="S171" s="58"/>
      <c r="T171" s="58"/>
    </row>
    <row r="172" spans="1:20" s="36" customFormat="1">
      <c r="A172" s="30"/>
      <c r="B172" s="525"/>
      <c r="C172" s="526"/>
      <c r="D172" s="526"/>
      <c r="E172" s="526"/>
      <c r="F172" s="526"/>
      <c r="G172" s="526"/>
      <c r="H172" s="526"/>
      <c r="I172" s="526"/>
      <c r="J172" s="526"/>
      <c r="K172" s="527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6"/>
      <c r="I175" s="516"/>
      <c r="J175" s="517"/>
      <c r="K175" s="51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6"/>
      <c r="I176" s="516"/>
      <c r="J176" s="517"/>
      <c r="K176" s="51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6"/>
      <c r="I177" s="516"/>
      <c r="J177" s="517"/>
      <c r="K177" s="51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6"/>
      <c r="I182" s="516"/>
      <c r="J182" s="517"/>
      <c r="K182" s="51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SUMIFS(RAB!$F$14:$F$31,RAB!$C$14:$C$31,C224)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SUMIFS(RAB!$F$14:$F$31,RAB!$C$14:$C$31,C225)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SUMIFS(RAB!$F$14:$F$31,RAB!$C$14:$C$31,C226)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SUMIFS(RAB!$F$14:$F$31,RAB!$C$14:$C$31,C227)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SUMIFS(RAB!$F$14:$F$31,RAB!$C$14:$C$31,C228)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SUMIFS(RAB!$F$14:$F$31,RAB!$C$14:$C$31,C229)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SUMIFS(RAB!$F$14:$F$31,RAB!$C$14:$C$31,C230)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SUMIFS(RAB!$F$14:$F$31,RAB!$C$14:$C$31,C231)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SUMIFS(RAB!$F$14:$F$31,RAB!$C$14:$C$31,C232)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SUMIFS(RAB!$F$14:$F$31,RAB!$C$14:$C$31,C233)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SUMIFS(RAB!$F$14:$F$31,RAB!$C$14:$C$31,C234)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SUMIFS(RAB!$F$14:$F$31,RAB!$C$14:$C$31,C235)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SUMIFS(RAB!$F$14:$F$31,RAB!$C$14:$C$31,C236)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SUMIFS(RAB!$F$14:$F$31,RAB!$C$14:$C$31,C237)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SUMIFS(RAB!$F$14:$F$31,RAB!$C$14:$C$31,C238)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SUMIFS(RAB!$F$14:$F$31,RAB!$C$14:$C$31,C239)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SUMIFS(RAB!$F$14:$F$31,RAB!$C$14:$C$31,C240)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SUMIFS(RAB!$F$14:$F$31,RAB!$C$14:$C$31,C241)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SUMIFS(RAB!$F$14:$F$31,RAB!$C$14:$C$31,C242)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SUMIFS(RAB!$F$14:$F$31,RAB!$C$14:$C$31,C243)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SUMIFS(RAB!$F$14:$F$31,RAB!$C$14:$C$31,C244)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SUMIFS(RAB!$F$14:$F$31,RAB!$C$14:$C$31,C245)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SUMIFS(RAB!$F$14:$F$31,RAB!$C$14:$C$31,C246)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SUMIFS(RAB!$F$14:$F$31,RAB!$C$14:$C$31,C247)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SUMIFS(RAB!$F$14:$F$31,RAB!$C$14:$C$31,C248)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SUMIFS(RAB!$F$14:$F$31,RAB!$C$14:$C$31,C249)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SUMIFS(RAB!$F$14:$F$31,RAB!$C$14:$C$31,C250)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SUMIFS(RAB!$F$14:$F$31,RAB!$C$14:$C$31,C251)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SUMIFS(RAB!$F$14:$F$31,RAB!$C$14:$C$31,C252)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SUMIFS(RAB!$F$14:$F$31,RAB!$C$14:$C$31,C253)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SUMIFS(RAB!$F$14:$F$31,RAB!$C$14:$C$31,C254)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SUMIFS(RAB!$F$14:$F$31,RAB!$C$14:$C$31,C255)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SUMIFS(RAB!$F$14:$F$31,RAB!$C$14:$C$31,C256)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SUMIFS(RAB!$F$14:$F$31,RAB!$C$14:$C$31,C257)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SUMIFS(RAB!$F$14:$F$31,RAB!$C$14:$C$31,C258)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SUMIFS(RAB!$F$14:$F$31,RAB!$C$14:$C$31,C259)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SUMIFS(RAB!$F$14:$F$31,RAB!$C$14:$C$31,C260)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SUMIFS(RAB!$F$14:$F$31,RAB!$C$14:$C$31,C261)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SUMIFS(RAB!$F$14:$F$31,RAB!$C$14:$C$31,C262)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SUMIFS(RAB!$F$14:$F$31,RAB!$C$14:$C$31,C263)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SUMIFS(RAB!$F$14:$F$31,RAB!$C$14:$C$31,C264)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SUMIFS(RAB!$F$14:$F$31,RAB!$C$14:$C$31,C265)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SUMIFS(RAB!$F$14:$F$31,RAB!$C$14:$C$31,C266)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SUMIFS(RAB!$F$14:$F$31,RAB!$C$14:$C$31,C267)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SUMIFS(RAB!$F$14:$F$31,RAB!$C$14:$C$31,C268)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SUMIFS(RAB!$F$14:$F$31,RAB!$C$14:$C$31,C269)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SUMIFS(RAB!$F$14:$F$31,RAB!$C$14:$C$31,C270)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SUMIFS(RAB!$F$14:$F$31,RAB!$C$14:$C$31,C271)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SUMIFS(RAB!$F$14:$F$31,RAB!$C$14:$C$31,C272)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SUMIFS(RAB!$F$14:$F$31,RAB!$C$14:$C$31,C273)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SUMIFS(RAB!$F$14:$F$31,RAB!$C$14:$C$31,C274)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SUMIFS(RAB!$F$14:$F$31,RAB!$C$14:$C$31,C275)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SUMIFS(RAB!$F$14:$F$31,RAB!$C$14:$C$31,C276)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SUMIFS(RAB!$F$14:$F$31,RAB!$C$14:$C$31,C277)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SUMIFS(RAB!$F$14:$F$31,RAB!$C$14:$C$31,C278)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SUMIFS(RAB!$F$14:$F$31,RAB!$C$14:$C$31,C279)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SUMIFS(RAB!$F$14:$F$31,RAB!$C$14:$C$31,C280)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SUMIFS(RAB!$F$14:$F$31,RAB!$C$14:$C$31,C281)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SUMIFS(RAB!$F$14:$F$31,RAB!$C$14:$C$31,C282)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SUMIFS(RAB!$F$14:$F$31,RAB!$C$14:$C$31,C283)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SUMIFS(RAB!$F$14:$F$31,RAB!$C$14:$C$31,C284)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SUMIFS(RAB!$F$14:$F$31,RAB!$C$14:$C$31,C285)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SUMIFS(RAB!$F$14:$F$31,RAB!$C$14:$C$31,C286)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SUMIFS(RAB!$F$14:$F$31,RAB!$C$14:$C$31,C287)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SUMIFS(RAB!$F$14:$F$31,RAB!$C$14:$C$31,C288)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SUMIFS(RAB!$F$14:$F$31,RAB!$C$14:$C$31,C289)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SUMIFS(RAB!$F$14:$F$31,RAB!$C$14:$C$31,C290)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SUMIFS(RAB!$F$14:$F$31,RAB!$C$14:$C$31,C291)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SUMIFS(RAB!$F$14:$F$31,RAB!$C$14:$C$31,C292)</f>
        <v>1</v>
      </c>
      <c r="E292" s="24">
        <f t="shared" ca="1" si="22"/>
        <v>1</v>
      </c>
      <c r="F292" s="24">
        <f ca="1">IF(D292=0,0,SUM($E$223:E292))</f>
        <v>1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SUMIFS(RAB!$F$14:$F$31,RAB!$C$14:$C$31,C293)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SUMIFS(RAB!$F$14:$F$31,RAB!$C$14:$C$31,C294)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SUMIFS(RAB!$F$14:$F$31,RAB!$C$14:$C$31,C295)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SUMIFS(RAB!$F$14:$F$31,RAB!$C$14:$C$31,C296)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SUMIFS(RAB!$F$14:$F$31,RAB!$C$14:$C$31,C297)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SUMIFS(RAB!$F$14:$F$31,RAB!$C$14:$C$31,C298)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SUMIFS(RAB!$F$14:$F$31,RAB!$C$14:$C$31,C299)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SUMIFS(RAB!$F$14:$F$31,RAB!$C$14:$C$31,C300)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SUMIFS(RAB!$F$14:$F$31,RAB!$C$14:$C$31,C301)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SUMIFS(RAB!$F$14:$F$31,RAB!$C$14:$C$31,C302)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SUMIFS(RAB!$F$14:$F$31,RAB!$C$14:$C$31,C303)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SUMIFS(RAB!$F$14:$F$31,RAB!$C$14:$C$31,C304)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SUMIFS(RAB!$F$14:$F$31,RAB!$C$14:$C$31,C305)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SUMIFS(RAB!$F$14:$F$31,RAB!$C$14:$C$31,C306)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SUMIFS(RAB!$F$14:$F$31,RAB!$C$14:$C$31,C307)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SUMIFS(RAB!$F$14:$F$31,RAB!$C$14:$C$31,C308)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SUMIFS(RAB!$F$14:$F$31,RAB!$C$14:$C$31,C309)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SUMIFS(RAB!$F$14:$F$31,RAB!$C$14:$C$31,C310)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SUMIFS(RAB!$F$14:$F$31,RAB!$C$14:$C$31,C311)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SUMIFS(RAB!$F$14:$F$31,RAB!$C$14:$C$31,C312)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SUMIFS(RAB!$F$14:$F$31,RAB!$C$14:$C$31,C313)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SUMIFS(RAB!$F$14:$F$31,RAB!$C$14:$C$31,C314)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SUMIFS(RAB!$F$14:$F$31,RAB!$C$14:$C$31,C315)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SUMIFS(RAB!$F$14:$F$31,RAB!$C$14:$C$31,C316)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SUMIFS(RAB!$F$14:$F$31,RAB!$C$14:$C$31,C317)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SUMIFS(RAB!$F$14:$F$31,RAB!$C$14:$C$31,C318)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SUMIFS(RAB!$F$14:$F$31,RAB!$C$14:$C$31,C319)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SUMIFS(RAB!$F$14:$F$31,RAB!$C$14:$C$31,C320)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SUMIFS(RAB!$F$14:$F$31,RAB!$C$14:$C$31,C321)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SUMIFS(RAB!$F$14:$F$31,RAB!$C$14:$C$31,C322)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SUMIFS(RAB!$F$14:$F$31,RAB!$C$14:$C$31,C323)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SUMIFS(RAB!$F$14:$F$31,RAB!$C$14:$C$31,C324)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SUMIFS(RAB!$F$14:$F$31,RAB!$C$14:$C$31,C325)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SUMIFS(RAB!$F$14:$F$31,RAB!$C$14:$C$31,C326)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SUMIFS(RAB!$F$14:$F$31,RAB!$C$14:$C$31,C327)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SUMIFS(RAB!$F$14:$F$31,RAB!$C$14:$C$31,C328)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SUMIFS(RAB!$F$14:$F$31,RAB!$C$14:$C$31,C329)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SUMIFS(RAB!$F$14:$F$31,RAB!$C$14:$C$31,C330)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SUMIFS(RAB!$F$14:$F$31,RAB!$C$14:$C$31,C331)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SUMIFS(RAB!$F$14:$F$31,RAB!$C$14:$C$31,C332)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SUMIFS(RAB!$F$14:$F$31,RAB!$C$14:$C$31,C333)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SUMIFS(RAB!$F$14:$F$31,RAB!$C$14:$C$31,C334)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SUMIFS(RAB!$F$14:$F$31,RAB!$C$14:$C$31,C335)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SUMIFS(RAB!$F$14:$F$31,RAB!$C$14:$C$31,C336)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SUMIFS(RAB!$F$14:$F$31,RAB!$C$14:$C$31,C337)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SUMIFS(RAB!$F$14:$F$31,RAB!$C$14:$C$31,C338)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SUMIFS(RAB!$F$14:$F$31,RAB!$C$14:$C$31,C339)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SUMIFS(RAB!$F$14:$F$31,RAB!$C$14:$C$31,C340)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SUMIFS(RAB!$F$14:$F$31,RAB!$C$14:$C$31,C341)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SUMIFS(RAB!$F$14:$F$31,RAB!$C$14:$C$31,C342)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SUMIFS(RAB!$F$14:$F$31,RAB!$C$14:$C$31,C343)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SUMIFS(RAB!$F$14:$F$31,RAB!$C$14:$C$31,C344)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SUMIFS(RAB!$F$14:$F$31,RAB!$C$14:$C$31,C345)</f>
        <v>10</v>
      </c>
      <c r="E345" s="24">
        <f t="shared" ca="1" si="22"/>
        <v>1</v>
      </c>
      <c r="F345" s="24">
        <f ca="1">IF(D345=0,0,SUM($E$223:E345))</f>
        <v>2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SUMIFS(RAB!$F$14:$F$31,RAB!$C$14:$C$31,C346)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SUMIFS(RAB!$F$14:$F$31,RAB!$C$14:$C$31,C347)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SUMIFS(RAB!$F$14:$F$31,RAB!$C$14:$C$31,C348)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SUMIFS(RAB!$F$14:$F$31,RAB!$C$14:$C$31,C349)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SUMIFS(RAB!$F$14:$F$31,RAB!$C$14:$C$31,C350)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SUMIFS(RAB!$F$14:$F$31,RAB!$C$14:$C$31,C351)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SUMIFS(RAB!$F$14:$F$31,RAB!$C$14:$C$31,C352)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SUMIFS(RAB!$F$14:$F$31,RAB!$C$14:$C$31,C353)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SUMIFS(RAB!$F$14:$F$31,RAB!$C$14:$C$31,C354)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SUMIFS(RAB!$F$14:$F$31,RAB!$C$14:$C$31,C355)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SUMIFS(RAB!$F$14:$F$31,RAB!$C$14:$C$31,C356)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SUMIFS(RAB!$F$14:$F$31,RAB!$C$14:$C$31,C357)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SUMIFS(RAB!$F$14:$F$31,RAB!$C$14:$C$31,C358)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SUMIFS(RAB!$F$14:$F$31,RAB!$C$14:$C$31,C359)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SUMIFS(RAB!$F$14:$F$31,RAB!$C$14:$C$31,C360)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SUMIFS(RAB!$F$14:$F$31,RAB!$C$14:$C$31,C361)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SUMIFS(RAB!$F$14:$F$31,RAB!$C$14:$C$31,C362)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SUMIFS(RAB!$F$14:$F$31,RAB!$C$14:$C$31,C363)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SUMIFS(RAB!$F$14:$F$31,RAB!$C$14:$C$31,C364)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SUMIFS(RAB!$F$14:$F$31,RAB!$C$14:$C$31,C365)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SUMIFS(RAB!$F$14:$F$31,RAB!$C$14:$C$31,C366)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SUMIFS(RAB!$F$14:$F$31,RAB!$C$14:$C$31,C367)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SUMIFS(RAB!$F$14:$F$31,RAB!$C$14:$C$31,C368)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SUMIFS(RAB!$F$14:$F$31,RAB!$C$14:$C$31,C369)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SUMIFS(RAB!$F$14:$F$31,RAB!$C$14:$C$31,C370)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SUMIFS(RAB!$F$14:$F$31,RAB!$C$14:$C$31,C371)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SUMIFS(RAB!$F$14:$F$31,RAB!$C$14:$C$31,C372)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SUMIFS(RAB!$F$14:$F$31,RAB!$C$14:$C$31,C373)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5" priority="5" operator="equal">
      <formula>0</formula>
    </cfRule>
  </conditionalFormatting>
  <conditionalFormatting sqref="C16:C165">
    <cfRule type="cellIs" dxfId="34" priority="4" stopIfTrue="1" operator="equal">
      <formula>0</formula>
    </cfRule>
  </conditionalFormatting>
  <conditionalFormatting sqref="C16:E165">
    <cfRule type="cellIs" dxfId="33" priority="1" operator="equal">
      <formula>0</formula>
    </cfRule>
  </conditionalFormatting>
  <conditionalFormatting sqref="D224:F373">
    <cfRule type="cellIs" dxfId="32" priority="8" operator="equal">
      <formula>0</formula>
    </cfRule>
  </conditionalFormatting>
  <conditionalFormatting sqref="E1:E3 G1:G115 E6:E15 H12:I12 N13 F14:F15 H14:K115 E166:K166 G166:G223 E167:F167 H167:K167">
    <cfRule type="cellIs" dxfId="31" priority="43" stopIfTrue="1" operator="equal">
      <formula>0</formula>
    </cfRule>
  </conditionalFormatting>
  <conditionalFormatting sqref="E171:E65536">
    <cfRule type="cellIs" dxfId="30" priority="9" stopIfTrue="1" operator="equal">
      <formula>0</formula>
    </cfRule>
  </conditionalFormatting>
  <conditionalFormatting sqref="G224">
    <cfRule type="cellIs" dxfId="29" priority="10" operator="equal">
      <formula>0</formula>
    </cfRule>
  </conditionalFormatting>
  <conditionalFormatting sqref="G225:G65536">
    <cfRule type="cellIs" dxfId="28" priority="14" stopIfTrue="1" operator="equal">
      <formula>0</formula>
    </cfRule>
  </conditionalFormatting>
  <conditionalFormatting sqref="R14:T166 G116:K165">
    <cfRule type="cellIs" dxfId="2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49"/>
    </row>
    <row r="4" spans="4:4" ht="57" customHeight="1">
      <c r="D4" s="449">
        <v>3</v>
      </c>
    </row>
    <row r="5" spans="4:4" ht="57" customHeight="1">
      <c r="D5" s="44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0" activePane="bottomRight" state="frozen"/>
      <selection activeCell="D209" sqref="D209"/>
      <selection pane="topRight" activeCell="D209" sqref="D209"/>
      <selection pane="bottomLeft" activeCell="D209" sqref="D209"/>
      <selection pane="bottomRight" activeCell="C34" sqref="C3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32" t="s">
        <v>41</v>
      </c>
      <c r="C2" s="53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3" t="s">
        <v>23</v>
      </c>
      <c r="C4" s="534" t="s">
        <v>1012</v>
      </c>
      <c r="D4" s="534" t="s">
        <v>42</v>
      </c>
      <c r="E4" s="533" t="s">
        <v>43</v>
      </c>
      <c r="F4" s="108" t="s">
        <v>1604</v>
      </c>
      <c r="G4" s="108" t="s">
        <v>1603</v>
      </c>
      <c r="H4" s="531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3"/>
      <c r="C5" s="534"/>
      <c r="D5" s="534"/>
      <c r="E5" s="533"/>
      <c r="F5" s="93"/>
      <c r="G5" s="93"/>
      <c r="H5" s="531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2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2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3">
        <v>2740</v>
      </c>
      <c r="G1433" s="47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4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4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4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4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4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6" priority="138" operator="equal">
      <formula>0</formula>
    </cfRule>
  </conditionalFormatting>
  <conditionalFormatting sqref="B8:C135">
    <cfRule type="cellIs" dxfId="25" priority="51" operator="equal">
      <formula>0</formula>
    </cfRule>
  </conditionalFormatting>
  <conditionalFormatting sqref="B150:G1493">
    <cfRule type="cellIs" dxfId="24" priority="1" operator="equal">
      <formula>0</formula>
    </cfRule>
  </conditionalFormatting>
  <conditionalFormatting sqref="C143:G149">
    <cfRule type="cellIs" dxfId="23" priority="5" operator="equal">
      <formula>0</formula>
    </cfRule>
  </conditionalFormatting>
  <conditionalFormatting sqref="D9:G142">
    <cfRule type="cellIs" dxfId="22" priority="11" operator="equal">
      <formula>0</formula>
    </cfRule>
  </conditionalFormatting>
  <conditionalFormatting sqref="D1:IV5 A1:C7 D6:K6 H1455:IV1457 H1458:XFD1485 H1486:H1493 I1486:XFD1494 A1494:H1494 A1495:XFD65536">
    <cfRule type="cellIs" dxfId="21" priority="163" operator="equal">
      <formula>0</formula>
    </cfRule>
  </conditionalFormatting>
  <conditionalFormatting sqref="D7:IV8 C136:C142 B136:B149">
    <cfRule type="cellIs" dxfId="20" priority="62" operator="equal">
      <formula>0</formula>
    </cfRule>
  </conditionalFormatting>
  <conditionalFormatting sqref="H9:H1418">
    <cfRule type="cellIs" dxfId="19" priority="129" operator="equal">
      <formula>0</formula>
    </cfRule>
  </conditionalFormatting>
  <conditionalFormatting sqref="H1419:I1454">
    <cfRule type="cellIs" dxfId="18" priority="128" operator="equal">
      <formula>0</formula>
    </cfRule>
  </conditionalFormatting>
  <conditionalFormatting sqref="I108:I1418">
    <cfRule type="cellIs" dxfId="17" priority="125" operator="equal">
      <formula>0</formula>
    </cfRule>
  </conditionalFormatting>
  <conditionalFormatting sqref="J108:IV1454">
    <cfRule type="cellIs" dxfId="16" priority="139" operator="equal">
      <formula>0</formula>
    </cfRule>
  </conditionalFormatting>
  <conditionalFormatting sqref="M6:IV6">
    <cfRule type="cellIs" dxfId="1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D12" sqref="D12:E12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6" t="s">
        <v>1454</v>
      </c>
      <c r="C2" s="566"/>
      <c r="D2" s="566"/>
      <c r="E2" s="566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71" t="s">
        <v>1532</v>
      </c>
      <c r="C4" s="572"/>
      <c r="D4" s="572"/>
      <c r="E4" s="573"/>
      <c r="F4" s="431"/>
      <c r="G4" s="431"/>
      <c r="H4" s="432"/>
      <c r="I4" s="535" t="s">
        <v>1533</v>
      </c>
      <c r="J4" s="536"/>
      <c r="K4" s="536"/>
      <c r="L4" s="537"/>
    </row>
    <row r="5" spans="1:12" ht="34.5" customHeight="1">
      <c r="A5" s="204"/>
      <c r="B5" s="434" t="s">
        <v>1379</v>
      </c>
      <c r="C5" s="274" t="s">
        <v>9</v>
      </c>
      <c r="D5" s="567" t="str">
        <f>DATA!D14</f>
        <v>AGR H ALI SA'DI ,H.</v>
      </c>
      <c r="E5" s="568"/>
      <c r="F5" s="208"/>
      <c r="G5" s="208"/>
      <c r="I5" s="435" t="s">
        <v>1379</v>
      </c>
      <c r="J5" s="274" t="s">
        <v>9</v>
      </c>
      <c r="K5" s="538" t="str">
        <f>D5</f>
        <v>AGR H ALI SA'DI ,H.</v>
      </c>
      <c r="L5" s="539"/>
    </row>
    <row r="6" spans="1:12" ht="31.5" customHeight="1">
      <c r="A6" s="204"/>
      <c r="B6" s="434" t="s">
        <v>1529</v>
      </c>
      <c r="C6" s="274" t="s">
        <v>9</v>
      </c>
      <c r="D6" s="576">
        <f>DATA!D17*1000</f>
        <v>23000</v>
      </c>
      <c r="E6" s="577"/>
      <c r="F6" s="208"/>
      <c r="G6" s="208"/>
      <c r="I6" s="435" t="s">
        <v>1530</v>
      </c>
      <c r="J6" s="274" t="s">
        <v>9</v>
      </c>
      <c r="K6" s="540">
        <f>DATA!D20*1000</f>
        <v>41500</v>
      </c>
      <c r="L6" s="541"/>
    </row>
    <row r="7" spans="1:12" ht="30.75" customHeight="1">
      <c r="A7" s="204"/>
      <c r="B7" s="434" t="s">
        <v>1441</v>
      </c>
      <c r="C7" s="274" t="s">
        <v>9</v>
      </c>
      <c r="D7" s="574">
        <f>DATA!D18</f>
        <v>3</v>
      </c>
      <c r="E7" s="575"/>
      <c r="F7" s="433" t="s">
        <v>1453</v>
      </c>
      <c r="I7" s="435" t="s">
        <v>1441</v>
      </c>
      <c r="J7" s="274" t="s">
        <v>9</v>
      </c>
      <c r="K7" s="542">
        <f>DATA!D21</f>
        <v>3</v>
      </c>
      <c r="L7" s="543"/>
    </row>
    <row r="8" spans="1:12" ht="51" customHeight="1">
      <c r="A8" s="204"/>
      <c r="B8" s="434" t="s">
        <v>1442</v>
      </c>
      <c r="C8" s="274" t="s">
        <v>9</v>
      </c>
      <c r="D8" s="574">
        <f>DATA!D19</f>
        <v>380</v>
      </c>
      <c r="E8" s="575"/>
      <c r="F8" s="433" t="s">
        <v>1453</v>
      </c>
      <c r="G8" s="428">
        <v>220</v>
      </c>
      <c r="I8" s="435" t="s">
        <v>1442</v>
      </c>
      <c r="J8" s="274" t="s">
        <v>9</v>
      </c>
      <c r="K8" s="542">
        <f>DATA!D22</f>
        <v>380</v>
      </c>
      <c r="L8" s="543"/>
    </row>
    <row r="9" spans="1:12" ht="30" customHeight="1" thickBot="1">
      <c r="A9" s="204"/>
      <c r="B9" s="440" t="s">
        <v>1541</v>
      </c>
      <c r="C9" s="430" t="s">
        <v>9</v>
      </c>
      <c r="D9" s="569">
        <f>IF(D7=1,D6/(380/3^0.5),(D6/(380*3^0.5)))</f>
        <v>34.94488471410893</v>
      </c>
      <c r="E9" s="570"/>
      <c r="F9" s="207"/>
      <c r="G9" s="429">
        <v>380</v>
      </c>
      <c r="I9" s="441" t="s">
        <v>1541</v>
      </c>
      <c r="J9" s="430" t="s">
        <v>9</v>
      </c>
      <c r="K9" s="546">
        <f>IF(K7=1,K6/(380/3^0.5),(K6/(380*3^0.5)))</f>
        <v>63.052726766761765</v>
      </c>
      <c r="L9" s="547"/>
    </row>
    <row r="10" spans="1:12" ht="24.75" customHeight="1">
      <c r="B10" s="442"/>
      <c r="C10" s="439"/>
      <c r="D10" s="443"/>
      <c r="E10" s="443"/>
      <c r="F10" s="207"/>
      <c r="G10" s="429"/>
      <c r="I10" s="442"/>
      <c r="J10" s="439"/>
      <c r="K10" s="443"/>
      <c r="L10" s="443"/>
    </row>
    <row r="11" spans="1:12" ht="16.5" thickBot="1">
      <c r="B11" s="436" t="s">
        <v>1542</v>
      </c>
      <c r="I11" s="436" t="s">
        <v>1536</v>
      </c>
    </row>
    <row r="12" spans="1:12" ht="34.5" customHeight="1">
      <c r="A12" s="204"/>
      <c r="B12" s="464" t="s">
        <v>1534</v>
      </c>
      <c r="C12" s="458" t="s">
        <v>9</v>
      </c>
      <c r="D12" s="578"/>
      <c r="E12" s="579"/>
      <c r="F12" s="208"/>
      <c r="G12" s="208"/>
      <c r="I12" s="457" t="s">
        <v>1534</v>
      </c>
      <c r="J12" s="458" t="s">
        <v>9</v>
      </c>
      <c r="K12" s="578"/>
      <c r="L12" s="579"/>
    </row>
    <row r="13" spans="1:12" ht="31.5" customHeight="1">
      <c r="A13" s="204"/>
      <c r="B13" s="465" t="s">
        <v>1380</v>
      </c>
      <c r="C13" s="445" t="s">
        <v>9</v>
      </c>
      <c r="D13" s="544"/>
      <c r="E13" s="545"/>
      <c r="F13" s="208"/>
      <c r="G13" s="208"/>
      <c r="I13" s="459" t="s">
        <v>1380</v>
      </c>
      <c r="J13" s="445" t="s">
        <v>9</v>
      </c>
      <c r="K13" s="544"/>
      <c r="L13" s="545"/>
    </row>
    <row r="14" spans="1:12" ht="30.75" customHeight="1">
      <c r="A14" s="204"/>
      <c r="B14" s="465" t="s">
        <v>1535</v>
      </c>
      <c r="C14" s="445" t="s">
        <v>9</v>
      </c>
      <c r="D14" s="548"/>
      <c r="E14" s="549"/>
      <c r="F14" s="433" t="s">
        <v>1453</v>
      </c>
      <c r="G14" s="437">
        <v>50</v>
      </c>
      <c r="I14" s="459" t="s">
        <v>1535</v>
      </c>
      <c r="J14" s="445" t="s">
        <v>9</v>
      </c>
      <c r="K14" s="550">
        <v>100</v>
      </c>
      <c r="L14" s="551"/>
    </row>
    <row r="15" spans="1:12" ht="57" customHeight="1">
      <c r="A15" s="204"/>
      <c r="B15" s="465" t="s">
        <v>1441</v>
      </c>
      <c r="C15" s="445" t="s">
        <v>9</v>
      </c>
      <c r="D15" s="451"/>
      <c r="E15" s="460"/>
      <c r="F15" s="433" t="s">
        <v>1453</v>
      </c>
      <c r="G15" s="437">
        <v>100</v>
      </c>
      <c r="I15" s="459" t="s">
        <v>1441</v>
      </c>
      <c r="J15" s="445" t="s">
        <v>9</v>
      </c>
      <c r="K15" s="451">
        <v>3</v>
      </c>
      <c r="L15" s="460"/>
    </row>
    <row r="16" spans="1:12" ht="44.25" customHeight="1">
      <c r="A16" s="204"/>
      <c r="B16" s="465" t="s">
        <v>1545</v>
      </c>
      <c r="C16" s="445"/>
      <c r="D16" s="552">
        <v>0</v>
      </c>
      <c r="E16" s="553"/>
      <c r="F16" s="433"/>
      <c r="G16" s="437">
        <v>160</v>
      </c>
      <c r="I16" s="459" t="s">
        <v>1537</v>
      </c>
      <c r="J16" s="445" t="s">
        <v>9</v>
      </c>
      <c r="K16" s="556">
        <f>K9</f>
        <v>63.052726766761765</v>
      </c>
      <c r="L16" s="557"/>
    </row>
    <row r="17" spans="1:12" ht="34.5" customHeight="1">
      <c r="A17" s="204"/>
      <c r="B17" s="465" t="s">
        <v>1538</v>
      </c>
      <c r="C17" s="445" t="s">
        <v>9</v>
      </c>
      <c r="D17" s="554">
        <f>IF(D15=1,D14/(20/3^0.5),(D14/(20*3^0.5)))</f>
        <v>0</v>
      </c>
      <c r="E17" s="555"/>
      <c r="F17" s="433" t="s">
        <v>1453</v>
      </c>
      <c r="G17" s="438">
        <v>200</v>
      </c>
      <c r="I17" s="459" t="s">
        <v>1538</v>
      </c>
      <c r="J17" s="445" t="s">
        <v>9</v>
      </c>
      <c r="K17" s="560">
        <f>IF(K15=1,K14/(20/3^0.5),(K14/(20*3^0.5)))</f>
        <v>2.8867513459481291</v>
      </c>
      <c r="L17" s="561"/>
    </row>
    <row r="18" spans="1:12" ht="34.5" customHeight="1">
      <c r="A18" s="204"/>
      <c r="B18" s="465" t="s">
        <v>1539</v>
      </c>
      <c r="C18" s="445" t="s">
        <v>9</v>
      </c>
      <c r="D18" s="554">
        <f>IF(D15=1,D14/(380/3^0.5),(D14/(380*3^0.5)))*1000</f>
        <v>0</v>
      </c>
      <c r="E18" s="555"/>
      <c r="F18" s="433" t="s">
        <v>1453</v>
      </c>
      <c r="G18" s="438">
        <v>250</v>
      </c>
      <c r="I18" s="459" t="s">
        <v>1539</v>
      </c>
      <c r="J18" s="445" t="s">
        <v>9</v>
      </c>
      <c r="K18" s="560">
        <f>IF(K15=1,K14/(380/3^0.5),(K14/(380*3^0.5)))*1000</f>
        <v>151.93428136569102</v>
      </c>
      <c r="L18" s="561"/>
    </row>
    <row r="19" spans="1:12" ht="30" customHeight="1">
      <c r="A19" s="204"/>
      <c r="B19" s="466" t="s">
        <v>1531</v>
      </c>
      <c r="C19" s="444" t="s">
        <v>9</v>
      </c>
      <c r="D19" s="554">
        <f>IF(D15=1,D14/(380/3^0.5),(D14/(380*3^0.5)))</f>
        <v>0</v>
      </c>
      <c r="E19" s="555"/>
      <c r="F19" s="207"/>
      <c r="G19" s="429"/>
      <c r="I19" s="461" t="s">
        <v>1531</v>
      </c>
      <c r="J19" s="444" t="s">
        <v>9</v>
      </c>
      <c r="K19" s="560">
        <f>IF(K15=1,K14/(380/3^0.5),(K14/(380*3^0.5)))</f>
        <v>0.15193428136569101</v>
      </c>
      <c r="L19" s="561"/>
    </row>
    <row r="20" spans="1:12" ht="30" customHeight="1" thickBot="1">
      <c r="A20" s="204"/>
      <c r="B20" s="467" t="s">
        <v>1540</v>
      </c>
      <c r="C20" s="463" t="s">
        <v>9</v>
      </c>
      <c r="D20" s="580" t="e">
        <f>D16/D18</f>
        <v>#DIV/0!</v>
      </c>
      <c r="E20" s="581"/>
      <c r="F20" s="207"/>
      <c r="G20" s="429"/>
      <c r="I20" s="462" t="s">
        <v>1531</v>
      </c>
      <c r="J20" s="463" t="s">
        <v>9</v>
      </c>
      <c r="K20" s="558">
        <f>K16/K18</f>
        <v>0.41499999999999992</v>
      </c>
      <c r="L20" s="559"/>
    </row>
    <row r="21" spans="1:12" ht="9.75" customHeight="1">
      <c r="A21" s="204"/>
      <c r="B21" s="452" t="s">
        <v>1540</v>
      </c>
      <c r="C21" s="453" t="s">
        <v>9</v>
      </c>
      <c r="D21" s="565">
        <v>1</v>
      </c>
      <c r="E21" s="565"/>
      <c r="F21" s="454"/>
      <c r="G21" s="455"/>
      <c r="H21" s="456"/>
      <c r="I21" s="452" t="s">
        <v>1531</v>
      </c>
      <c r="J21" s="453" t="s">
        <v>9</v>
      </c>
      <c r="K21" s="565">
        <v>1</v>
      </c>
      <c r="L21" s="565"/>
    </row>
    <row r="22" spans="1:12" ht="6.75" customHeight="1">
      <c r="B22" s="442"/>
      <c r="C22" s="439"/>
      <c r="D22" s="450"/>
      <c r="E22" s="450"/>
      <c r="F22" s="207"/>
      <c r="G22" s="429"/>
      <c r="J22" s="439"/>
      <c r="K22" s="450"/>
      <c r="L22" s="450"/>
    </row>
    <row r="23" spans="1:12" ht="15.75" thickBot="1"/>
    <row r="24" spans="1:12" ht="200.25" customHeight="1" thickBot="1">
      <c r="B24" s="562"/>
      <c r="C24" s="563"/>
      <c r="D24" s="563"/>
      <c r="E24" s="564"/>
      <c r="I24" s="562"/>
      <c r="J24" s="563"/>
      <c r="K24" s="563"/>
      <c r="L24" s="564"/>
    </row>
    <row r="26" spans="1:12">
      <c r="D26" s="447"/>
    </row>
    <row r="27" spans="1:12">
      <c r="D27" s="44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4" zoomScaleNormal="100" workbookViewId="0">
      <selection activeCell="D17" sqref="D17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82"/>
      <c r="C1" s="582"/>
      <c r="D1" s="582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6">
        <v>1084.1250458865841</v>
      </c>
      <c r="F5" s="471" t="s">
        <v>1605</v>
      </c>
      <c r="K5" s="470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1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18.5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17926500</v>
      </c>
    </row>
    <row r="10" spans="2:11" ht="20.100000000000001" customHeight="1">
      <c r="B10" s="288" t="s">
        <v>1446</v>
      </c>
      <c r="C10" s="289" t="s">
        <v>9</v>
      </c>
      <c r="D10" s="295">
        <f ca="1">RAB!K37</f>
        <v>4595531.5350000001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91910.630700000009</v>
      </c>
    </row>
    <row r="12" spans="2:11" ht="9" customHeight="1">
      <c r="B12" s="583"/>
      <c r="C12" s="583"/>
      <c r="D12" s="583"/>
    </row>
    <row r="13" spans="2:11" ht="15.75" customHeight="1">
      <c r="B13" s="296"/>
      <c r="C13" s="296"/>
      <c r="D13" s="296"/>
    </row>
    <row r="14" spans="2:11" ht="33.75" customHeight="1">
      <c r="B14" s="404" t="s">
        <v>1379</v>
      </c>
      <c r="C14" s="405" t="s">
        <v>9</v>
      </c>
      <c r="D14" s="410" t="s">
        <v>1614</v>
      </c>
      <c r="E14" s="297" t="s">
        <v>1453</v>
      </c>
    </row>
    <row r="15" spans="2:11" ht="20.100000000000001" customHeight="1">
      <c r="B15" s="406" t="s">
        <v>1447</v>
      </c>
      <c r="C15" s="407" t="s">
        <v>9</v>
      </c>
      <c r="D15" s="411" t="s">
        <v>1615</v>
      </c>
      <c r="E15" s="297" t="s">
        <v>1453</v>
      </c>
    </row>
    <row r="16" spans="2:11" ht="20.100000000000001" customHeight="1">
      <c r="B16" s="406" t="s">
        <v>1448</v>
      </c>
      <c r="C16" s="407" t="s">
        <v>9</v>
      </c>
      <c r="D16" s="411" t="s">
        <v>1451</v>
      </c>
      <c r="E16" s="297" t="s">
        <v>1453</v>
      </c>
    </row>
    <row r="17" spans="2:5" ht="20.100000000000001" customHeight="1">
      <c r="B17" s="406" t="s">
        <v>1449</v>
      </c>
      <c r="C17" s="407" t="s">
        <v>9</v>
      </c>
      <c r="D17" s="412">
        <v>23</v>
      </c>
      <c r="E17" s="297" t="s">
        <v>1453</v>
      </c>
    </row>
    <row r="18" spans="2:5" ht="20.100000000000001" hidden="1" customHeight="1">
      <c r="B18" s="406" t="s">
        <v>1543</v>
      </c>
      <c r="C18" s="407"/>
      <c r="D18" s="412">
        <f>IF((D17&lt;=11),1,3)</f>
        <v>3</v>
      </c>
      <c r="E18" s="297"/>
    </row>
    <row r="19" spans="2:5" ht="20.100000000000001" hidden="1" customHeight="1">
      <c r="B19" s="406" t="s">
        <v>1544</v>
      </c>
      <c r="C19" s="407"/>
      <c r="D19" s="412">
        <f>IF((D17&lt;=11),220,380)</f>
        <v>380</v>
      </c>
      <c r="E19" s="297"/>
    </row>
    <row r="20" spans="2:5" ht="20.100000000000001" customHeight="1">
      <c r="B20" s="406" t="s">
        <v>1450</v>
      </c>
      <c r="C20" s="407" t="s">
        <v>9</v>
      </c>
      <c r="D20" s="412">
        <v>41.5</v>
      </c>
      <c r="E20" s="297" t="s">
        <v>1453</v>
      </c>
    </row>
    <row r="21" spans="2:5" ht="20.100000000000001" hidden="1" customHeight="1">
      <c r="B21" s="406" t="s">
        <v>1543</v>
      </c>
      <c r="C21" s="407"/>
      <c r="D21" s="412">
        <f>IF((D20&lt;=11),1,3)</f>
        <v>3</v>
      </c>
      <c r="E21" s="297"/>
    </row>
    <row r="22" spans="2:5" ht="20.100000000000001" hidden="1" customHeight="1">
      <c r="B22" s="406" t="s">
        <v>1544</v>
      </c>
      <c r="C22" s="407"/>
      <c r="D22" s="412">
        <f>IF((D20&lt;=11),220,380)</f>
        <v>380</v>
      </c>
      <c r="E22" s="297"/>
    </row>
    <row r="23" spans="2:5" ht="20.100000000000001" customHeight="1">
      <c r="B23" s="406" t="s">
        <v>1353</v>
      </c>
      <c r="C23" s="407" t="s">
        <v>9</v>
      </c>
      <c r="D23" s="411">
        <v>1444.7</v>
      </c>
      <c r="E23" s="297" t="s">
        <v>1453</v>
      </c>
    </row>
    <row r="24" spans="2:5" ht="20.100000000000001" customHeight="1">
      <c r="B24" s="406" t="s">
        <v>1354</v>
      </c>
      <c r="C24" s="407" t="s">
        <v>9</v>
      </c>
      <c r="D24" s="411">
        <v>1444.7</v>
      </c>
      <c r="E24" s="297" t="s">
        <v>1453</v>
      </c>
    </row>
    <row r="25" spans="2:5" ht="20.100000000000001" customHeight="1">
      <c r="B25" s="406" t="s">
        <v>1452</v>
      </c>
      <c r="C25" s="407" t="s">
        <v>9</v>
      </c>
      <c r="D25" s="412">
        <v>969</v>
      </c>
      <c r="E25" s="297" t="s">
        <v>1453</v>
      </c>
    </row>
    <row r="26" spans="2:5" ht="20.100000000000001" customHeight="1">
      <c r="B26" s="408" t="s">
        <v>1355</v>
      </c>
      <c r="C26" s="409" t="s">
        <v>9</v>
      </c>
      <c r="D26" s="413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590" t="s">
        <v>1357</v>
      </c>
      <c r="C3" s="590"/>
      <c r="D3" s="590"/>
      <c r="E3" s="590"/>
      <c r="F3" s="302" t="str">
        <f>DATA!D14</f>
        <v>AGR H ALI SA'DI ,H.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584" t="s">
        <v>1349</v>
      </c>
      <c r="C5" s="584" t="s">
        <v>1358</v>
      </c>
      <c r="D5" s="589" t="s">
        <v>1359</v>
      </c>
      <c r="E5" s="589" t="s">
        <v>1360</v>
      </c>
      <c r="F5" s="584" t="s">
        <v>1361</v>
      </c>
      <c r="G5" s="584"/>
      <c r="H5" s="584"/>
      <c r="I5" s="584"/>
      <c r="J5" s="584"/>
      <c r="K5" s="584" t="s">
        <v>1362</v>
      </c>
      <c r="L5" s="584"/>
      <c r="M5" s="304"/>
      <c r="N5" s="587" t="s">
        <v>1363</v>
      </c>
      <c r="O5" s="589" t="s">
        <v>1364</v>
      </c>
      <c r="P5" s="589" t="s">
        <v>1365</v>
      </c>
      <c r="Q5" s="589" t="s">
        <v>1366</v>
      </c>
      <c r="R5" s="305"/>
      <c r="S5" s="306"/>
      <c r="T5" s="585" t="s">
        <v>1367</v>
      </c>
      <c r="U5" s="307"/>
    </row>
    <row r="6" spans="1:21" ht="20.100000000000001" customHeight="1">
      <c r="B6" s="584"/>
      <c r="C6" s="584"/>
      <c r="D6" s="584"/>
      <c r="E6" s="584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588"/>
      <c r="O6" s="584"/>
      <c r="P6" s="584"/>
      <c r="Q6" s="584"/>
      <c r="R6" s="305"/>
      <c r="S6" s="306"/>
      <c r="T6" s="584"/>
      <c r="U6" s="309"/>
    </row>
    <row r="7" spans="1:21" ht="20.100000000000001" customHeight="1">
      <c r="A7" s="310">
        <v>0</v>
      </c>
      <c r="B7" s="311">
        <v>2023</v>
      </c>
      <c r="C7" s="468">
        <f>DATA!D8*DATA!D26*2</f>
        <v>1480</v>
      </c>
      <c r="D7" s="313">
        <f>C7*4/24</f>
        <v>246.66666666666666</v>
      </c>
      <c r="E7" s="313">
        <f>C7-D7</f>
        <v>1233.3333333333333</v>
      </c>
      <c r="F7" s="314">
        <f ca="1">DATA!D10/1000000</f>
        <v>4.5955315350000001</v>
      </c>
      <c r="G7" s="315">
        <f ca="1">DATA!$D$11/1000000</f>
        <v>9.1910630700000009E-2</v>
      </c>
      <c r="H7" s="315">
        <f>C7*DATA!$D$5/1000000</f>
        <v>1.6045050679121444</v>
      </c>
      <c r="I7" s="315">
        <f>(C7*DATA!$D$5*DATA!$D$7)/1000000</f>
        <v>3.610136402802324E-2</v>
      </c>
      <c r="J7" s="313">
        <f ca="1">SUM(F7:I7)</f>
        <v>6.3280485976401684</v>
      </c>
      <c r="K7" s="316">
        <f>DATA!D9/1000000</f>
        <v>17.926500000000001</v>
      </c>
      <c r="L7" s="313">
        <f>((D7*DATA!$D$23)/1000000)+((E7*DATA!$D$24)/1000000)</f>
        <v>2.1381559999999999</v>
      </c>
      <c r="M7" s="313">
        <f>K7+L7</f>
        <v>20.064655999999999</v>
      </c>
      <c r="N7" s="313">
        <f ca="1">M7-J7</f>
        <v>13.73660740235983</v>
      </c>
      <c r="O7" s="311">
        <v>1</v>
      </c>
      <c r="P7" s="313">
        <f ca="1">O7*N7</f>
        <v>13.73660740235983</v>
      </c>
      <c r="Q7" s="313">
        <f ca="1">P7</f>
        <v>13.73660740235983</v>
      </c>
      <c r="S7" s="301" t="str">
        <f ca="1">IF(Q7&lt;0,"a","")</f>
        <v/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8880</v>
      </c>
      <c r="D8" s="313">
        <f>C8*4/24</f>
        <v>1480</v>
      </c>
      <c r="E8" s="313">
        <f t="shared" ref="E8:E32" si="0">C8-D8</f>
        <v>7400</v>
      </c>
      <c r="F8" s="311"/>
      <c r="G8" s="315">
        <f ca="1">DATA!$D$11/1000000</f>
        <v>9.1910630700000009E-2</v>
      </c>
      <c r="H8" s="315">
        <f>C8*DATA!$D$5/1000000</f>
        <v>9.6270304074728674</v>
      </c>
      <c r="I8" s="315">
        <f>(C8*DATA!$D$5*DATA!$D$7)/1000000</f>
        <v>0.21660818416813951</v>
      </c>
      <c r="J8" s="313">
        <f t="shared" ref="J8:J32" ca="1" si="1">SUM(F8:I8)</f>
        <v>9.935549222341006</v>
      </c>
      <c r="K8" s="318"/>
      <c r="L8" s="313">
        <f>((D8*DATA!$D$23)/1000000)+((E8*DATA!$D$24)/1000000)</f>
        <v>12.828936000000001</v>
      </c>
      <c r="M8" s="313">
        <f t="shared" ref="M8:M32" si="2">K8+L8</f>
        <v>12.828936000000001</v>
      </c>
      <c r="N8" s="313">
        <f ca="1">M8-J8</f>
        <v>2.8933867776589945</v>
      </c>
      <c r="O8" s="312">
        <f>1/(1+'[93]Asumsi I'!$C$3)^(KKF!A8)</f>
        <v>0.89285714285714279</v>
      </c>
      <c r="P8" s="313">
        <f ca="1">O8*N8</f>
        <v>2.5833810514812448</v>
      </c>
      <c r="Q8" s="313">
        <f ca="1">Q7+P8</f>
        <v>16.319988453841074</v>
      </c>
      <c r="S8" s="301" t="str">
        <f t="shared" ref="S8:S32" ca="1" si="3">IF(Q8&lt;0,"a","")</f>
        <v/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8880</v>
      </c>
      <c r="D9" s="313">
        <f t="shared" ref="D9:D32" si="5">C9*4/24</f>
        <v>1480</v>
      </c>
      <c r="E9" s="313">
        <f t="shared" si="0"/>
        <v>7400</v>
      </c>
      <c r="F9" s="311"/>
      <c r="G9" s="315">
        <f ca="1">DATA!$D$11/1000000</f>
        <v>9.1910630700000009E-2</v>
      </c>
      <c r="H9" s="315">
        <f>C9*DATA!$D$5/1000000</f>
        <v>9.6270304074728674</v>
      </c>
      <c r="I9" s="315">
        <f>(C9*DATA!$D$5*DATA!$D$7)/1000000</f>
        <v>0.21660818416813951</v>
      </c>
      <c r="J9" s="313">
        <f t="shared" ca="1" si="1"/>
        <v>9.935549222341006</v>
      </c>
      <c r="K9" s="313"/>
      <c r="L9" s="313">
        <f>((D9*DATA!$D$23)/1000000)+((E9*DATA!$D$24)/1000000)</f>
        <v>12.828936000000001</v>
      </c>
      <c r="M9" s="313">
        <f t="shared" si="2"/>
        <v>12.828936000000001</v>
      </c>
      <c r="N9" s="313">
        <f t="shared" ref="N9:N32" ca="1" si="6">M9-J9</f>
        <v>2.8933867776589945</v>
      </c>
      <c r="O9" s="319">
        <f>1/(1+'[93]Asumsi I'!$C$3)^(KKF!A9)</f>
        <v>0.79719387755102034</v>
      </c>
      <c r="P9" s="313">
        <f t="shared" ref="P9:P32" ca="1" si="7">O9*N9</f>
        <v>2.3065902245368259</v>
      </c>
      <c r="Q9" s="313">
        <f ca="1">Q8+P9</f>
        <v>18.6265786783779</v>
      </c>
      <c r="S9" s="301" t="str">
        <f t="shared" ca="1" si="3"/>
        <v/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8880</v>
      </c>
      <c r="D10" s="313">
        <f t="shared" si="5"/>
        <v>1480</v>
      </c>
      <c r="E10" s="313">
        <f t="shared" si="0"/>
        <v>7400</v>
      </c>
      <c r="F10" s="311"/>
      <c r="G10" s="315">
        <f ca="1">DATA!$D$11/1000000</f>
        <v>9.1910630700000009E-2</v>
      </c>
      <c r="H10" s="315">
        <f>C10*DATA!$D$5/1000000</f>
        <v>9.6270304074728674</v>
      </c>
      <c r="I10" s="315">
        <f>(C10*DATA!$D$5*DATA!$D$7)/1000000</f>
        <v>0.21660818416813951</v>
      </c>
      <c r="J10" s="313">
        <f t="shared" ca="1" si="1"/>
        <v>9.935549222341006</v>
      </c>
      <c r="K10" s="311"/>
      <c r="L10" s="313">
        <f>((D10*DATA!$D$23)/1000000)+((E10*DATA!$D$24)/1000000)</f>
        <v>12.828936000000001</v>
      </c>
      <c r="M10" s="313">
        <f t="shared" si="2"/>
        <v>12.828936000000001</v>
      </c>
      <c r="N10" s="313">
        <f t="shared" ca="1" si="6"/>
        <v>2.8933867776589945</v>
      </c>
      <c r="O10" s="312">
        <f>1/(1+'[93]Asumsi I'!$C$3)^(KKF!A10)</f>
        <v>0.71178024781341087</v>
      </c>
      <c r="P10" s="313">
        <f t="shared" ca="1" si="7"/>
        <v>2.0594555576221656</v>
      </c>
      <c r="Q10" s="313">
        <f t="shared" ref="Q10:Q30" ca="1" si="9">Q9+P10</f>
        <v>20.686034236000065</v>
      </c>
      <c r="S10" s="301" t="str">
        <f t="shared" ca="1" si="3"/>
        <v/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8880</v>
      </c>
      <c r="D11" s="313">
        <f t="shared" si="5"/>
        <v>1480</v>
      </c>
      <c r="E11" s="313">
        <f t="shared" si="0"/>
        <v>7400</v>
      </c>
      <c r="F11" s="311"/>
      <c r="G11" s="315">
        <f ca="1">DATA!$D$11/1000000</f>
        <v>9.1910630700000009E-2</v>
      </c>
      <c r="H11" s="315">
        <f>C11*DATA!$D$5/1000000</f>
        <v>9.6270304074728674</v>
      </c>
      <c r="I11" s="315">
        <f>(C11*DATA!$D$5*DATA!$D$7)/1000000</f>
        <v>0.21660818416813951</v>
      </c>
      <c r="J11" s="313">
        <f t="shared" ca="1" si="1"/>
        <v>9.935549222341006</v>
      </c>
      <c r="K11" s="311"/>
      <c r="L11" s="313">
        <f>((D11*DATA!$D$23)/1000000)+((E11*DATA!$D$24)/1000000)</f>
        <v>12.828936000000001</v>
      </c>
      <c r="M11" s="313">
        <f t="shared" si="2"/>
        <v>12.828936000000001</v>
      </c>
      <c r="N11" s="313">
        <f t="shared" ca="1" si="6"/>
        <v>2.8933867776589945</v>
      </c>
      <c r="O11" s="312">
        <f>1/(1+'[93]Asumsi I'!$C$3)^(KKF!A11)</f>
        <v>0.63551807840483121</v>
      </c>
      <c r="P11" s="313">
        <f t="shared" ca="1" si="7"/>
        <v>1.8387996050197908</v>
      </c>
      <c r="Q11" s="313">
        <f t="shared" ca="1" si="9"/>
        <v>22.524833841019856</v>
      </c>
      <c r="S11" s="301" t="str">
        <f t="shared" ca="1" si="3"/>
        <v/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8880</v>
      </c>
      <c r="D12" s="313">
        <f t="shared" si="5"/>
        <v>1480</v>
      </c>
      <c r="E12" s="313">
        <f t="shared" si="0"/>
        <v>7400</v>
      </c>
      <c r="F12" s="311"/>
      <c r="G12" s="315">
        <f ca="1">DATA!$D$11/1000000</f>
        <v>9.1910630700000009E-2</v>
      </c>
      <c r="H12" s="315">
        <f>C12*DATA!$D$5/1000000</f>
        <v>9.6270304074728674</v>
      </c>
      <c r="I12" s="315">
        <f>(C12*DATA!$D$5*DATA!$D$7)/1000000</f>
        <v>0.21660818416813951</v>
      </c>
      <c r="J12" s="313">
        <f t="shared" ca="1" si="1"/>
        <v>9.935549222341006</v>
      </c>
      <c r="K12" s="311"/>
      <c r="L12" s="313">
        <f>((D12*DATA!$D$23)/1000000)+((E12*DATA!$D$24)/1000000)</f>
        <v>12.828936000000001</v>
      </c>
      <c r="M12" s="313">
        <f t="shared" si="2"/>
        <v>12.828936000000001</v>
      </c>
      <c r="N12" s="313">
        <f t="shared" ca="1" si="6"/>
        <v>2.8933867776589945</v>
      </c>
      <c r="O12" s="312">
        <f>1/(1+'[93]Asumsi I'!$C$3)^(KKF!A12)</f>
        <v>0.56742685571859919</v>
      </c>
      <c r="P12" s="313">
        <f t="shared" ca="1" si="7"/>
        <v>1.641785361624813</v>
      </c>
      <c r="Q12" s="313">
        <f t="shared" ca="1" si="9"/>
        <v>24.166619202644668</v>
      </c>
      <c r="S12" s="301" t="str">
        <f t="shared" ca="1" si="3"/>
        <v/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8880</v>
      </c>
      <c r="D13" s="313">
        <f t="shared" si="5"/>
        <v>1480</v>
      </c>
      <c r="E13" s="313">
        <f t="shared" si="0"/>
        <v>7400</v>
      </c>
      <c r="F13" s="311"/>
      <c r="G13" s="315">
        <f ca="1">DATA!$D$11/1000000</f>
        <v>9.1910630700000009E-2</v>
      </c>
      <c r="H13" s="315">
        <f>C13*DATA!$D$5/1000000</f>
        <v>9.6270304074728674</v>
      </c>
      <c r="I13" s="315">
        <f>(C13*DATA!$D$5*DATA!$D$7)/1000000</f>
        <v>0.21660818416813951</v>
      </c>
      <c r="J13" s="313">
        <f t="shared" ca="1" si="1"/>
        <v>9.935549222341006</v>
      </c>
      <c r="K13" s="311"/>
      <c r="L13" s="313">
        <f>((D13*DATA!$D$23)/1000000)+((E13*DATA!$D$24)/1000000)</f>
        <v>12.828936000000001</v>
      </c>
      <c r="M13" s="313">
        <f t="shared" si="2"/>
        <v>12.828936000000001</v>
      </c>
      <c r="N13" s="313">
        <f t="shared" ca="1" si="6"/>
        <v>2.8933867776589945</v>
      </c>
      <c r="O13" s="312">
        <f>1/(1+'[93]Asumsi I'!$C$3)^(KKF!A13)</f>
        <v>0.50663112117732068</v>
      </c>
      <c r="P13" s="313">
        <f t="shared" ca="1" si="7"/>
        <v>1.4658797871650115</v>
      </c>
      <c r="Q13" s="313">
        <f t="shared" ca="1" si="9"/>
        <v>25.63249898980968</v>
      </c>
      <c r="S13" s="301" t="str">
        <f t="shared" ca="1" si="3"/>
        <v/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8880</v>
      </c>
      <c r="D14" s="313">
        <f t="shared" si="5"/>
        <v>1480</v>
      </c>
      <c r="E14" s="313">
        <f t="shared" si="0"/>
        <v>7400</v>
      </c>
      <c r="F14" s="311"/>
      <c r="G14" s="315">
        <f ca="1">DATA!$D$11/1000000</f>
        <v>9.1910630700000009E-2</v>
      </c>
      <c r="H14" s="315">
        <f>C14*DATA!$D$5/1000000</f>
        <v>9.6270304074728674</v>
      </c>
      <c r="I14" s="315">
        <f>(C14*DATA!$D$5*DATA!$D$7)/1000000</f>
        <v>0.21660818416813951</v>
      </c>
      <c r="J14" s="313">
        <f t="shared" ca="1" si="1"/>
        <v>9.935549222341006</v>
      </c>
      <c r="K14" s="311"/>
      <c r="L14" s="313">
        <f>((D14*DATA!$D$23)/1000000)+((E14*DATA!$D$24)/1000000)</f>
        <v>12.828936000000001</v>
      </c>
      <c r="M14" s="313">
        <f t="shared" si="2"/>
        <v>12.828936000000001</v>
      </c>
      <c r="N14" s="313">
        <f t="shared" ca="1" si="6"/>
        <v>2.8933867776589945</v>
      </c>
      <c r="O14" s="312">
        <f>1/(1+'[93]Asumsi I'!$C$3)^(KKF!A14)</f>
        <v>0.45234921533689343</v>
      </c>
      <c r="P14" s="313">
        <f t="shared" ca="1" si="7"/>
        <v>1.3088212385401887</v>
      </c>
      <c r="Q14" s="313">
        <f t="shared" ca="1" si="9"/>
        <v>26.94132022834987</v>
      </c>
      <c r="S14" s="301" t="str">
        <f t="shared" ca="1" si="3"/>
        <v/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8880</v>
      </c>
      <c r="D15" s="313">
        <f t="shared" si="5"/>
        <v>1480</v>
      </c>
      <c r="E15" s="313">
        <f t="shared" si="0"/>
        <v>7400</v>
      </c>
      <c r="F15" s="311"/>
      <c r="G15" s="315">
        <f ca="1">DATA!$D$11/1000000</f>
        <v>9.1910630700000009E-2</v>
      </c>
      <c r="H15" s="315">
        <f>C15*DATA!$D$5/1000000</f>
        <v>9.6270304074728674</v>
      </c>
      <c r="I15" s="315">
        <f>(C15*DATA!$D$5*DATA!$D$7)/1000000</f>
        <v>0.21660818416813951</v>
      </c>
      <c r="J15" s="313">
        <f t="shared" ca="1" si="1"/>
        <v>9.935549222341006</v>
      </c>
      <c r="K15" s="311"/>
      <c r="L15" s="313">
        <f>((D15*DATA!$D$23)/1000000)+((E15*DATA!$D$24)/1000000)</f>
        <v>12.828936000000001</v>
      </c>
      <c r="M15" s="313">
        <f t="shared" si="2"/>
        <v>12.828936000000001</v>
      </c>
      <c r="N15" s="313">
        <f t="shared" ca="1" si="6"/>
        <v>2.8933867776589945</v>
      </c>
      <c r="O15" s="312">
        <f>1/(1+'[93]Asumsi I'!$C$3)^(KKF!A15)</f>
        <v>0.4038832279793691</v>
      </c>
      <c r="P15" s="313">
        <f t="shared" ca="1" si="7"/>
        <v>1.1685903915537399</v>
      </c>
      <c r="Q15" s="313">
        <f t="shared" ca="1" si="9"/>
        <v>28.109910619903609</v>
      </c>
      <c r="S15" s="301" t="str">
        <f t="shared" ca="1" si="3"/>
        <v/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8880</v>
      </c>
      <c r="D16" s="313">
        <f t="shared" si="5"/>
        <v>1480</v>
      </c>
      <c r="E16" s="313">
        <f t="shared" si="0"/>
        <v>7400</v>
      </c>
      <c r="F16" s="311"/>
      <c r="G16" s="315">
        <f ca="1">DATA!$D$11/1000000</f>
        <v>9.1910630700000009E-2</v>
      </c>
      <c r="H16" s="315">
        <f>C16*DATA!$D$5/1000000</f>
        <v>9.6270304074728674</v>
      </c>
      <c r="I16" s="315">
        <f>(C16*DATA!$D$5*DATA!$D$7)/1000000</f>
        <v>0.21660818416813951</v>
      </c>
      <c r="J16" s="313">
        <f t="shared" ca="1" si="1"/>
        <v>9.935549222341006</v>
      </c>
      <c r="K16" s="311"/>
      <c r="L16" s="313">
        <f>((D16*DATA!$D$23)/1000000)+((E16*DATA!$D$24)/1000000)</f>
        <v>12.828936000000001</v>
      </c>
      <c r="M16" s="313">
        <f t="shared" si="2"/>
        <v>12.828936000000001</v>
      </c>
      <c r="N16" s="313">
        <f t="shared" ca="1" si="6"/>
        <v>2.8933867776589945</v>
      </c>
      <c r="O16" s="312">
        <f>1/(1+'[93]Asumsi I'!$C$3)^(KKF!A16)</f>
        <v>0.36061002498157957</v>
      </c>
      <c r="P16" s="313">
        <f t="shared" ca="1" si="7"/>
        <v>1.0433842781729821</v>
      </c>
      <c r="Q16" s="313">
        <f t="shared" ca="1" si="9"/>
        <v>29.153294898076592</v>
      </c>
      <c r="S16" s="301" t="str">
        <f t="shared" ca="1" si="3"/>
        <v/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8880</v>
      </c>
      <c r="D17" s="313">
        <f t="shared" si="5"/>
        <v>1480</v>
      </c>
      <c r="E17" s="313">
        <f t="shared" si="0"/>
        <v>7400</v>
      </c>
      <c r="F17" s="311"/>
      <c r="G17" s="315">
        <f ca="1">DATA!$D$11/1000000</f>
        <v>9.1910630700000009E-2</v>
      </c>
      <c r="H17" s="315">
        <f>C17*DATA!$D$5/1000000</f>
        <v>9.6270304074728674</v>
      </c>
      <c r="I17" s="315">
        <f>(C17*DATA!$D$5*DATA!$D$7)/1000000</f>
        <v>0.21660818416813951</v>
      </c>
      <c r="J17" s="313">
        <f t="shared" ca="1" si="1"/>
        <v>9.935549222341006</v>
      </c>
      <c r="K17" s="311"/>
      <c r="L17" s="313">
        <f>((D17*DATA!$D$23)/1000000)+((E17*DATA!$D$24)/1000000)</f>
        <v>12.828936000000001</v>
      </c>
      <c r="M17" s="313">
        <f t="shared" si="2"/>
        <v>12.828936000000001</v>
      </c>
      <c r="N17" s="313">
        <f t="shared" ca="1" si="6"/>
        <v>2.8933867776589945</v>
      </c>
      <c r="O17" s="312">
        <f>1/(1+'[93]Asumsi I'!$C$3)^(KKF!A17)</f>
        <v>0.32197323659069599</v>
      </c>
      <c r="P17" s="313">
        <f t="shared" ca="1" si="7"/>
        <v>0.93159310551159091</v>
      </c>
      <c r="Q17" s="313">
        <f t="shared" ca="1" si="9"/>
        <v>30.084888003588183</v>
      </c>
      <c r="S17" s="301" t="str">
        <f t="shared" ca="1" si="3"/>
        <v/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8880</v>
      </c>
      <c r="D18" s="313">
        <f t="shared" si="5"/>
        <v>1480</v>
      </c>
      <c r="E18" s="313">
        <f t="shared" si="0"/>
        <v>7400</v>
      </c>
      <c r="F18" s="311"/>
      <c r="G18" s="315">
        <f ca="1">DATA!$D$11/1000000</f>
        <v>9.1910630700000009E-2</v>
      </c>
      <c r="H18" s="315">
        <f>C18*DATA!$D$5/1000000</f>
        <v>9.6270304074728674</v>
      </c>
      <c r="I18" s="315">
        <f>(C18*DATA!$D$5*DATA!$D$7)/1000000</f>
        <v>0.21660818416813951</v>
      </c>
      <c r="J18" s="313">
        <f t="shared" ca="1" si="1"/>
        <v>9.935549222341006</v>
      </c>
      <c r="K18" s="311"/>
      <c r="L18" s="313">
        <f>((D18*DATA!$D$23)/1000000)+((E18*DATA!$D$24)/1000000)</f>
        <v>12.828936000000001</v>
      </c>
      <c r="M18" s="313">
        <f t="shared" si="2"/>
        <v>12.828936000000001</v>
      </c>
      <c r="N18" s="313">
        <f t="shared" ca="1" si="6"/>
        <v>2.8933867776589945</v>
      </c>
      <c r="O18" s="312">
        <f>1/(1+'[93]Asumsi I'!$C$3)^(KKF!A18)</f>
        <v>0.28747610409883567</v>
      </c>
      <c r="P18" s="313">
        <f t="shared" ca="1" si="7"/>
        <v>0.83177955849249186</v>
      </c>
      <c r="Q18" s="313">
        <f t="shared" ca="1" si="9"/>
        <v>30.916667562080676</v>
      </c>
      <c r="S18" s="301" t="str">
        <f t="shared" ca="1" si="3"/>
        <v/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8880</v>
      </c>
      <c r="D19" s="313">
        <f t="shared" si="5"/>
        <v>1480</v>
      </c>
      <c r="E19" s="313">
        <f t="shared" si="0"/>
        <v>7400</v>
      </c>
      <c r="F19" s="311"/>
      <c r="G19" s="315">
        <f ca="1">DATA!$D$11/1000000</f>
        <v>9.1910630700000009E-2</v>
      </c>
      <c r="H19" s="315">
        <f>C19*DATA!$D$5/1000000</f>
        <v>9.6270304074728674</v>
      </c>
      <c r="I19" s="315">
        <f>(C19*DATA!$D$5*DATA!$D$7)/1000000</f>
        <v>0.21660818416813951</v>
      </c>
      <c r="J19" s="313">
        <f t="shared" ca="1" si="1"/>
        <v>9.935549222341006</v>
      </c>
      <c r="K19" s="311"/>
      <c r="L19" s="313">
        <f>((D19*DATA!$D$23)/1000000)+((E19*DATA!$D$24)/1000000)</f>
        <v>12.828936000000001</v>
      </c>
      <c r="M19" s="313">
        <f t="shared" si="2"/>
        <v>12.828936000000001</v>
      </c>
      <c r="N19" s="313">
        <f t="shared" ca="1" si="6"/>
        <v>2.8933867776589945</v>
      </c>
      <c r="O19" s="312">
        <f>1/(1+'[93]Asumsi I'!$C$3)^(KKF!A19)</f>
        <v>0.25667509294538904</v>
      </c>
      <c r="P19" s="313">
        <f t="shared" ca="1" si="7"/>
        <v>0.74266032008258209</v>
      </c>
      <c r="Q19" s="313">
        <f t="shared" ca="1" si="9"/>
        <v>31.659327882163257</v>
      </c>
      <c r="S19" s="301" t="str">
        <f t="shared" ca="1" si="3"/>
        <v/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8880</v>
      </c>
      <c r="D20" s="313">
        <f t="shared" si="5"/>
        <v>1480</v>
      </c>
      <c r="E20" s="313">
        <f t="shared" si="0"/>
        <v>7400</v>
      </c>
      <c r="F20" s="311"/>
      <c r="G20" s="315">
        <f ca="1">DATA!$D$11/1000000</f>
        <v>9.1910630700000009E-2</v>
      </c>
      <c r="H20" s="315">
        <f>C20*DATA!$D$5/1000000</f>
        <v>9.6270304074728674</v>
      </c>
      <c r="I20" s="315">
        <f>(C20*DATA!$D$5*DATA!$D$7)/1000000</f>
        <v>0.21660818416813951</v>
      </c>
      <c r="J20" s="313">
        <f t="shared" ca="1" si="1"/>
        <v>9.935549222341006</v>
      </c>
      <c r="K20" s="311"/>
      <c r="L20" s="313">
        <f>((D20*DATA!$D$23)/1000000)+((E20*DATA!$D$24)/1000000)</f>
        <v>12.828936000000001</v>
      </c>
      <c r="M20" s="313">
        <f t="shared" si="2"/>
        <v>12.828936000000001</v>
      </c>
      <c r="N20" s="313">
        <f t="shared" ca="1" si="6"/>
        <v>2.8933867776589945</v>
      </c>
      <c r="O20" s="312">
        <f>1/(1+'[93]Asumsi I'!$C$3)^(KKF!A20)</f>
        <v>0.22917419012981158</v>
      </c>
      <c r="P20" s="313">
        <f t="shared" ca="1" si="7"/>
        <v>0.6630895715023053</v>
      </c>
      <c r="Q20" s="313">
        <f t="shared" ca="1" si="9"/>
        <v>32.322417453665565</v>
      </c>
      <c r="S20" s="301" t="str">
        <f t="shared" ca="1" si="3"/>
        <v/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8880</v>
      </c>
      <c r="D21" s="313">
        <f t="shared" si="5"/>
        <v>1480</v>
      </c>
      <c r="E21" s="313">
        <f t="shared" si="0"/>
        <v>7400</v>
      </c>
      <c r="F21" s="311"/>
      <c r="G21" s="315">
        <f ca="1">DATA!$D$11/1000000</f>
        <v>9.1910630700000009E-2</v>
      </c>
      <c r="H21" s="315">
        <f>C21*DATA!$D$5/1000000</f>
        <v>9.6270304074728674</v>
      </c>
      <c r="I21" s="315">
        <f>(C21*DATA!$D$5*DATA!$D$7)/1000000</f>
        <v>0.21660818416813951</v>
      </c>
      <c r="J21" s="313">
        <f t="shared" ca="1" si="1"/>
        <v>9.935549222341006</v>
      </c>
      <c r="K21" s="311"/>
      <c r="L21" s="313">
        <f>((D21*DATA!$D$23)/1000000)+((E21*DATA!$D$24)/1000000)</f>
        <v>12.828936000000001</v>
      </c>
      <c r="M21" s="313">
        <f t="shared" si="2"/>
        <v>12.828936000000001</v>
      </c>
      <c r="N21" s="313">
        <f t="shared" ca="1" si="6"/>
        <v>2.8933867776589945</v>
      </c>
      <c r="O21" s="312">
        <f>1/(1+'[93]Asumsi I'!$C$3)^(KKF!A21)</f>
        <v>0.20461981261590317</v>
      </c>
      <c r="P21" s="313">
        <f t="shared" ca="1" si="7"/>
        <v>0.59204426026991541</v>
      </c>
      <c r="Q21" s="313">
        <f t="shared" ca="1" si="9"/>
        <v>32.914461713935481</v>
      </c>
      <c r="S21" s="301" t="str">
        <f t="shared" ca="1" si="3"/>
        <v/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8880</v>
      </c>
      <c r="D22" s="313">
        <f t="shared" si="5"/>
        <v>1480</v>
      </c>
      <c r="E22" s="313">
        <f t="shared" si="0"/>
        <v>7400</v>
      </c>
      <c r="F22" s="311"/>
      <c r="G22" s="315">
        <f ca="1">DATA!$D$11/1000000</f>
        <v>9.1910630700000009E-2</v>
      </c>
      <c r="H22" s="315">
        <f>C22*DATA!$D$5/1000000</f>
        <v>9.6270304074728674</v>
      </c>
      <c r="I22" s="315">
        <f>(C22*DATA!$D$5*DATA!$D$7)/1000000</f>
        <v>0.21660818416813951</v>
      </c>
      <c r="J22" s="313">
        <f t="shared" ca="1" si="1"/>
        <v>9.935549222341006</v>
      </c>
      <c r="K22" s="311"/>
      <c r="L22" s="313">
        <f>((D22*DATA!$D$23)/1000000)+((E22*DATA!$D$24)/1000000)</f>
        <v>12.828936000000001</v>
      </c>
      <c r="M22" s="313">
        <f t="shared" si="2"/>
        <v>12.828936000000001</v>
      </c>
      <c r="N22" s="313">
        <f t="shared" ca="1" si="6"/>
        <v>2.8933867776589945</v>
      </c>
      <c r="O22" s="312">
        <f>1/(1+'[93]Asumsi I'!$C$3)^(KKF!A22)</f>
        <v>0.18269626126419927</v>
      </c>
      <c r="P22" s="313">
        <f t="shared" ca="1" si="7"/>
        <v>0.52861094666956732</v>
      </c>
      <c r="Q22" s="313">
        <f t="shared" ca="1" si="9"/>
        <v>33.443072660605047</v>
      </c>
      <c r="S22" s="301" t="str">
        <f t="shared" ca="1" si="3"/>
        <v/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8880</v>
      </c>
      <c r="D23" s="313">
        <f t="shared" si="5"/>
        <v>1480</v>
      </c>
      <c r="E23" s="313">
        <f t="shared" si="0"/>
        <v>7400</v>
      </c>
      <c r="F23" s="311"/>
      <c r="G23" s="315">
        <f ca="1">DATA!$D$11/1000000</f>
        <v>9.1910630700000009E-2</v>
      </c>
      <c r="H23" s="315">
        <f>C23*DATA!$D$5/1000000</f>
        <v>9.6270304074728674</v>
      </c>
      <c r="I23" s="315">
        <f>(C23*DATA!$D$5*DATA!$D$7)/1000000</f>
        <v>0.21660818416813951</v>
      </c>
      <c r="J23" s="313">
        <f t="shared" ca="1" si="1"/>
        <v>9.935549222341006</v>
      </c>
      <c r="K23" s="311"/>
      <c r="L23" s="313">
        <f>((D23*DATA!$D$23)/1000000)+((E23*DATA!$D$24)/1000000)</f>
        <v>12.828936000000001</v>
      </c>
      <c r="M23" s="313">
        <f t="shared" si="2"/>
        <v>12.828936000000001</v>
      </c>
      <c r="N23" s="313">
        <f t="shared" ca="1" si="6"/>
        <v>2.8933867776589945</v>
      </c>
      <c r="O23" s="312">
        <f>1/(1+'[93]Asumsi I'!$C$3)^(KKF!A23)</f>
        <v>0.16312166184303503</v>
      </c>
      <c r="P23" s="313">
        <f t="shared" ca="1" si="7"/>
        <v>0.47197405952639931</v>
      </c>
      <c r="Q23" s="313">
        <f t="shared" ca="1" si="9"/>
        <v>33.91504672013145</v>
      </c>
      <c r="S23" s="301" t="str">
        <f t="shared" ca="1" si="3"/>
        <v/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8880</v>
      </c>
      <c r="D24" s="313">
        <f t="shared" si="5"/>
        <v>1480</v>
      </c>
      <c r="E24" s="313">
        <f t="shared" si="0"/>
        <v>7400</v>
      </c>
      <c r="F24" s="311"/>
      <c r="G24" s="315">
        <f ca="1">DATA!$D$11/1000000</f>
        <v>9.1910630700000009E-2</v>
      </c>
      <c r="H24" s="315">
        <f>C24*DATA!$D$5/1000000</f>
        <v>9.6270304074728674</v>
      </c>
      <c r="I24" s="315">
        <f>(C24*DATA!$D$5*DATA!$D$7)/1000000</f>
        <v>0.21660818416813951</v>
      </c>
      <c r="J24" s="313">
        <f t="shared" ca="1" si="1"/>
        <v>9.935549222341006</v>
      </c>
      <c r="K24" s="311"/>
      <c r="L24" s="313">
        <f>((D24*DATA!$D$23)/1000000)+((E24*DATA!$D$24)/1000000)</f>
        <v>12.828936000000001</v>
      </c>
      <c r="M24" s="313">
        <f t="shared" si="2"/>
        <v>12.828936000000001</v>
      </c>
      <c r="N24" s="313">
        <f t="shared" ca="1" si="6"/>
        <v>2.8933867776589945</v>
      </c>
      <c r="O24" s="312">
        <f>1/(1+'[93]Asumsi I'!$C$3)^(KKF!A24)</f>
        <v>0.14564434093128129</v>
      </c>
      <c r="P24" s="313">
        <f t="shared" ca="1" si="7"/>
        <v>0.42140541029142797</v>
      </c>
      <c r="Q24" s="313">
        <f t="shared" ca="1" si="9"/>
        <v>34.336452130422877</v>
      </c>
      <c r="S24" s="301" t="str">
        <f t="shared" ca="1" si="3"/>
        <v/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8880</v>
      </c>
      <c r="D25" s="313">
        <f t="shared" si="5"/>
        <v>1480</v>
      </c>
      <c r="E25" s="313">
        <f t="shared" si="0"/>
        <v>7400</v>
      </c>
      <c r="F25" s="311"/>
      <c r="G25" s="315">
        <f ca="1">DATA!$D$11/1000000</f>
        <v>9.1910630700000009E-2</v>
      </c>
      <c r="H25" s="315">
        <f>C25*DATA!$D$5/1000000</f>
        <v>9.6270304074728674</v>
      </c>
      <c r="I25" s="315">
        <f>(C25*DATA!$D$5*DATA!$D$7)/1000000</f>
        <v>0.21660818416813951</v>
      </c>
      <c r="J25" s="313">
        <f t="shared" ca="1" si="1"/>
        <v>9.935549222341006</v>
      </c>
      <c r="K25" s="311"/>
      <c r="L25" s="313">
        <f>((D25*DATA!$D$23)/1000000)+((E25*DATA!$D$24)/1000000)</f>
        <v>12.828936000000001</v>
      </c>
      <c r="M25" s="313">
        <f t="shared" si="2"/>
        <v>12.828936000000001</v>
      </c>
      <c r="N25" s="313">
        <f t="shared" ca="1" si="6"/>
        <v>2.8933867776589945</v>
      </c>
      <c r="O25" s="312">
        <f>1/(1+'[93]Asumsi I'!$C$3)^(KKF!A25)</f>
        <v>0.13003959011721541</v>
      </c>
      <c r="P25" s="313">
        <f t="shared" ca="1" si="7"/>
        <v>0.37625483061734633</v>
      </c>
      <c r="Q25" s="313">
        <f t="shared" ca="1" si="9"/>
        <v>34.712706961040226</v>
      </c>
      <c r="S25" s="301" t="str">
        <f t="shared" ca="1" si="3"/>
        <v/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8880</v>
      </c>
      <c r="D26" s="313">
        <f t="shared" si="5"/>
        <v>1480</v>
      </c>
      <c r="E26" s="313">
        <f t="shared" si="0"/>
        <v>7400</v>
      </c>
      <c r="F26" s="311"/>
      <c r="G26" s="315">
        <f ca="1">DATA!$D$11/1000000</f>
        <v>9.1910630700000009E-2</v>
      </c>
      <c r="H26" s="315">
        <f>C26*DATA!$D$5/1000000</f>
        <v>9.6270304074728674</v>
      </c>
      <c r="I26" s="315">
        <f>(C26*DATA!$D$5*DATA!$D$7)/1000000</f>
        <v>0.21660818416813951</v>
      </c>
      <c r="J26" s="313">
        <f t="shared" ca="1" si="1"/>
        <v>9.935549222341006</v>
      </c>
      <c r="K26" s="311"/>
      <c r="L26" s="313">
        <f>((D26*DATA!$D$23)/1000000)+((E26*DATA!$D$24)/1000000)</f>
        <v>12.828936000000001</v>
      </c>
      <c r="M26" s="313">
        <f t="shared" si="2"/>
        <v>12.828936000000001</v>
      </c>
      <c r="N26" s="313">
        <f t="shared" ca="1" si="6"/>
        <v>2.8933867776589945</v>
      </c>
      <c r="O26" s="312">
        <f>1/(1+'[93]Asumsi I'!$C$3)^(KKF!A26)</f>
        <v>0.1161067768903709</v>
      </c>
      <c r="P26" s="313">
        <f t="shared" ca="1" si="7"/>
        <v>0.33594181305120208</v>
      </c>
      <c r="Q26" s="313">
        <f t="shared" ca="1" si="9"/>
        <v>35.048648774091426</v>
      </c>
      <c r="S26" s="301" t="str">
        <f t="shared" ca="1" si="3"/>
        <v/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8880</v>
      </c>
      <c r="D27" s="313">
        <f t="shared" si="5"/>
        <v>1480</v>
      </c>
      <c r="E27" s="313">
        <f t="shared" si="0"/>
        <v>7400</v>
      </c>
      <c r="F27" s="311"/>
      <c r="G27" s="315">
        <f ca="1">DATA!$D$11/1000000</f>
        <v>9.1910630700000009E-2</v>
      </c>
      <c r="H27" s="315">
        <f>C27*DATA!$D$5/1000000</f>
        <v>9.6270304074728674</v>
      </c>
      <c r="I27" s="315">
        <f>(C27*DATA!$D$5*DATA!$D$7)/1000000</f>
        <v>0.21660818416813951</v>
      </c>
      <c r="J27" s="313">
        <f t="shared" ca="1" si="1"/>
        <v>9.935549222341006</v>
      </c>
      <c r="K27" s="311"/>
      <c r="L27" s="313">
        <f>((D27*DATA!$D$23)/1000000)+((E27*DATA!$D$24)/1000000)</f>
        <v>12.828936000000001</v>
      </c>
      <c r="M27" s="313">
        <f t="shared" si="2"/>
        <v>12.828936000000001</v>
      </c>
      <c r="N27" s="313">
        <f t="shared" ca="1" si="6"/>
        <v>2.8933867776589945</v>
      </c>
      <c r="O27" s="312">
        <f>1/(1+'[93]Asumsi I'!$C$3)^(KKF!A27)</f>
        <v>0.1036667650806883</v>
      </c>
      <c r="P27" s="313">
        <f t="shared" ca="1" si="7"/>
        <v>0.2999480473671447</v>
      </c>
      <c r="Q27" s="313">
        <f t="shared" ca="1" si="9"/>
        <v>35.348596821458571</v>
      </c>
      <c r="S27" s="301" t="str">
        <f t="shared" ca="1" si="3"/>
        <v/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8880</v>
      </c>
      <c r="D28" s="313">
        <f t="shared" si="5"/>
        <v>1480</v>
      </c>
      <c r="E28" s="313">
        <f t="shared" si="0"/>
        <v>7400</v>
      </c>
      <c r="F28" s="311"/>
      <c r="G28" s="315">
        <f ca="1">DATA!$D$11/1000000</f>
        <v>9.1910630700000009E-2</v>
      </c>
      <c r="H28" s="315">
        <f>C28*DATA!$D$5/1000000</f>
        <v>9.6270304074728674</v>
      </c>
      <c r="I28" s="315">
        <f>(C28*DATA!$D$5*DATA!$D$7)/1000000</f>
        <v>0.21660818416813951</v>
      </c>
      <c r="J28" s="313">
        <f t="shared" ca="1" si="1"/>
        <v>9.935549222341006</v>
      </c>
      <c r="K28" s="311"/>
      <c r="L28" s="313">
        <f>((D28*DATA!$D$23)/1000000)+((E28*DATA!$D$24)/1000000)</f>
        <v>12.828936000000001</v>
      </c>
      <c r="M28" s="313">
        <f t="shared" si="2"/>
        <v>12.828936000000001</v>
      </c>
      <c r="N28" s="313">
        <f t="shared" ca="1" si="6"/>
        <v>2.8933867776589945</v>
      </c>
      <c r="O28" s="312">
        <f>1/(1+'[93]Asumsi I'!$C$3)^(KKF!A28)</f>
        <v>9.2559611679185971E-2</v>
      </c>
      <c r="P28" s="313">
        <f t="shared" ca="1" si="7"/>
        <v>0.26781075657780773</v>
      </c>
      <c r="Q28" s="313">
        <f t="shared" ca="1" si="9"/>
        <v>35.61640757803638</v>
      </c>
      <c r="S28" s="301" t="str">
        <f t="shared" ca="1" si="3"/>
        <v/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8880</v>
      </c>
      <c r="D29" s="313">
        <f t="shared" si="5"/>
        <v>1480</v>
      </c>
      <c r="E29" s="313">
        <f t="shared" si="0"/>
        <v>7400</v>
      </c>
      <c r="F29" s="311"/>
      <c r="G29" s="315">
        <f ca="1">DATA!$D$11/1000000</f>
        <v>9.1910630700000009E-2</v>
      </c>
      <c r="H29" s="315">
        <f>C29*DATA!$D$5/1000000</f>
        <v>9.6270304074728674</v>
      </c>
      <c r="I29" s="315">
        <f>(C29*DATA!$D$5*DATA!$D$7)/1000000</f>
        <v>0.21660818416813951</v>
      </c>
      <c r="J29" s="313">
        <f t="shared" ca="1" si="1"/>
        <v>9.935549222341006</v>
      </c>
      <c r="K29" s="311"/>
      <c r="L29" s="313">
        <f>((D29*DATA!$D$23)/1000000)+((E29*DATA!$D$24)/1000000)</f>
        <v>12.828936000000001</v>
      </c>
      <c r="M29" s="313">
        <f t="shared" si="2"/>
        <v>12.828936000000001</v>
      </c>
      <c r="N29" s="313">
        <f t="shared" ca="1" si="6"/>
        <v>2.8933867776589945</v>
      </c>
      <c r="O29" s="312">
        <f>1/(1+'[93]Asumsi I'!$C$3)^(KKF!A29)</f>
        <v>8.2642510427844609E-2</v>
      </c>
      <c r="P29" s="313">
        <f t="shared" ca="1" si="7"/>
        <v>0.23911674694447116</v>
      </c>
      <c r="Q29" s="313">
        <f t="shared" ca="1" si="9"/>
        <v>35.855524324980848</v>
      </c>
      <c r="S29" s="301" t="str">
        <f t="shared" ca="1" si="3"/>
        <v/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8880</v>
      </c>
      <c r="D30" s="313">
        <f t="shared" si="5"/>
        <v>1480</v>
      </c>
      <c r="E30" s="313">
        <f t="shared" si="0"/>
        <v>7400</v>
      </c>
      <c r="F30" s="311"/>
      <c r="G30" s="315">
        <f ca="1">DATA!$D$11/1000000</f>
        <v>9.1910630700000009E-2</v>
      </c>
      <c r="H30" s="315">
        <f>C30*DATA!$D$5/1000000</f>
        <v>9.6270304074728674</v>
      </c>
      <c r="I30" s="315">
        <f>(C30*DATA!$D$5*DATA!$D$7)/1000000</f>
        <v>0.21660818416813951</v>
      </c>
      <c r="J30" s="313">
        <f t="shared" ca="1" si="1"/>
        <v>9.935549222341006</v>
      </c>
      <c r="K30" s="311"/>
      <c r="L30" s="313">
        <f>((D30*DATA!$D$23)/1000000)+((E30*DATA!$D$24)/1000000)</f>
        <v>12.828936000000001</v>
      </c>
      <c r="M30" s="313">
        <f t="shared" si="2"/>
        <v>12.828936000000001</v>
      </c>
      <c r="N30" s="313">
        <f t="shared" ca="1" si="6"/>
        <v>2.8933867776589945</v>
      </c>
      <c r="O30" s="312">
        <f>1/(1+'[93]Asumsi I'!$C$3)^(KKF!A30)</f>
        <v>7.3787955739146982E-2</v>
      </c>
      <c r="P30" s="313">
        <f t="shared" ca="1" si="7"/>
        <v>0.21349709548613499</v>
      </c>
      <c r="Q30" s="313">
        <f t="shared" ca="1" si="9"/>
        <v>36.069021420466981</v>
      </c>
      <c r="S30" s="301" t="str">
        <f t="shared" ca="1" si="3"/>
        <v/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8880</v>
      </c>
      <c r="D31" s="313">
        <f t="shared" si="5"/>
        <v>1480</v>
      </c>
      <c r="E31" s="313">
        <f t="shared" si="0"/>
        <v>7400</v>
      </c>
      <c r="F31" s="311"/>
      <c r="G31" s="315">
        <f ca="1">DATA!$D$11/1000000</f>
        <v>9.1910630700000009E-2</v>
      </c>
      <c r="H31" s="315">
        <f>C31*DATA!$D$5/1000000</f>
        <v>9.6270304074728674</v>
      </c>
      <c r="I31" s="315">
        <f>(C31*DATA!$D$5*DATA!$D$7)/1000000</f>
        <v>0.21660818416813951</v>
      </c>
      <c r="J31" s="313">
        <f t="shared" ca="1" si="1"/>
        <v>9.935549222341006</v>
      </c>
      <c r="K31" s="311"/>
      <c r="L31" s="313">
        <f>((D31*DATA!$D$23)/1000000)+((E31*DATA!$D$24)/1000000)</f>
        <v>12.828936000000001</v>
      </c>
      <c r="M31" s="313">
        <f t="shared" si="2"/>
        <v>12.828936000000001</v>
      </c>
      <c r="N31" s="313">
        <f t="shared" ca="1" si="6"/>
        <v>2.8933867776589945</v>
      </c>
      <c r="O31" s="312">
        <f>1/(1+'[93]Asumsi I'!$C$3)^(KKF!A31)</f>
        <v>6.5882103338524081E-2</v>
      </c>
      <c r="P31" s="313">
        <f t="shared" ca="1" si="7"/>
        <v>0.19062240668404909</v>
      </c>
      <c r="Q31" s="313">
        <f ca="1">Q30+P31</f>
        <v>36.259643827151031</v>
      </c>
      <c r="S31" s="301" t="str">
        <f t="shared" ca="1" si="3"/>
        <v/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8880</v>
      </c>
      <c r="D32" s="313">
        <f t="shared" si="5"/>
        <v>1480</v>
      </c>
      <c r="E32" s="313">
        <f t="shared" si="0"/>
        <v>7400</v>
      </c>
      <c r="F32" s="311"/>
      <c r="G32" s="315">
        <f ca="1">DATA!$D$11/1000000</f>
        <v>9.1910630700000009E-2</v>
      </c>
      <c r="H32" s="315">
        <f>C32*DATA!$D$5/1000000</f>
        <v>9.6270304074728674</v>
      </c>
      <c r="I32" s="315">
        <f>(C32*DATA!$D$5*DATA!$D$7)/1000000</f>
        <v>0.21660818416813951</v>
      </c>
      <c r="J32" s="313">
        <f t="shared" ca="1" si="1"/>
        <v>9.935549222341006</v>
      </c>
      <c r="K32" s="311"/>
      <c r="L32" s="313">
        <f>((D32*DATA!$D$23)/1000000)+((E32*DATA!$D$24)/1000000)</f>
        <v>12.828936000000001</v>
      </c>
      <c r="M32" s="313">
        <f t="shared" si="2"/>
        <v>12.828936000000001</v>
      </c>
      <c r="N32" s="313">
        <f t="shared" ca="1" si="6"/>
        <v>2.8933867776589945</v>
      </c>
      <c r="O32" s="312">
        <f>1/(1+'[93]Asumsi I'!$C$3)^(KKF!A32)</f>
        <v>5.8823306552253637E-2</v>
      </c>
      <c r="P32" s="313">
        <f t="shared" ca="1" si="7"/>
        <v>0.17019857739647237</v>
      </c>
      <c r="Q32" s="313">
        <f ca="1">Q31+P32</f>
        <v>36.4298424045475</v>
      </c>
      <c r="S32" s="301" t="str">
        <f t="shared" ca="1" si="3"/>
        <v/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586" t="s">
        <v>1374</v>
      </c>
      <c r="G33" s="586"/>
      <c r="H33" s="586"/>
      <c r="I33" s="321"/>
      <c r="J33" s="322">
        <f ca="1">SUM(J7:J32)</f>
        <v>254.71677915616522</v>
      </c>
      <c r="K33" s="586" t="s">
        <v>1375</v>
      </c>
      <c r="L33" s="586"/>
      <c r="M33" s="322">
        <f>SUM(M7:M32)</f>
        <v>340.78805599999998</v>
      </c>
      <c r="N33" s="320"/>
      <c r="O33" s="320"/>
      <c r="P33" s="323"/>
      <c r="Q33" s="323"/>
      <c r="S33" s="301">
        <f ca="1">COUNTIF(S7:S32,"a")</f>
        <v>0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2.1870731720009169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 t="e">
        <f ca="1">AVERAGE(T7:T32)</f>
        <v>#DIV/0!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1.3379097251817282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32.526645004060249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52"/>
  <sheetViews>
    <sheetView showGridLines="0" zoomScale="85" zoomScaleNormal="85" zoomScaleSheetLayoutView="70" workbookViewId="0">
      <pane ySplit="13" topLeftCell="A41" activePane="bottomLeft" state="frozen"/>
      <selection activeCell="H1093" sqref="H1093"/>
      <selection pane="bottomLeft" activeCell="I50" sqref="I50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8" customWidth="1"/>
    <col min="4" max="4" width="13.7109375" style="398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09" t="s">
        <v>1036</v>
      </c>
      <c r="P3" s="609"/>
      <c r="Q3" s="343"/>
      <c r="T3" s="341"/>
      <c r="U3" s="342" t="s">
        <v>1041</v>
      </c>
      <c r="V3" s="341"/>
    </row>
    <row r="4" spans="1:22" ht="15.75" customHeight="1">
      <c r="B4" s="610" t="s">
        <v>1023</v>
      </c>
      <c r="C4" s="610"/>
      <c r="D4" s="610"/>
      <c r="E4" s="610"/>
      <c r="F4" s="610"/>
      <c r="G4" s="610"/>
      <c r="H4" s="610"/>
      <c r="I4" s="610"/>
      <c r="J4" s="610"/>
      <c r="K4" s="610"/>
      <c r="O4" s="609"/>
      <c r="P4" s="609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593" t="str">
        <f>DATA!D14</f>
        <v>AGR H ALI SA'DI ,H.</v>
      </c>
      <c r="H6" s="593"/>
      <c r="I6" s="593"/>
      <c r="J6" s="593"/>
      <c r="K6" s="593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1613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1546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12" t="s">
        <v>0</v>
      </c>
      <c r="C11" s="614" t="s">
        <v>1</v>
      </c>
      <c r="D11" s="603" t="s">
        <v>42</v>
      </c>
      <c r="E11" s="603" t="s">
        <v>43</v>
      </c>
      <c r="F11" s="603" t="s">
        <v>2</v>
      </c>
      <c r="G11" s="617" t="s">
        <v>41</v>
      </c>
      <c r="H11" s="603" t="s">
        <v>3</v>
      </c>
      <c r="I11" s="603"/>
      <c r="J11" s="603"/>
      <c r="K11" s="604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13"/>
      <c r="C12" s="615"/>
      <c r="D12" s="607"/>
      <c r="E12" s="607"/>
      <c r="F12" s="607"/>
      <c r="G12" s="618"/>
      <c r="H12" s="605" t="s">
        <v>46</v>
      </c>
      <c r="I12" s="605" t="s">
        <v>5</v>
      </c>
      <c r="J12" s="607" t="s">
        <v>47</v>
      </c>
      <c r="K12" s="608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13"/>
      <c r="C13" s="616"/>
      <c r="D13" s="607"/>
      <c r="E13" s="607"/>
      <c r="F13" s="607"/>
      <c r="G13" s="619"/>
      <c r="H13" s="606"/>
      <c r="I13" s="606"/>
      <c r="J13" s="607"/>
      <c r="K13" s="608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1" t="s">
        <v>480</v>
      </c>
      <c r="C14" s="482" t="s">
        <v>1606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3"/>
      <c r="C15" s="109"/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" ca="1" si="4">IF(OR(D15="MDU",D15="MDU-KD"),(IF($O$3="RAB NON MDU","PLN KD",G15*F15)),0)</f>
        <v>0</v>
      </c>
      <c r="I15" s="356">
        <f t="shared" ref="I15" ca="1" si="5">IF(D15="HDW",G15*F15,0)</f>
        <v>0</v>
      </c>
      <c r="J15" s="356">
        <f t="shared" ref="J15" ca="1" si="6">IF(D15="JASA",G15*F15,0)</f>
        <v>0</v>
      </c>
      <c r="K15" s="357">
        <f t="shared" ref="K15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 t="e">
        <f>IF(AND(C16=0,#REF!=0,#REF!=0),"BLANKS",1)</f>
        <v>#REF!</v>
      </c>
      <c r="B16" s="481" t="s">
        <v>505</v>
      </c>
      <c r="C16" s="482" t="s">
        <v>1608</v>
      </c>
      <c r="D16" s="353" t="str">
        <f ca="1">IF(ISERROR(OFFSET('HARGA SATUAN'!$D$6,MATCH(RAB!C16,'HARGA SATUAN'!$C$7:$C$1492,0),0)),"",OFFSET('HARGA SATUAN'!$D$6,MATCH(RAB!C16,'HARGA SATUAN'!$C$7:$C$1492,0),0))</f>
        <v/>
      </c>
      <c r="E16" s="354" t="str">
        <f ca="1">IF(B16="+","Unit",IF(ISERROR(OFFSET('HARGA SATUAN'!$E$6,MATCH(RAB!C16,'HARGA SATUAN'!$C$7:$C$1492,0),0)),"",OFFSET('HARGA SATUAN'!$E$6,MATCH(RAB!C16,'HARGA SATUAN'!$C$7:$C$1492,0),0)))</f>
        <v/>
      </c>
      <c r="F16" s="361"/>
      <c r="G16" s="355">
        <f ca="1">IF(ISERROR(OFFSET('HARGA SATUAN'!$I$6,MATCH(RAB!C16,'HARGA SATUAN'!$C$7:$C$1492,0),0)),0,OFFSET('HARGA SATUAN'!$I$6,MATCH(RAB!C16,'HARGA SATUAN'!$C$7:$C$1492,0),0))</f>
        <v>0</v>
      </c>
      <c r="H16" s="356">
        <f t="shared" ref="H16" ca="1" si="8">IF(OR(D16="MDU",D16="MDU-KD"),(IF($O$3="RAB NON MDU","PLN KD",G16*F16)),0)</f>
        <v>0</v>
      </c>
      <c r="I16" s="356">
        <f t="shared" ref="I16" ca="1" si="9">IF(D16="HDW",G16*F16,0)</f>
        <v>0</v>
      </c>
      <c r="J16" s="356">
        <f t="shared" ref="J16" ca="1" si="10">IF(D16="JASA",G16*F16,0)</f>
        <v>0</v>
      </c>
      <c r="K16" s="357">
        <f t="shared" ref="K16" ca="1" si="11">SUM(H16:J16)</f>
        <v>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84"/>
      <c r="C17" s="485"/>
      <c r="D17" s="353" t="str">
        <f ca="1">IF(ISERROR(OFFSET('HARGA SATUAN'!$D$6,MATCH(RAB!C17,'HARGA SATUAN'!$C$7:$C$1492,0),0)),"",OFFSET('HARGA SATUAN'!$D$6,MATCH(RAB!C17,'HARGA SATUAN'!$C$7:$C$1492,0),0))</f>
        <v/>
      </c>
      <c r="E17" s="354" t="str">
        <f ca="1">IF(B17="+","Unit",IF(ISERROR(OFFSET('HARGA SATUAN'!$E$6,MATCH(RAB!C17,'HARGA SATUAN'!$C$7:$C$1492,0),0)),"",OFFSET('HARGA SATUAN'!$E$6,MATCH(RAB!C17,'HARGA SATUAN'!$C$7:$C$1492,0),0)))</f>
        <v/>
      </c>
      <c r="F17" s="361"/>
      <c r="G17" s="355">
        <f ca="1">IF(ISERROR(OFFSET('HARGA SATUAN'!$I$6,MATCH(RAB!C17,'HARGA SATUAN'!$C$7:$C$1492,0),0)),0,OFFSET('HARGA SATUAN'!$I$6,MATCH(RAB!C17,'HARGA SATUAN'!$C$7:$C$1492,0),0))</f>
        <v>0</v>
      </c>
      <c r="H17" s="356">
        <f t="shared" ref="H17:H20" ca="1" si="12">IF(OR(D17="MDU",D17="MDU-KD"),(IF($O$3="RAB NON MDU","PLN KD",G17*F17)),0)</f>
        <v>0</v>
      </c>
      <c r="I17" s="356">
        <f t="shared" ref="I17:I20" ca="1" si="13">IF(D17="HDW",G17*F17,0)</f>
        <v>0</v>
      </c>
      <c r="J17" s="356">
        <f t="shared" ref="J17:J20" ca="1" si="14">IF(D17="JASA",G17*F17,0)</f>
        <v>0</v>
      </c>
      <c r="K17" s="357">
        <f t="shared" ref="K17:K20" ca="1" si="15">SUM(H17:J17)</f>
        <v>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0" customFormat="1">
      <c r="A18" s="333"/>
      <c r="B18" s="481" t="s">
        <v>524</v>
      </c>
      <c r="C18" s="482" t="s">
        <v>1607</v>
      </c>
      <c r="D18" s="353" t="str">
        <f ca="1">IF(ISERROR(OFFSET('HARGA SATUAN'!$D$6,MATCH(RAB!C18,'HARGA SATUAN'!$C$7:$C$1492,0),0)),"",OFFSET('HARGA SATUAN'!$D$6,MATCH(RAB!C18,'HARGA SATUAN'!$C$7:$C$1492,0),0))</f>
        <v/>
      </c>
      <c r="E18" s="354" t="str">
        <f ca="1">IF(B18="+","Unit",IF(ISERROR(OFFSET('HARGA SATUAN'!$E$6,MATCH(RAB!C18,'HARGA SATUAN'!$C$7:$C$1492,0),0)),"",OFFSET('HARGA SATUAN'!$E$6,MATCH(RAB!C18,'HARGA SATUAN'!$C$7:$C$1492,0),0)))</f>
        <v/>
      </c>
      <c r="F18" s="361"/>
      <c r="G18" s="355">
        <f ca="1">IF(ISERROR(OFFSET('HARGA SATUAN'!$I$6,MATCH(RAB!C18,'HARGA SATUAN'!$C$7:$C$1492,0),0)),0,OFFSET('HARGA SATUAN'!$I$6,MATCH(RAB!C18,'HARGA SATUAN'!$C$7:$C$1492,0),0))</f>
        <v>0</v>
      </c>
      <c r="H18" s="356">
        <f t="shared" ca="1" si="12"/>
        <v>0</v>
      </c>
      <c r="I18" s="356">
        <f t="shared" ca="1" si="13"/>
        <v>0</v>
      </c>
      <c r="J18" s="356">
        <f t="shared" ca="1" si="14"/>
        <v>0</v>
      </c>
      <c r="K18" s="357">
        <f t="shared" ca="1" si="15"/>
        <v>0</v>
      </c>
      <c r="L18" s="339"/>
      <c r="M18" s="339"/>
      <c r="N18" s="362"/>
      <c r="O18" s="341"/>
      <c r="P18" s="386"/>
      <c r="Q18" s="341"/>
    </row>
    <row r="19" spans="1:22" s="360" customFormat="1">
      <c r="A19" s="333"/>
      <c r="B19" s="481"/>
      <c r="C19" s="482"/>
      <c r="D19" s="353" t="str">
        <f ca="1">IF(ISERROR(OFFSET('HARGA SATUAN'!$D$6,MATCH(RAB!C19,'HARGA SATUAN'!$C$7:$C$1492,0),0)),"",OFFSET('HARGA SATUAN'!$D$6,MATCH(RAB!C19,'HARGA SATUAN'!$C$7:$C$1492,0),0))</f>
        <v/>
      </c>
      <c r="E19" s="354" t="str">
        <f ca="1">IF(B19="+","Unit",IF(ISERROR(OFFSET('HARGA SATUAN'!$E$6,MATCH(RAB!C19,'HARGA SATUAN'!$C$7:$C$1492,0),0)),"",OFFSET('HARGA SATUAN'!$E$6,MATCH(RAB!C19,'HARGA SATUAN'!$C$7:$C$1492,0),0)))</f>
        <v/>
      </c>
      <c r="F19" s="361"/>
      <c r="G19" s="355">
        <f ca="1">IF(ISERROR(OFFSET('HARGA SATUAN'!$I$6,MATCH(RAB!C19,'HARGA SATUAN'!$C$7:$C$1492,0),0)),0,OFFSET('HARGA SATUAN'!$I$6,MATCH(RAB!C19,'HARGA SATUAN'!$C$7:$C$1492,0),0))</f>
        <v>0</v>
      </c>
      <c r="H19" s="356">
        <f t="shared" ca="1" si="12"/>
        <v>0</v>
      </c>
      <c r="I19" s="356">
        <f t="shared" ca="1" si="13"/>
        <v>0</v>
      </c>
      <c r="J19" s="356">
        <f t="shared" ca="1" si="14"/>
        <v>0</v>
      </c>
      <c r="K19" s="357">
        <f t="shared" ca="1" si="15"/>
        <v>0</v>
      </c>
      <c r="L19" s="339"/>
      <c r="M19" s="339"/>
      <c r="N19" s="362"/>
      <c r="O19" s="341"/>
      <c r="P19" s="386"/>
      <c r="Q19" s="341"/>
    </row>
    <row r="20" spans="1:22" s="360" customFormat="1">
      <c r="A20" s="333"/>
      <c r="B20" s="481"/>
      <c r="C20" s="482" t="s">
        <v>1609</v>
      </c>
      <c r="D20" s="353" t="str">
        <f ca="1">IF(ISERROR(OFFSET('HARGA SATUAN'!$D$6,MATCH(RAB!C20,'HARGA SATUAN'!$C$7:$C$1492,0),0)),"",OFFSET('HARGA SATUAN'!$D$6,MATCH(RAB!C20,'HARGA SATUAN'!$C$7:$C$1492,0),0))</f>
        <v/>
      </c>
      <c r="E20" s="354" t="str">
        <f ca="1">IF(B20="+","Unit",IF(ISERROR(OFFSET('HARGA SATUAN'!$E$6,MATCH(RAB!C20,'HARGA SATUAN'!$C$7:$C$1492,0),0)),"",OFFSET('HARGA SATUAN'!$E$6,MATCH(RAB!C20,'HARGA SATUAN'!$C$7:$C$1492,0),0)))</f>
        <v/>
      </c>
      <c r="F20" s="361"/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ca="1" si="12"/>
        <v>0</v>
      </c>
      <c r="I20" s="356">
        <f t="shared" ca="1" si="13"/>
        <v>0</v>
      </c>
      <c r="J20" s="356">
        <f t="shared" ca="1" si="14"/>
        <v>0</v>
      </c>
      <c r="K20" s="357">
        <f t="shared" ca="1" si="15"/>
        <v>0</v>
      </c>
      <c r="L20" s="339"/>
      <c r="M20" s="339"/>
      <c r="N20" s="362"/>
      <c r="O20" s="341"/>
      <c r="P20" s="386"/>
      <c r="Q20" s="341"/>
    </row>
    <row r="21" spans="1:22" s="360" customFormat="1">
      <c r="A21" s="333"/>
      <c r="B21" s="488" t="s">
        <v>1035</v>
      </c>
      <c r="C21" s="489" t="s">
        <v>1610</v>
      </c>
      <c r="D21" s="353" t="str">
        <f ca="1">IF(ISERROR(OFFSET('HARGA SATUAN'!$D$6,MATCH(RAB!C21,'HARGA SATUAN'!$C$7:$C$1492,0),0)),"",OFFSET('HARGA SATUAN'!$D$6,MATCH(RAB!C21,'HARGA SATUAN'!$C$7:$C$1492,0),0))</f>
        <v/>
      </c>
      <c r="E21" s="354" t="str">
        <f ca="1">IF(B21="+","Unit",IF(ISERROR(OFFSET('HARGA SATUAN'!$E$6,MATCH(RAB!C21,'HARGA SATUAN'!$C$7:$C$1492,0),0)),"",OFFSET('HARGA SATUAN'!$E$6,MATCH(RAB!C21,'HARGA SATUAN'!$C$7:$C$1492,0),0)))</f>
        <v>Unit</v>
      </c>
      <c r="F21" s="487">
        <v>1</v>
      </c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ref="H21:H26" ca="1" si="16">IF(OR(D21="MDU",D21="MDU-KD"),(IF($O$3="RAB NON MDU","PLN KD",G21*F21)),0)</f>
        <v>0</v>
      </c>
      <c r="I21" s="356">
        <f t="shared" ref="I21:I26" ca="1" si="17">IF(D21="HDW",G21*F21,0)</f>
        <v>0</v>
      </c>
      <c r="J21" s="356">
        <f t="shared" ref="J21:J26" ca="1" si="18">IF(D21="JASA",G21*F21,0)</f>
        <v>0</v>
      </c>
      <c r="K21" s="357">
        <f t="shared" ref="K21:K26" ca="1" si="19">SUM(H21:J21)</f>
        <v>0</v>
      </c>
      <c r="L21" s="339"/>
      <c r="M21" s="339"/>
      <c r="N21" s="362"/>
      <c r="O21" s="341"/>
      <c r="P21" s="386"/>
      <c r="Q21" s="341"/>
    </row>
    <row r="22" spans="1:22" s="360" customFormat="1">
      <c r="A22" s="333"/>
      <c r="B22" s="490">
        <v>1</v>
      </c>
      <c r="C22" s="109" t="s">
        <v>483</v>
      </c>
      <c r="D22" s="353" t="s">
        <v>1611</v>
      </c>
      <c r="E22" s="354" t="str">
        <f ca="1">IF(B22="+","Unit",IF(ISERROR(OFFSET('HARGA SATUAN'!$E$6,MATCH(RAB!C22,'HARGA SATUAN'!$C$7:$C$1492,0),0)),"",OFFSET('HARGA SATUAN'!$E$6,MATCH(RAB!C22,'HARGA SATUAN'!$C$7:$C$1492,0),0)))</f>
        <v>Bh</v>
      </c>
      <c r="F22" s="487">
        <f>F21*1</f>
        <v>1</v>
      </c>
      <c r="G22" s="355">
        <f ca="1">IF(ISERROR(OFFSET('HARGA SATUAN'!$I$6,MATCH(RAB!C22,'HARGA SATUAN'!$C$7:$C$1492,0),0)),0,OFFSET('HARGA SATUAN'!$I$6,MATCH(RAB!C22,'HARGA SATUAN'!$C$7:$C$1492,0),0))</f>
        <v>1719200</v>
      </c>
      <c r="H22" s="356">
        <f t="shared" si="16"/>
        <v>0</v>
      </c>
      <c r="I22" s="356">
        <f t="shared" si="17"/>
        <v>0</v>
      </c>
      <c r="J22" s="356">
        <f t="shared" si="18"/>
        <v>0</v>
      </c>
      <c r="K22" s="357">
        <f t="shared" si="19"/>
        <v>0</v>
      </c>
      <c r="L22" s="339"/>
      <c r="M22" s="339"/>
      <c r="N22" s="362"/>
      <c r="O22" s="341"/>
      <c r="P22" s="386"/>
      <c r="Q22" s="341"/>
    </row>
    <row r="23" spans="1:22" s="360" customFormat="1">
      <c r="A23" s="333"/>
      <c r="B23" s="490">
        <v>2</v>
      </c>
      <c r="C23" s="109" t="s">
        <v>514</v>
      </c>
      <c r="D23" s="353" t="str">
        <f ca="1">IF(ISERROR(OFFSET('HARGA SATUAN'!$D$6,MATCH(RAB!C23,'HARGA SATUAN'!$C$7:$C$1492,0),0)),"",OFFSET('HARGA SATUAN'!$D$6,MATCH(RAB!C23,'HARGA SATUAN'!$C$7:$C$1492,0),0))</f>
        <v>MDU-KD</v>
      </c>
      <c r="E23" s="354" t="str">
        <f ca="1">IF(B23="+","Unit",IF(ISERROR(OFFSET('HARGA SATUAN'!$E$6,MATCH(RAB!C23,'HARGA SATUAN'!$C$7:$C$1492,0),0)),"",OFFSET('HARGA SATUAN'!$E$6,MATCH(RAB!C23,'HARGA SATUAN'!$C$7:$C$1492,0),0)))</f>
        <v>Unit</v>
      </c>
      <c r="F23" s="487">
        <f>F21*1</f>
        <v>1</v>
      </c>
      <c r="G23" s="355">
        <f ca="1">IF(ISERROR(OFFSET('HARGA SATUAN'!$I$6,MATCH(RAB!C23,'HARGA SATUAN'!$C$7:$C$1492,0),0)),0,OFFSET('HARGA SATUAN'!$I$6,MATCH(RAB!C23,'HARGA SATUAN'!$C$7:$C$1492,0),0))</f>
        <v>3564900</v>
      </c>
      <c r="H23" s="356">
        <f t="shared" ca="1" si="16"/>
        <v>3564900</v>
      </c>
      <c r="I23" s="356">
        <f t="shared" ca="1" si="17"/>
        <v>0</v>
      </c>
      <c r="J23" s="356">
        <f t="shared" ca="1" si="18"/>
        <v>0</v>
      </c>
      <c r="K23" s="357">
        <f t="shared" ca="1" si="19"/>
        <v>3564900</v>
      </c>
      <c r="L23" s="339"/>
      <c r="M23" s="339"/>
      <c r="N23" s="362"/>
      <c r="O23" s="341"/>
      <c r="P23" s="386"/>
      <c r="Q23" s="341"/>
    </row>
    <row r="24" spans="1:22" s="360" customFormat="1">
      <c r="A24" s="333"/>
      <c r="B24" s="490">
        <v>3</v>
      </c>
      <c r="C24" s="491" t="s">
        <v>1142</v>
      </c>
      <c r="D24" s="353" t="s">
        <v>1611</v>
      </c>
      <c r="E24" s="354" t="str">
        <f ca="1">IF(B24="+","Unit",IF(ISERROR(OFFSET('HARGA SATUAN'!$E$6,MATCH(RAB!C24,'HARGA SATUAN'!$C$7:$C$1492,0),0)),"",OFFSET('HARGA SATUAN'!$E$6,MATCH(RAB!C24,'HARGA SATUAN'!$C$7:$C$1492,0),0)))</f>
        <v>Unit</v>
      </c>
      <c r="F24" s="487">
        <f>F21*1</f>
        <v>1</v>
      </c>
      <c r="G24" s="355">
        <f ca="1">IF(ISERROR(OFFSET('HARGA SATUAN'!$I$6,MATCH(RAB!C24,'HARGA SATUAN'!$C$7:$C$1492,0),0)),0,OFFSET('HARGA SATUAN'!$I$6,MATCH(RAB!C24,'HARGA SATUAN'!$C$7:$C$1492,0),0))</f>
        <v>1113900</v>
      </c>
      <c r="H24" s="356">
        <f t="shared" si="16"/>
        <v>0</v>
      </c>
      <c r="I24" s="356">
        <f t="shared" si="17"/>
        <v>0</v>
      </c>
      <c r="J24" s="356">
        <f t="shared" si="18"/>
        <v>0</v>
      </c>
      <c r="K24" s="357">
        <f t="shared" si="19"/>
        <v>0</v>
      </c>
      <c r="L24" s="339"/>
      <c r="M24" s="339"/>
      <c r="N24" s="362"/>
      <c r="O24" s="341"/>
      <c r="P24" s="386"/>
      <c r="Q24" s="341"/>
    </row>
    <row r="25" spans="1:22" s="360" customFormat="1">
      <c r="A25" s="333"/>
      <c r="B25" s="490">
        <v>4</v>
      </c>
      <c r="C25" s="109" t="s">
        <v>1403</v>
      </c>
      <c r="D25" s="353" t="str">
        <f ca="1">IF(ISERROR(OFFSET('HARGA SATUAN'!$D$6,MATCH(RAB!C25,'HARGA SATUAN'!$C$7:$C$1492,0),0)),"",OFFSET('HARGA SATUAN'!$D$6,MATCH(RAB!C25,'HARGA SATUAN'!$C$7:$C$1492,0),0))</f>
        <v>MDU-KD</v>
      </c>
      <c r="E25" s="354" t="str">
        <f ca="1">IF(B25="+","Unit",IF(ISERROR(OFFSET('HARGA SATUAN'!$E$6,MATCH(RAB!C25,'HARGA SATUAN'!$C$7:$C$1492,0),0)),"",OFFSET('HARGA SATUAN'!$E$6,MATCH(RAB!C25,'HARGA SATUAN'!$C$7:$C$1492,0),0)))</f>
        <v>Mtr</v>
      </c>
      <c r="F25" s="487">
        <v>10</v>
      </c>
      <c r="G25" s="355">
        <f ca="1">IF(ISERROR(OFFSET('HARGA SATUAN'!$I$6,MATCH(RAB!C25,'HARGA SATUAN'!$C$7:$C$1492,0),0)),0,OFFSET('HARGA SATUAN'!$I$6,MATCH(RAB!C25,'HARGA SATUAN'!$C$7:$C$1492,0),0))</f>
        <v>30400</v>
      </c>
      <c r="H25" s="356">
        <f t="shared" ca="1" si="16"/>
        <v>304000</v>
      </c>
      <c r="I25" s="356">
        <f t="shared" ca="1" si="17"/>
        <v>0</v>
      </c>
      <c r="J25" s="356">
        <f t="shared" ca="1" si="18"/>
        <v>0</v>
      </c>
      <c r="K25" s="357">
        <f t="shared" ca="1" si="19"/>
        <v>304000</v>
      </c>
      <c r="L25" s="339"/>
      <c r="M25" s="339"/>
      <c r="N25" s="362"/>
      <c r="O25" s="341"/>
      <c r="P25" s="386"/>
      <c r="Q25" s="341"/>
    </row>
    <row r="26" spans="1:22" s="360" customFormat="1">
      <c r="A26" s="333"/>
      <c r="B26" s="490">
        <v>5</v>
      </c>
      <c r="C26" s="491" t="s">
        <v>799</v>
      </c>
      <c r="D26" s="353" t="str">
        <f ca="1">IF(ISERROR(OFFSET('HARGA SATUAN'!$D$6,MATCH(RAB!C26,'HARGA SATUAN'!$C$7:$C$1492,0),0)),"",OFFSET('HARGA SATUAN'!$D$6,MATCH(RAB!C26,'HARGA SATUAN'!$C$7:$C$1492,0),0))</f>
        <v>JASA</v>
      </c>
      <c r="E26" s="354" t="str">
        <f ca="1">IF(B26="+","Unit",IF(ISERROR(OFFSET('HARGA SATUAN'!$E$6,MATCH(RAB!C26,'HARGA SATUAN'!$C$7:$C$1492,0),0)),"",OFFSET('HARGA SATUAN'!$E$6,MATCH(RAB!C26,'HARGA SATUAN'!$C$7:$C$1492,0),0)))</f>
        <v>Unit</v>
      </c>
      <c r="F26" s="487">
        <f>F21*1</f>
        <v>1</v>
      </c>
      <c r="G26" s="355">
        <f ca="1">IF(ISERROR(OFFSET('HARGA SATUAN'!$I$6,MATCH(RAB!C26,'HARGA SATUAN'!$C$7:$C$1492,0),0)),0,OFFSET('HARGA SATUAN'!$I$6,MATCH(RAB!C26,'HARGA SATUAN'!$C$7:$C$1492,0),0))</f>
        <v>106400</v>
      </c>
      <c r="H26" s="356">
        <f t="shared" ca="1" si="16"/>
        <v>0</v>
      </c>
      <c r="I26" s="356">
        <f t="shared" ca="1" si="17"/>
        <v>0</v>
      </c>
      <c r="J26" s="356">
        <f t="shared" ca="1" si="18"/>
        <v>106400</v>
      </c>
      <c r="K26" s="357">
        <f t="shared" ca="1" si="19"/>
        <v>106400</v>
      </c>
      <c r="L26" s="339"/>
      <c r="M26" s="339"/>
      <c r="N26" s="362"/>
      <c r="O26" s="341"/>
      <c r="P26" s="386"/>
      <c r="Q26" s="341"/>
    </row>
    <row r="27" spans="1:22">
      <c r="B27" s="364">
        <v>6</v>
      </c>
      <c r="C27" s="492" t="s">
        <v>982</v>
      </c>
      <c r="D27" s="353" t="str">
        <f ca="1">IF(ISERROR(OFFSET('HARGA SATUAN'!$D$6,MATCH(RAB!C27,'HARGA SATUAN'!$C$7:$C$1492,0),0)),"",OFFSET('HARGA SATUAN'!$D$6,MATCH(RAB!C27,'HARGA SATUAN'!$C$7:$C$1492,0),0))</f>
        <v>JASA</v>
      </c>
      <c r="E27" s="354" t="str">
        <f ca="1">IF(B27="+","Unit",IF(ISERROR(OFFSET('HARGA SATUAN'!$E$6,MATCH(RAB!C27,'HARGA SATUAN'!$C$7:$C$1492,0),0)),"",OFFSET('HARGA SATUAN'!$E$6,MATCH(RAB!C27,'HARGA SATUAN'!$C$7:$C$1492,0),0)))</f>
        <v>Unit</v>
      </c>
      <c r="F27" s="487">
        <v>1</v>
      </c>
      <c r="G27" s="355">
        <f ca="1">IF(ISERROR(OFFSET('HARGA SATUAN'!$I$6,MATCH(RAB!C27,'HARGA SATUAN'!$C$7:$C$1492,0),0)),0,OFFSET('HARGA SATUAN'!$I$6,MATCH(RAB!C27,'HARGA SATUAN'!$C$7:$C$1492,0),0))</f>
        <v>63840</v>
      </c>
      <c r="H27" s="356">
        <f t="shared" ref="H27:H28" ca="1" si="20">IF(OR(D27="MDU",D27="MDU-KD"),(IF($O$3="RAB NON MDU","PLN KD",G27*F27)),0)</f>
        <v>0</v>
      </c>
      <c r="I27" s="356">
        <f t="shared" ref="I27:I28" ca="1" si="21">IF(D27="HDW",G27*F27,0)</f>
        <v>0</v>
      </c>
      <c r="J27" s="356">
        <f t="shared" ref="J27:J28" ca="1" si="22">IF(D27="JASA",G27*F27,0)</f>
        <v>63840</v>
      </c>
      <c r="K27" s="357">
        <f t="shared" ref="K27:K28" ca="1" si="23">SUM(H27:J27)</f>
        <v>63840</v>
      </c>
    </row>
    <row r="28" spans="1:22">
      <c r="B28" s="364"/>
      <c r="C28" s="491"/>
      <c r="D28" s="353" t="str">
        <f ca="1">IF(ISERROR(OFFSET('HARGA SATUAN'!$D$6,MATCH(RAB!C28,'HARGA SATUAN'!$C$7:$C$1492,0),0)),"",OFFSET('HARGA SATUAN'!$D$6,MATCH(RAB!C28,'HARGA SATUAN'!$C$7:$C$1492,0),0))</f>
        <v/>
      </c>
      <c r="E28" s="354" t="str">
        <f ca="1">IF(B28="+","Unit",IF(ISERROR(OFFSET('HARGA SATUAN'!$E$6,MATCH(RAB!C28,'HARGA SATUAN'!$C$7:$C$1492,0),0)),"",OFFSET('HARGA SATUAN'!$E$6,MATCH(RAB!C28,'HARGA SATUAN'!$C$7:$C$1492,0),0)))</f>
        <v/>
      </c>
      <c r="F28" s="487"/>
      <c r="G28" s="355">
        <f ca="1">IF(ISERROR(OFFSET('HARGA SATUAN'!$I$6,MATCH(RAB!C28,'HARGA SATUAN'!$C$7:$C$1492,0),0)),0,OFFSET('HARGA SATUAN'!$I$6,MATCH(RAB!C28,'HARGA SATUAN'!$C$7:$C$1492,0),0))</f>
        <v>0</v>
      </c>
      <c r="H28" s="356">
        <f t="shared" ca="1" si="20"/>
        <v>0</v>
      </c>
      <c r="I28" s="356">
        <f t="shared" ca="1" si="21"/>
        <v>0</v>
      </c>
      <c r="J28" s="356">
        <f t="shared" ca="1" si="22"/>
        <v>0</v>
      </c>
      <c r="K28" s="357">
        <f t="shared" ca="1" si="23"/>
        <v>0</v>
      </c>
    </row>
    <row r="29" spans="1:22">
      <c r="B29" s="481" t="s">
        <v>526</v>
      </c>
      <c r="C29" s="482" t="s">
        <v>1607</v>
      </c>
      <c r="D29" s="353" t="str">
        <f ca="1">IF(ISERROR(OFFSET('HARGA SATUAN'!$D$6,MATCH(RAB!C29,'HARGA SATUAN'!$C$7:$C$1492,0),0)),"",OFFSET('HARGA SATUAN'!$D$6,MATCH(RAB!C29,'HARGA SATUAN'!$C$7:$C$1492,0),0))</f>
        <v/>
      </c>
      <c r="E29" s="354" t="str">
        <f ca="1">IF(B29="+","Unit",IF(ISERROR(OFFSET('HARGA SATUAN'!$E$6,MATCH(RAB!C29,'HARGA SATUAN'!$C$7:$C$1492,0),0)),"",OFFSET('HARGA SATUAN'!$E$6,MATCH(RAB!C29,'HARGA SATUAN'!$C$7:$C$1492,0),0)))</f>
        <v/>
      </c>
      <c r="F29" s="361"/>
      <c r="G29" s="355">
        <f ca="1">IF(ISERROR(OFFSET('HARGA SATUAN'!$I$6,MATCH(RAB!C29,'HARGA SATUAN'!$C$7:$C$1492,0),0)),0,OFFSET('HARGA SATUAN'!$I$6,MATCH(RAB!C29,'HARGA SATUAN'!$C$7:$C$1492,0),0))</f>
        <v>0</v>
      </c>
      <c r="H29" s="356">
        <f t="shared" ref="H29" ca="1" si="24">IF(OR(D29="MDU",D29="MDU-KD"),(IF($O$3="RAB NON MDU","PLN KD",G29*F29)),0)</f>
        <v>0</v>
      </c>
      <c r="I29" s="356">
        <f t="shared" ref="I29" ca="1" si="25">IF(D29="HDW",G29*F29,0)</f>
        <v>0</v>
      </c>
      <c r="J29" s="356">
        <f t="shared" ref="J29" ca="1" si="26">IF(D29="JASA",G29*F29,0)</f>
        <v>0</v>
      </c>
      <c r="K29" s="357">
        <f t="shared" ref="K29" ca="1" si="27">SUM(H29:J29)</f>
        <v>0</v>
      </c>
    </row>
    <row r="30" spans="1:22">
      <c r="B30" s="364"/>
      <c r="C30" s="486"/>
      <c r="D30" s="353" t="str">
        <f ca="1">IF(ISERROR(OFFSET('HARGA SATUAN'!$D$6,MATCH(RAB!C30,'HARGA SATUAN'!$C$7:$C$1492,0),0)),"",OFFSET('HARGA SATUAN'!$D$6,MATCH(RAB!C30,'HARGA SATUAN'!$C$7:$C$1492,0),0))</f>
        <v/>
      </c>
      <c r="E30" s="354" t="str">
        <f ca="1">IF(B30="+","Unit",IF(ISERROR(OFFSET('HARGA SATUAN'!$E$6,MATCH(RAB!C30,'HARGA SATUAN'!$C$7:$C$1492,0),0)),"",OFFSET('HARGA SATUAN'!$E$6,MATCH(RAB!C30,'HARGA SATUAN'!$C$7:$C$1492,0),0)))</f>
        <v/>
      </c>
      <c r="F30" s="361"/>
      <c r="G30" s="355">
        <f ca="1">IF(ISERROR(OFFSET('HARGA SATUAN'!$I$6,MATCH(RAB!C30,'HARGA SATUAN'!$C$7:$C$1492,0),0)),0,OFFSET('HARGA SATUAN'!$I$6,MATCH(RAB!C30,'HARGA SATUAN'!$C$7:$C$1492,0),0))</f>
        <v>0</v>
      </c>
      <c r="H30" s="356">
        <f t="shared" ref="H30:H31" ca="1" si="28">IF(OR(D30="MDU",D30="MDU-KD"),(IF($O$3="RAB NON MDU","PLN KD",G30*F30)),0)</f>
        <v>0</v>
      </c>
      <c r="I30" s="356">
        <f t="shared" ref="I30:I31" ca="1" si="29">IF(D30="HDW",G30*F30,0)</f>
        <v>0</v>
      </c>
      <c r="J30" s="356">
        <f t="shared" ref="J30:J31" ca="1" si="30">IF(D30="JASA",G30*F30,0)</f>
        <v>0</v>
      </c>
      <c r="K30" s="357">
        <f t="shared" ref="K30:K31" ca="1" si="31">SUM(H30:J30)</f>
        <v>0</v>
      </c>
    </row>
    <row r="31" spans="1:22">
      <c r="B31" s="365"/>
      <c r="C31" s="366" t="s">
        <v>475</v>
      </c>
      <c r="D31" s="353" t="str">
        <f ca="1">IF(ISERROR(OFFSET('HARGA SATUAN'!$D$6,MATCH(RAB!C31,'HARGA SATUAN'!$C$7:$C$1492,0),0)),"",OFFSET('HARGA SATUAN'!$D$6,MATCH(RAB!C31,'HARGA SATUAN'!$C$7:$C$1492,0),0))</f>
        <v/>
      </c>
      <c r="E31" s="354" t="str">
        <f ca="1">IF(B31="+","Unit",IF(ISERROR(OFFSET('HARGA SATUAN'!$E$6,MATCH(RAB!C31,'HARGA SATUAN'!$C$7:$C$1492,0),0)),"",OFFSET('HARGA SATUAN'!$E$6,MATCH(RAB!C31,'HARGA SATUAN'!$C$7:$C$1492,0),0)))</f>
        <v/>
      </c>
      <c r="F31" s="361"/>
      <c r="G31" s="355">
        <f ca="1">IF(ISERROR(OFFSET('HARGA SATUAN'!$I$6,MATCH(RAB!C31,'HARGA SATUAN'!$C$7:$C$1492,0),0)),0,OFFSET('HARGA SATUAN'!$I$6,MATCH(RAB!C31,'HARGA SATUAN'!$C$7:$C$1492,0),0))</f>
        <v>0</v>
      </c>
      <c r="H31" s="356">
        <f t="shared" ca="1" si="28"/>
        <v>0</v>
      </c>
      <c r="I31" s="356">
        <f t="shared" ca="1" si="29"/>
        <v>0</v>
      </c>
      <c r="J31" s="356">
        <f t="shared" ca="1" si="30"/>
        <v>0</v>
      </c>
      <c r="K31" s="357">
        <f t="shared" ca="1" si="31"/>
        <v>0</v>
      </c>
    </row>
    <row r="32" spans="1:22">
      <c r="B32" s="368">
        <v>1</v>
      </c>
      <c r="C32" s="369" t="s">
        <v>1091</v>
      </c>
      <c r="D32" s="370" t="str">
        <f ca="1">IF(ISERROR(OFFSET('HARGA SATUAN'!$D$6,MATCH(RAB!C32,'HARGA SATUAN'!$C$7:$C$1492,0),0)),"",OFFSET('HARGA SATUAN'!$D$6,MATCH(RAB!C32,'HARGA SATUAN'!$C$7:$C$1492,0),0))</f>
        <v>JASA</v>
      </c>
      <c r="E32" s="371" t="str">
        <f ca="1">IF(ISERROR(OFFSET('HARGA SATUAN'!$E$6,MATCH(RAB!C32,'HARGA SATUAN'!$C$7:$C$1492,0),0)),"",OFFSET('HARGA SATUAN'!$E$6,MATCH(RAB!C32,'HARGA SATUAN'!$C$7:$C$1492,0),0))</f>
        <v>Lot</v>
      </c>
      <c r="F32" s="372">
        <v>1</v>
      </c>
      <c r="G32" s="373">
        <f ca="1">IF(ISERROR(OFFSET('HARGA SATUAN'!$I$6,MATCH(RAB!C32,'HARGA SATUAN'!$C$7:$C$1492,0),0)),0,OFFSET('HARGA SATUAN'!$I$6,MATCH(RAB!C32,'HARGA SATUAN'!$C$7:$C$1492,0),0))</f>
        <v>2.5000000000000001E-2</v>
      </c>
      <c r="H32" s="374">
        <f ca="1">(SUM(H14:H31))*2.5%</f>
        <v>96722.5</v>
      </c>
      <c r="I32" s="374">
        <f ca="1">(SUM(I14:I31))*2.5%</f>
        <v>0</v>
      </c>
      <c r="J32" s="374">
        <f t="shared" ref="J32:K32" ca="1" si="32">(SUM(J14:J31))*2.5%</f>
        <v>4256</v>
      </c>
      <c r="K32" s="374">
        <f t="shared" ca="1" si="32"/>
        <v>100978.5</v>
      </c>
    </row>
    <row r="33" spans="2:13">
      <c r="B33" s="375"/>
      <c r="C33" s="376"/>
      <c r="D33" s="353" t="str">
        <f ca="1">IF(ISERROR(OFFSET('HARGA SATUAN'!$D$6,MATCH(RAB!C33,'HARGA SATUAN'!$C$7:$C$1492,0),0)),"",OFFSET('HARGA SATUAN'!$D$6,MATCH(RAB!C33,'HARGA SATUAN'!$C$7:$C$1492,0),0))</f>
        <v/>
      </c>
      <c r="E33" s="354" t="str">
        <f ca="1">IF(ISERROR(OFFSET('HARGA SATUAN'!$E$6,MATCH(RAB!C33,'HARGA SATUAN'!$C$7:$C$1492,0),0)),"",OFFSET('HARGA SATUAN'!$E$6,MATCH(RAB!C33,'HARGA SATUAN'!$C$7:$C$1492,0),0))</f>
        <v/>
      </c>
      <c r="F33" s="367"/>
      <c r="G33" s="355" t="str">
        <f ca="1">IF(ISERROR(OFFSET('HARGA SATUAN'!$I$6,MATCH(RAB!C33,'HARGA SATUAN'!$C$7:$C$1492,0),0)),"",OFFSET('HARGA SATUAN'!$I$6,MATCH(RAB!C33,'HARGA SATUAN'!$C$7:$C$1492,0),0))</f>
        <v/>
      </c>
      <c r="H33" s="356">
        <f ca="1">IF(OR(D33="MDU",D33="MDU-KD"),IF(G33="PLN",0,G33*F33),0)</f>
        <v>0</v>
      </c>
      <c r="I33" s="356">
        <f ca="1">IF(D33="HDW",IF(G33="PLN",0,G33*F33),0)</f>
        <v>0</v>
      </c>
      <c r="J33" s="356">
        <f ca="1">IF(D33="JASA",IF(G33="PLN",0,G33*F33),0)</f>
        <v>0</v>
      </c>
      <c r="K33" s="357">
        <f ca="1">SUM(H33:J33)</f>
        <v>0</v>
      </c>
    </row>
    <row r="34" spans="2:13" ht="15.75" thickBot="1">
      <c r="B34" s="377"/>
      <c r="C34" s="378"/>
      <c r="D34" s="379"/>
      <c r="E34" s="380"/>
      <c r="F34" s="380"/>
      <c r="G34" s="380"/>
      <c r="H34" s="381"/>
      <c r="I34" s="381"/>
      <c r="J34" s="381"/>
      <c r="K34" s="382"/>
    </row>
    <row r="35" spans="2:13">
      <c r="B35" s="383"/>
      <c r="C35" s="611" t="s">
        <v>1008</v>
      </c>
      <c r="D35" s="611"/>
      <c r="E35" s="611"/>
      <c r="F35" s="611"/>
      <c r="G35" s="384" t="s">
        <v>9</v>
      </c>
      <c r="H35" s="385">
        <f ca="1">SUM(H14:H33)</f>
        <v>3965622.5</v>
      </c>
      <c r="I35" s="385">
        <f ca="1">SUM(I14:I33)</f>
        <v>0</v>
      </c>
      <c r="J35" s="385">
        <f ca="1">SUM(J14:J33)</f>
        <v>174496</v>
      </c>
      <c r="K35" s="385">
        <f ca="1">SUM(K14:K33)</f>
        <v>4140118.5</v>
      </c>
    </row>
    <row r="36" spans="2:13">
      <c r="B36" s="387"/>
      <c r="C36" s="594" t="s">
        <v>1457</v>
      </c>
      <c r="D36" s="594"/>
      <c r="E36" s="594"/>
      <c r="F36" s="594"/>
      <c r="G36" s="388" t="s">
        <v>9</v>
      </c>
      <c r="H36" s="389">
        <f ca="1">H35*0.11</f>
        <v>436218.47499999998</v>
      </c>
      <c r="I36" s="389">
        <f ca="1">I35*0.11</f>
        <v>0</v>
      </c>
      <c r="J36" s="389">
        <f ca="1">J35*0.11</f>
        <v>19194.560000000001</v>
      </c>
      <c r="K36" s="389">
        <f ca="1">K35*0.11</f>
        <v>455413.03499999997</v>
      </c>
    </row>
    <row r="37" spans="2:13" ht="15.75" thickBot="1">
      <c r="B37" s="387"/>
      <c r="C37" s="592" t="s">
        <v>463</v>
      </c>
      <c r="D37" s="592"/>
      <c r="E37" s="592"/>
      <c r="F37" s="592"/>
      <c r="G37" s="390" t="s">
        <v>9</v>
      </c>
      <c r="H37" s="391">
        <f ca="1">SUM(H35:H36)</f>
        <v>4401840.9749999996</v>
      </c>
      <c r="I37" s="391">
        <f ca="1">SUM(I35:I36)</f>
        <v>0</v>
      </c>
      <c r="J37" s="390">
        <f ca="1">SUM(J35:J36)</f>
        <v>193690.56</v>
      </c>
      <c r="K37" s="390">
        <f ca="1">SUM(K35:K36)</f>
        <v>4595531.5350000001</v>
      </c>
      <c r="M37" s="469"/>
    </row>
    <row r="38" spans="2:13">
      <c r="B38" s="595" t="str">
        <f ca="1">"Terbilang : "&amp;PROPER(IF(K37=0,"nol",IF(K37&lt;0,"minus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IF(--MID(TEXT(ABS(K37),"000000000000000"),1,3)=0,"",MID(TEXT(ABS(K37),"000000000000000"),1,1)&amp;" ratus "&amp;MID(TEXT(ABS(K37),"000000000000000"),2,1)&amp;" puluh "&amp;MID(TEXT(ABS(K37),"000000000000000"),3,1)&amp;" trilyun ")&amp; IF(--MID(TEXT(ABS(K37),"000000000000000"),4,3)=0,"",MID(TEXT(ABS(K37),"000000000000000"),4,1)&amp;" ratus "&amp;MID(TEXT(ABS(K37),"000000000000000"),5,1)&amp;" puluh "&amp;MID(TEXT(ABS(K37),"000000000000000"),6,1)&amp;" milyar ")&amp; IF(--MID(TEXT(ABS(K37),"000000000000000"),7,3)=0,"",MID(TEXT(ABS(K37),"000000000000000"),7,1)&amp;" ratus "&amp;MID(TEXT(ABS(K37),"000000000000000"),8,1)&amp;" puluh "&amp;MID(TEXT(ABS(K37),"000000000000000"),9,1)&amp;" juta ")&amp; IF(--MID(TEXT(ABS(K37),"000000000000000"),10,3)=0,"",IF(--MID(TEXT(ABS(K37),"000000000000000"),10,3)=1,"*",MID(TEXT(ABS(K37),"000000000000000"),10,1)&amp;" ratus "&amp;MID(TEXT(ABS(K37),"000000000000000"),11,1)&amp;" puluh ")&amp;MID(TEXT(ABS(K37),"000000000000000"),12,1)&amp;" ribu ")&amp; IF(--MID(TEXT(ABS(K37),"000000000000000"),13,3)=0,"",MID(TEXT(ABS(K37),"000000000000000"),13,1)&amp;" ratus "&amp;MID(TEXT(ABS(K37),"000000000000000"),14,1)&amp;" puluh "&amp;MID(TEXT(ABS(K37),"000000000000000"),15,1)),1,"satu"),2,"dua"),3,"tiga"),4,"empat"),5,"lima"),6,"enam"),7,"tujuh"),8,"delapan"),9,"sembilan"),"0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Juta Lima Ratus Sembilan Puluh Lima Ribu Lima Ratus Tiga Puluh Dua Rupiah</v>
      </c>
      <c r="C38" s="596"/>
      <c r="D38" s="596"/>
      <c r="E38" s="596"/>
      <c r="F38" s="596"/>
      <c r="G38" s="596"/>
      <c r="H38" s="596"/>
      <c r="I38" s="596"/>
      <c r="J38" s="596"/>
      <c r="K38" s="597"/>
    </row>
    <row r="39" spans="2:13">
      <c r="B39" s="598"/>
      <c r="C39" s="599"/>
      <c r="D39" s="599"/>
      <c r="E39" s="599"/>
      <c r="F39" s="599"/>
      <c r="G39" s="599"/>
      <c r="H39" s="599"/>
      <c r="I39" s="599"/>
      <c r="J39" s="599"/>
      <c r="K39" s="600"/>
    </row>
    <row r="40" spans="2:13" ht="15.75" thickBot="1">
      <c r="B40" s="392" t="str">
        <f>"Harga yang dipakai adalah "&amp;'HARGA SATUAN'!I5&amp;""</f>
        <v>Harga yang dipakai adalah RAB HSS 2023</v>
      </c>
      <c r="C40" s="393"/>
      <c r="D40" s="394"/>
      <c r="E40" s="394"/>
      <c r="F40" s="394"/>
      <c r="G40" s="395"/>
      <c r="H40" s="395"/>
      <c r="I40" s="395"/>
      <c r="J40" s="395"/>
      <c r="K40" s="396"/>
    </row>
    <row r="41" spans="2:13">
      <c r="C41" s="397"/>
      <c r="E41" s="399"/>
      <c r="F41" s="399"/>
      <c r="G41" s="399"/>
    </row>
    <row r="42" spans="2:13">
      <c r="C42" s="334"/>
      <c r="E42" s="399"/>
      <c r="F42" s="399"/>
      <c r="G42" s="399"/>
      <c r="H42" s="601"/>
      <c r="I42" s="601"/>
      <c r="J42" s="602"/>
      <c r="K42" s="602"/>
    </row>
    <row r="43" spans="2:13">
      <c r="C43" s="334"/>
      <c r="E43" s="399"/>
      <c r="F43" s="399"/>
      <c r="G43" s="399"/>
      <c r="H43" s="400"/>
      <c r="I43" s="591" t="s">
        <v>1616</v>
      </c>
      <c r="J43" s="591"/>
      <c r="K43" s="591"/>
    </row>
    <row r="44" spans="2:13">
      <c r="C44" s="334"/>
      <c r="E44" s="399"/>
      <c r="F44" s="399"/>
      <c r="G44" s="399"/>
      <c r="H44" s="400"/>
      <c r="I44" s="591" t="s">
        <v>1617</v>
      </c>
      <c r="J44" s="591"/>
      <c r="K44" s="591"/>
    </row>
    <row r="45" spans="2:13">
      <c r="C45" s="334"/>
      <c r="E45" s="399"/>
      <c r="F45" s="399"/>
      <c r="G45" s="399"/>
      <c r="H45" s="401"/>
      <c r="I45" s="402"/>
      <c r="J45" s="402"/>
      <c r="K45" s="402"/>
    </row>
    <row r="46" spans="2:13">
      <c r="C46" s="334"/>
      <c r="E46" s="399"/>
      <c r="F46" s="399"/>
      <c r="G46" s="399"/>
      <c r="H46" s="401"/>
      <c r="I46" s="401"/>
      <c r="J46" s="401"/>
      <c r="K46" s="401"/>
    </row>
    <row r="47" spans="2:13">
      <c r="C47" s="334"/>
      <c r="E47" s="399"/>
      <c r="F47" s="399"/>
      <c r="G47" s="399"/>
      <c r="H47" s="401"/>
      <c r="I47" s="401"/>
      <c r="J47" s="401"/>
      <c r="K47" s="401"/>
    </row>
    <row r="48" spans="2:13">
      <c r="C48" s="334"/>
      <c r="E48" s="399"/>
      <c r="F48" s="399"/>
      <c r="G48" s="399"/>
      <c r="H48" s="401"/>
      <c r="I48" s="401"/>
      <c r="J48" s="401"/>
      <c r="K48" s="401"/>
    </row>
    <row r="49" spans="3:11">
      <c r="C49" s="334"/>
      <c r="E49" s="399"/>
      <c r="F49" s="399"/>
      <c r="G49" s="399"/>
      <c r="H49" s="403"/>
      <c r="I49" s="591" t="s">
        <v>1618</v>
      </c>
      <c r="J49" s="591"/>
      <c r="K49" s="591"/>
    </row>
    <row r="50" spans="3:11">
      <c r="C50" s="397"/>
      <c r="E50" s="399"/>
      <c r="F50" s="399"/>
      <c r="G50" s="399"/>
      <c r="H50" s="401"/>
      <c r="I50" s="401"/>
      <c r="J50" s="401"/>
      <c r="K50" s="401"/>
    </row>
    <row r="51" spans="3:11">
      <c r="C51" s="397"/>
      <c r="E51" s="399"/>
      <c r="F51" s="399"/>
      <c r="G51" s="399"/>
      <c r="H51" s="401"/>
      <c r="I51" s="401"/>
      <c r="J51" s="401"/>
      <c r="K51" s="401"/>
    </row>
    <row r="52" spans="3:11">
      <c r="C52" s="397"/>
      <c r="E52" s="399"/>
      <c r="F52" s="399"/>
      <c r="G52" s="399"/>
      <c r="H52" s="401"/>
      <c r="I52" s="401"/>
      <c r="J52" s="401"/>
      <c r="K52" s="401"/>
    </row>
  </sheetData>
  <sheetProtection sort="0" autoFilter="0"/>
  <protectedRanges>
    <protectedRange sqref="B27:B28 B30" name="Range1_1"/>
    <protectedRange sqref="F29:F31 F14:F20" name="Range1_1_2_2"/>
    <protectedRange sqref="C17" name="Range1_1_3"/>
    <protectedRange sqref="B21:C21 B24:C24 B26:C26 B22:B23 C27:C28 B25" name="Range1_6"/>
    <protectedRange sqref="C22" name="Range1_1_2_5"/>
    <protectedRange sqref="C25" name="Range1_1_3_3"/>
    <protectedRange sqref="C23" name="Range1_1_3_1"/>
  </protectedRanges>
  <mergeCells count="22">
    <mergeCell ref="O3:P4"/>
    <mergeCell ref="B4:K4"/>
    <mergeCell ref="C35:F35"/>
    <mergeCell ref="B11:B13"/>
    <mergeCell ref="C11:C13"/>
    <mergeCell ref="D11:D13"/>
    <mergeCell ref="E11:E13"/>
    <mergeCell ref="F11:F13"/>
    <mergeCell ref="G11:G13"/>
    <mergeCell ref="I12:I13"/>
    <mergeCell ref="I44:K44"/>
    <mergeCell ref="I49:K49"/>
    <mergeCell ref="C37:F37"/>
    <mergeCell ref="G6:K6"/>
    <mergeCell ref="I43:K43"/>
    <mergeCell ref="C36:F36"/>
    <mergeCell ref="B38:K39"/>
    <mergeCell ref="H42:K42"/>
    <mergeCell ref="H11:K11"/>
    <mergeCell ref="H12:H13"/>
    <mergeCell ref="J12:J13"/>
    <mergeCell ref="K12:K13"/>
  </mergeCells>
  <phoneticPr fontId="139" type="noConversion"/>
  <conditionalFormatting sqref="C15 C17">
    <cfRule type="cellIs" dxfId="6" priority="20" operator="equal">
      <formula>0</formula>
    </cfRule>
  </conditionalFormatting>
  <conditionalFormatting sqref="C22">
    <cfRule type="cellIs" dxfId="5" priority="13" operator="equal">
      <formula>0</formula>
    </cfRule>
  </conditionalFormatting>
  <conditionalFormatting sqref="C25">
    <cfRule type="cellIs" dxfId="4" priority="12" operator="equal">
      <formula>0</formula>
    </cfRule>
  </conditionalFormatting>
  <conditionalFormatting sqref="C30">
    <cfRule type="cellIs" dxfId="3" priority="541" operator="equal">
      <formula>0</formula>
    </cfRule>
  </conditionalFormatting>
  <conditionalFormatting sqref="E1:E3 G1:G13 E5:E13 H12:I12 O13 S14:V17 E32:G32 H32:K34 E33:H33 E34:F34 E14:K31">
    <cfRule type="cellIs" dxfId="2" priority="1121" stopIfTrue="1" operator="equal">
      <formula>0</formula>
    </cfRule>
  </conditionalFormatting>
  <conditionalFormatting sqref="G33:G65499 E38:E65499">
    <cfRule type="cellIs" dxfId="1" priority="255" stopIfTrue="1" operator="equal">
      <formula>0</formula>
    </cfRule>
  </conditionalFormatting>
  <conditionalFormatting sqref="C2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H14:K3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A37" zoomScale="115" zoomScaleNormal="115" zoomScaleSheetLayoutView="115" workbookViewId="0">
      <selection activeCell="Y56" sqref="Y56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72" t="s">
        <v>1439</v>
      </c>
      <c r="X2" s="673"/>
      <c r="Y2" s="673"/>
      <c r="Z2" s="673"/>
      <c r="AA2" s="673"/>
      <c r="AB2" s="673"/>
      <c r="AC2" s="673"/>
      <c r="AD2" s="674"/>
    </row>
    <row r="3" spans="3:30">
      <c r="C3" s="238"/>
      <c r="W3" s="675"/>
      <c r="X3" s="676"/>
      <c r="Y3" s="676"/>
      <c r="Z3" s="676"/>
      <c r="AA3" s="676"/>
      <c r="AB3" s="676"/>
      <c r="AC3" s="676"/>
      <c r="AD3" s="677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23" t="s">
        <v>990</v>
      </c>
      <c r="Y5" s="623"/>
      <c r="Z5" s="623"/>
      <c r="AA5" s="623" t="s">
        <v>988</v>
      </c>
      <c r="AB5" s="623"/>
      <c r="AC5" s="623" t="s">
        <v>989</v>
      </c>
      <c r="AD5" s="624"/>
    </row>
    <row r="6" spans="3:30">
      <c r="C6" s="238"/>
      <c r="W6" s="241">
        <v>1</v>
      </c>
      <c r="X6" s="623" t="s">
        <v>993</v>
      </c>
      <c r="Y6" s="623"/>
      <c r="Z6" s="623"/>
      <c r="AA6" s="623"/>
      <c r="AB6" s="623"/>
      <c r="AC6" s="623"/>
      <c r="AD6" s="624"/>
    </row>
    <row r="7" spans="3:30">
      <c r="C7" s="238"/>
      <c r="E7" s="475" t="str">
        <f>PETA!C6</f>
        <v>KOORDINAT : -6.916230, 110.759264</v>
      </c>
      <c r="W7" s="241">
        <v>2</v>
      </c>
      <c r="X7" s="623" t="s">
        <v>994</v>
      </c>
      <c r="Y7" s="623"/>
      <c r="Z7" s="623"/>
      <c r="AA7" s="623"/>
      <c r="AB7" s="623"/>
      <c r="AC7" s="623"/>
      <c r="AD7" s="624"/>
    </row>
    <row r="8" spans="3:30">
      <c r="C8" s="238"/>
      <c r="W8" s="241">
        <v>3</v>
      </c>
      <c r="X8" s="623" t="s">
        <v>995</v>
      </c>
      <c r="Y8" s="623"/>
      <c r="Z8" s="623"/>
      <c r="AA8" s="623"/>
      <c r="AB8" s="623"/>
      <c r="AC8" s="623"/>
      <c r="AD8" s="624"/>
    </row>
    <row r="9" spans="3:30">
      <c r="C9" s="238"/>
      <c r="W9" s="241">
        <v>4</v>
      </c>
      <c r="X9" s="623" t="s">
        <v>996</v>
      </c>
      <c r="Y9" s="623"/>
      <c r="Z9" s="623"/>
      <c r="AA9" s="623"/>
      <c r="AB9" s="623"/>
      <c r="AC9" s="623"/>
      <c r="AD9" s="624"/>
    </row>
    <row r="10" spans="3:30">
      <c r="C10" s="238"/>
      <c r="W10" s="241">
        <v>5</v>
      </c>
      <c r="X10" s="623" t="s">
        <v>997</v>
      </c>
      <c r="Y10" s="623"/>
      <c r="Z10" s="623"/>
      <c r="AA10" s="623"/>
      <c r="AB10" s="623"/>
      <c r="AC10" s="623"/>
      <c r="AD10" s="624"/>
    </row>
    <row r="11" spans="3:30">
      <c r="C11" s="238"/>
      <c r="W11" s="241">
        <v>6</v>
      </c>
      <c r="X11" s="623" t="s">
        <v>998</v>
      </c>
      <c r="Y11" s="623"/>
      <c r="Z11" s="623"/>
      <c r="AA11" s="623"/>
      <c r="AB11" s="623"/>
      <c r="AC11" s="623"/>
      <c r="AD11" s="624"/>
    </row>
    <row r="12" spans="3:30">
      <c r="C12" s="238"/>
      <c r="W12" s="241">
        <v>7</v>
      </c>
      <c r="X12" s="623" t="s">
        <v>999</v>
      </c>
      <c r="Y12" s="623"/>
      <c r="Z12" s="623"/>
      <c r="AA12" s="623"/>
      <c r="AB12" s="623"/>
      <c r="AC12" s="623"/>
      <c r="AD12" s="624"/>
    </row>
    <row r="13" spans="3:30" ht="12.75" customHeight="1">
      <c r="C13" s="238"/>
      <c r="W13" s="241">
        <v>8</v>
      </c>
      <c r="X13" s="623" t="s">
        <v>1000</v>
      </c>
      <c r="Y13" s="623"/>
      <c r="Z13" s="623"/>
      <c r="AA13" s="623"/>
      <c r="AB13" s="623"/>
      <c r="AC13" s="623"/>
      <c r="AD13" s="624"/>
    </row>
    <row r="14" spans="3:30">
      <c r="C14" s="238"/>
      <c r="W14" s="241">
        <v>9</v>
      </c>
      <c r="X14" s="623" t="s">
        <v>1001</v>
      </c>
      <c r="Y14" s="623"/>
      <c r="Z14" s="623"/>
      <c r="AA14" s="623"/>
      <c r="AB14" s="623"/>
      <c r="AC14" s="623"/>
      <c r="AD14" s="624"/>
    </row>
    <row r="15" spans="3:30">
      <c r="C15" s="238"/>
      <c r="W15" s="241">
        <v>10</v>
      </c>
      <c r="X15" s="623" t="s">
        <v>1010</v>
      </c>
      <c r="Y15" s="623"/>
      <c r="Z15" s="623"/>
      <c r="AA15" s="623"/>
      <c r="AB15" s="623"/>
      <c r="AC15" s="623"/>
      <c r="AD15" s="624"/>
    </row>
    <row r="16" spans="3:30">
      <c r="C16" s="238"/>
      <c r="W16" s="241">
        <v>11</v>
      </c>
      <c r="X16" s="623" t="s">
        <v>1455</v>
      </c>
      <c r="Y16" s="623"/>
      <c r="Z16" s="623"/>
      <c r="AA16" s="623"/>
      <c r="AB16" s="623"/>
      <c r="AC16" s="623"/>
      <c r="AD16" s="624"/>
    </row>
    <row r="17" spans="3:30">
      <c r="C17" s="238"/>
      <c r="S17" s="242"/>
      <c r="W17" s="241">
        <v>12</v>
      </c>
      <c r="X17" s="623" t="s">
        <v>1011</v>
      </c>
      <c r="Y17" s="623"/>
      <c r="Z17" s="623"/>
      <c r="AA17" s="623"/>
      <c r="AB17" s="623"/>
      <c r="AC17" s="623"/>
      <c r="AD17" s="624"/>
    </row>
    <row r="18" spans="3:30">
      <c r="C18" s="243"/>
      <c r="D18" s="244"/>
      <c r="E18" s="244"/>
      <c r="W18" s="241">
        <v>13</v>
      </c>
      <c r="X18" s="623"/>
      <c r="Y18" s="623"/>
      <c r="Z18" s="623"/>
      <c r="AA18" s="623"/>
      <c r="AB18" s="623"/>
      <c r="AC18" s="623"/>
      <c r="AD18" s="624"/>
    </row>
    <row r="19" spans="3:30">
      <c r="C19" s="238"/>
      <c r="W19" s="245"/>
      <c r="X19" s="670"/>
      <c r="Y19" s="670"/>
      <c r="Z19" s="670"/>
      <c r="AA19" s="670"/>
      <c r="AB19" s="670"/>
      <c r="AC19" s="670"/>
      <c r="AD19" s="671"/>
    </row>
    <row r="20" spans="3:30">
      <c r="C20" s="238"/>
      <c r="W20" s="659" t="s">
        <v>992</v>
      </c>
      <c r="X20" s="660"/>
      <c r="Y20" s="660"/>
      <c r="Z20" s="660"/>
      <c r="AA20" s="660"/>
      <c r="AB20" s="660"/>
      <c r="AC20" s="660"/>
      <c r="AD20" s="661"/>
    </row>
    <row r="21" spans="3:30">
      <c r="C21" s="238"/>
      <c r="W21" s="662" t="s">
        <v>985</v>
      </c>
      <c r="X21" s="663"/>
      <c r="Y21" s="663"/>
      <c r="Z21" s="664"/>
      <c r="AA21" s="665" t="s">
        <v>986</v>
      </c>
      <c r="AB21" s="666"/>
      <c r="AC21" s="666"/>
      <c r="AD21" s="667"/>
    </row>
    <row r="22" spans="3:30">
      <c r="C22" s="238"/>
      <c r="W22" s="657"/>
      <c r="X22" s="658"/>
      <c r="Y22" s="479"/>
      <c r="Z22" s="480"/>
      <c r="AA22" s="668"/>
      <c r="AB22" s="669"/>
      <c r="AC22" s="248"/>
      <c r="AD22" s="249"/>
    </row>
    <row r="23" spans="3:30">
      <c r="C23" s="238"/>
      <c r="W23" s="657"/>
      <c r="X23" s="658"/>
      <c r="Y23" s="479"/>
      <c r="Z23" s="480"/>
      <c r="AA23" s="655"/>
      <c r="AB23" s="656"/>
      <c r="AC23" s="248"/>
      <c r="AD23" s="249"/>
    </row>
    <row r="24" spans="3:30">
      <c r="C24" s="238"/>
      <c r="W24" s="643"/>
      <c r="X24" s="644"/>
      <c r="Y24" s="479"/>
      <c r="Z24" s="480"/>
      <c r="AA24" s="653"/>
      <c r="AB24" s="654"/>
      <c r="AC24" s="248"/>
      <c r="AD24" s="249"/>
    </row>
    <row r="25" spans="3:30">
      <c r="C25" s="238"/>
      <c r="W25" s="477"/>
      <c r="X25" s="478"/>
      <c r="Y25" s="479"/>
      <c r="Z25" s="480"/>
      <c r="AA25" s="655"/>
      <c r="AB25" s="656"/>
      <c r="AC25" s="248"/>
      <c r="AD25" s="249"/>
    </row>
    <row r="26" spans="3:30">
      <c r="C26" s="238"/>
      <c r="W26" s="643"/>
      <c r="X26" s="644"/>
      <c r="Y26" s="479"/>
      <c r="Z26" s="480"/>
      <c r="AA26" s="655"/>
      <c r="AB26" s="656"/>
      <c r="AC26" s="248"/>
      <c r="AD26" s="249"/>
    </row>
    <row r="27" spans="3:30">
      <c r="C27" s="238"/>
      <c r="W27" s="643"/>
      <c r="X27" s="644"/>
      <c r="Y27" s="479"/>
      <c r="Z27" s="480"/>
      <c r="AA27" s="651"/>
      <c r="AB27" s="652"/>
      <c r="AC27" s="248"/>
      <c r="AD27" s="249"/>
    </row>
    <row r="28" spans="3:30">
      <c r="C28" s="238"/>
      <c r="W28" s="643"/>
      <c r="X28" s="644"/>
      <c r="Y28" s="479"/>
      <c r="Z28" s="480"/>
      <c r="AA28" s="651"/>
      <c r="AB28" s="652"/>
      <c r="AC28" s="248"/>
      <c r="AD28" s="249"/>
    </row>
    <row r="29" spans="3:30">
      <c r="C29" s="238"/>
      <c r="W29" s="643"/>
      <c r="X29" s="644"/>
      <c r="Y29" s="479"/>
      <c r="Z29" s="480"/>
      <c r="AA29" s="651"/>
      <c r="AB29" s="652"/>
      <c r="AC29" s="248"/>
      <c r="AD29" s="249"/>
    </row>
    <row r="30" spans="3:30" ht="11.25" customHeight="1">
      <c r="C30" s="238"/>
      <c r="W30" s="477"/>
      <c r="X30" s="478"/>
      <c r="Y30" s="479"/>
      <c r="Z30" s="480"/>
      <c r="AA30" s="651"/>
      <c r="AB30" s="652"/>
      <c r="AC30" s="248"/>
      <c r="AD30" s="249"/>
    </row>
    <row r="31" spans="3:30">
      <c r="C31" s="238"/>
      <c r="U31" s="250"/>
      <c r="W31" s="643"/>
      <c r="X31" s="644"/>
      <c r="Y31" s="479"/>
      <c r="Z31" s="480"/>
      <c r="AA31" s="651"/>
      <c r="AB31" s="652"/>
      <c r="AC31" s="248"/>
      <c r="AD31" s="249"/>
    </row>
    <row r="32" spans="3:30">
      <c r="C32" s="238"/>
      <c r="U32" s="250"/>
      <c r="W32" s="657"/>
      <c r="X32" s="658"/>
      <c r="Y32" s="246"/>
      <c r="Z32" s="480"/>
      <c r="AA32" s="651"/>
      <c r="AB32" s="652"/>
      <c r="AC32" s="248"/>
      <c r="AD32" s="249"/>
    </row>
    <row r="33" spans="3:30">
      <c r="C33" s="238"/>
      <c r="W33" s="643"/>
      <c r="X33" s="644"/>
      <c r="Y33" s="479"/>
      <c r="Z33" s="480"/>
      <c r="AA33" s="645"/>
      <c r="AB33" s="645"/>
      <c r="AC33" s="248"/>
      <c r="AD33" s="249"/>
    </row>
    <row r="34" spans="3:30">
      <c r="C34" s="238"/>
      <c r="W34" s="477"/>
      <c r="X34" s="478"/>
      <c r="Y34" s="246"/>
      <c r="Z34" s="480"/>
      <c r="AA34" s="645"/>
      <c r="AB34" s="645"/>
      <c r="AC34" s="248"/>
      <c r="AD34" s="249"/>
    </row>
    <row r="35" spans="3:30">
      <c r="C35" s="238"/>
      <c r="W35" s="643"/>
      <c r="X35" s="644"/>
      <c r="Y35" s="246"/>
      <c r="Z35" s="247"/>
      <c r="AA35" s="645"/>
      <c r="AB35" s="645"/>
      <c r="AC35" s="248"/>
      <c r="AD35" s="249"/>
    </row>
    <row r="36" spans="3:30">
      <c r="C36" s="238"/>
      <c r="W36" s="643"/>
      <c r="X36" s="644"/>
      <c r="Y36" s="479"/>
      <c r="Z36" s="480"/>
      <c r="AA36" s="645"/>
      <c r="AB36" s="645"/>
      <c r="AC36" s="248"/>
      <c r="AD36" s="249"/>
    </row>
    <row r="37" spans="3:30" ht="12.75" customHeight="1">
      <c r="C37" s="238"/>
      <c r="W37" s="646"/>
      <c r="X37" s="647"/>
      <c r="Y37" s="246"/>
      <c r="Z37" s="480"/>
      <c r="AA37" s="648"/>
      <c r="AB37" s="648"/>
      <c r="AC37" s="251"/>
      <c r="AD37" s="252"/>
    </row>
    <row r="38" spans="3:30" ht="12.75" customHeight="1">
      <c r="C38" s="238"/>
      <c r="W38" s="646"/>
      <c r="X38" s="647"/>
      <c r="Y38" s="253"/>
      <c r="Z38" s="247"/>
      <c r="AA38" s="649"/>
      <c r="AB38" s="650"/>
      <c r="AC38" s="251"/>
      <c r="AD38" s="252"/>
    </row>
    <row r="39" spans="3:30" ht="12" customHeight="1">
      <c r="C39" s="238"/>
      <c r="W39" s="646"/>
      <c r="X39" s="647"/>
      <c r="Y39" s="253"/>
      <c r="Z39" s="254"/>
      <c r="AA39" s="639"/>
      <c r="AB39" s="640"/>
      <c r="AC39" s="251"/>
      <c r="AD39" s="252"/>
    </row>
    <row r="40" spans="3:30" ht="12" customHeight="1">
      <c r="C40" s="238"/>
      <c r="W40" s="635"/>
      <c r="X40" s="636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37"/>
      <c r="X41" s="638"/>
      <c r="Y41" s="257"/>
      <c r="Z41" s="258"/>
      <c r="AA41" s="639"/>
      <c r="AB41" s="640"/>
      <c r="AC41" s="251"/>
      <c r="AD41" s="252"/>
    </row>
    <row r="42" spans="3:30" ht="12" customHeight="1">
      <c r="C42" s="238"/>
      <c r="W42" s="641" t="s">
        <v>1456</v>
      </c>
      <c r="X42" s="642"/>
      <c r="Y42" s="642"/>
      <c r="Z42" s="642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20" t="s">
        <v>11</v>
      </c>
      <c r="X44" s="621"/>
      <c r="Y44" s="623"/>
      <c r="Z44" s="623"/>
      <c r="AA44" s="623"/>
      <c r="AB44" s="623"/>
      <c r="AC44" s="623"/>
      <c r="AD44" s="624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20" t="s">
        <v>984</v>
      </c>
      <c r="X45" s="621"/>
      <c r="Y45" s="623">
        <v>1</v>
      </c>
      <c r="Z45" s="623"/>
      <c r="AA45" s="623"/>
      <c r="AB45" s="623" t="s">
        <v>12</v>
      </c>
      <c r="AC45" s="623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20" t="s">
        <v>15</v>
      </c>
      <c r="X46" s="621"/>
      <c r="Y46" s="634"/>
      <c r="Z46" s="634"/>
      <c r="AA46" s="634"/>
      <c r="AB46" s="623" t="s">
        <v>16</v>
      </c>
      <c r="AC46" s="623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28" t="s">
        <v>17</v>
      </c>
      <c r="X47" s="628"/>
      <c r="Y47" s="628"/>
      <c r="Z47" s="628"/>
      <c r="AA47" s="628"/>
      <c r="AB47" s="628"/>
      <c r="AC47" s="628"/>
      <c r="AD47" s="629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30" t="str">
        <f>RAB!G6</f>
        <v>AGR H ALI SA'DI ,H.</v>
      </c>
      <c r="X48" s="630"/>
      <c r="Y48" s="630"/>
      <c r="Z48" s="630"/>
      <c r="AA48" s="630"/>
      <c r="AB48" s="630"/>
      <c r="AC48" s="630"/>
      <c r="AD48" s="631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30"/>
      <c r="X49" s="630"/>
      <c r="Y49" s="630"/>
      <c r="Z49" s="630"/>
      <c r="AA49" s="630"/>
      <c r="AB49" s="630"/>
      <c r="AC49" s="630"/>
      <c r="AD49" s="631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30"/>
      <c r="X50" s="630"/>
      <c r="Y50" s="630"/>
      <c r="Z50" s="630"/>
      <c r="AA50" s="630"/>
      <c r="AB50" s="630"/>
      <c r="AC50" s="630"/>
      <c r="AD50" s="631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32"/>
      <c r="X51" s="632"/>
      <c r="Y51" s="632"/>
      <c r="Z51" s="632"/>
      <c r="AA51" s="632"/>
      <c r="AB51" s="632"/>
      <c r="AC51" s="632"/>
      <c r="AD51" s="633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20" t="s">
        <v>18</v>
      </c>
      <c r="X52" s="621"/>
      <c r="Y52" s="623" t="s">
        <v>1619</v>
      </c>
      <c r="Z52" s="623"/>
      <c r="AA52" s="623"/>
      <c r="AB52" s="623"/>
      <c r="AC52" s="623"/>
      <c r="AD52" s="624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20" t="s">
        <v>19</v>
      </c>
      <c r="X53" s="621"/>
      <c r="Y53" s="623" t="s">
        <v>1620</v>
      </c>
      <c r="Z53" s="623"/>
      <c r="AA53" s="623"/>
      <c r="AB53" s="623"/>
      <c r="AC53" s="623"/>
      <c r="AD53" s="624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20" t="s">
        <v>20</v>
      </c>
      <c r="X54" s="621"/>
      <c r="Y54" s="622" t="s">
        <v>1621</v>
      </c>
      <c r="Z54" s="622"/>
      <c r="AA54" s="622"/>
      <c r="AB54" s="623"/>
      <c r="AC54" s="623"/>
      <c r="AD54" s="624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25" t="s">
        <v>21</v>
      </c>
      <c r="X55" s="626"/>
      <c r="Y55" s="622" t="s">
        <v>1622</v>
      </c>
      <c r="Z55" s="622"/>
      <c r="AA55" s="622"/>
      <c r="AB55" s="622"/>
      <c r="AC55" s="622"/>
      <c r="AD55" s="627"/>
    </row>
  </sheetData>
  <mergeCells count="108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V47" sqref="V46:V47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78" t="s">
        <v>1528</v>
      </c>
      <c r="E4" s="679"/>
      <c r="F4" s="679"/>
      <c r="G4" s="679"/>
      <c r="H4" s="679"/>
      <c r="I4" s="679"/>
      <c r="J4" s="679"/>
      <c r="K4" s="679"/>
      <c r="L4" s="679"/>
      <c r="M4" s="679"/>
      <c r="N4" s="679"/>
      <c r="O4" s="679"/>
      <c r="P4" s="679"/>
      <c r="Q4" s="679"/>
      <c r="R4" s="679"/>
      <c r="S4" s="679"/>
      <c r="T4" s="679"/>
      <c r="U4" s="679"/>
      <c r="V4" s="679"/>
      <c r="W4" s="679"/>
      <c r="X4" s="679"/>
      <c r="Y4" s="679"/>
      <c r="Z4" s="679"/>
      <c r="AA4" s="679"/>
      <c r="AB4" s="679"/>
      <c r="AC4" s="680"/>
      <c r="AD4" s="217"/>
      <c r="AE4" s="216"/>
      <c r="AF4" s="216"/>
    </row>
    <row r="5" spans="2:32" ht="13.5" customHeight="1">
      <c r="B5" s="215"/>
      <c r="C5" s="215"/>
      <c r="D5" s="681"/>
      <c r="E5" s="682"/>
      <c r="F5" s="682"/>
      <c r="G5" s="682"/>
      <c r="H5" s="682"/>
      <c r="I5" s="682"/>
      <c r="J5" s="682"/>
      <c r="K5" s="682"/>
      <c r="L5" s="682"/>
      <c r="M5" s="682"/>
      <c r="N5" s="682"/>
      <c r="O5" s="682"/>
      <c r="P5" s="682"/>
      <c r="Q5" s="682"/>
      <c r="R5" s="682"/>
      <c r="S5" s="682"/>
      <c r="T5" s="682"/>
      <c r="U5" s="682"/>
      <c r="V5" s="682"/>
      <c r="W5" s="682"/>
      <c r="X5" s="682"/>
      <c r="Y5" s="682"/>
      <c r="Z5" s="682"/>
      <c r="AA5" s="682"/>
      <c r="AB5" s="682"/>
      <c r="AC5" s="683"/>
      <c r="AD5" s="217"/>
      <c r="AE5" s="216"/>
      <c r="AF5" s="216"/>
    </row>
    <row r="6" spans="2:32" ht="12.75" customHeight="1">
      <c r="B6" s="215"/>
      <c r="C6" s="215"/>
      <c r="D6" s="681"/>
      <c r="E6" s="682"/>
      <c r="F6" s="682"/>
      <c r="G6" s="682"/>
      <c r="H6" s="682"/>
      <c r="I6" s="682"/>
      <c r="J6" s="682"/>
      <c r="K6" s="682"/>
      <c r="L6" s="682"/>
      <c r="M6" s="682"/>
      <c r="N6" s="682"/>
      <c r="O6" s="682"/>
      <c r="P6" s="682"/>
      <c r="Q6" s="682"/>
      <c r="R6" s="682"/>
      <c r="S6" s="682"/>
      <c r="T6" s="682"/>
      <c r="U6" s="682"/>
      <c r="V6" s="682"/>
      <c r="W6" s="682"/>
      <c r="X6" s="682"/>
      <c r="Y6" s="682"/>
      <c r="Z6" s="682"/>
      <c r="AA6" s="682"/>
      <c r="AB6" s="682"/>
      <c r="AC6" s="683"/>
      <c r="AE6" s="216"/>
      <c r="AF6" s="216"/>
    </row>
    <row r="7" spans="2:32" ht="12.75" customHeight="1" thickBot="1">
      <c r="B7" s="215"/>
      <c r="C7" s="215"/>
      <c r="D7" s="684"/>
      <c r="E7" s="685"/>
      <c r="F7" s="685"/>
      <c r="G7" s="685"/>
      <c r="H7" s="685"/>
      <c r="I7" s="685"/>
      <c r="J7" s="685"/>
      <c r="K7" s="685"/>
      <c r="L7" s="685"/>
      <c r="M7" s="685"/>
      <c r="N7" s="685"/>
      <c r="O7" s="685"/>
      <c r="P7" s="685"/>
      <c r="Q7" s="685"/>
      <c r="R7" s="685"/>
      <c r="S7" s="685"/>
      <c r="T7" s="685"/>
      <c r="U7" s="685"/>
      <c r="V7" s="685"/>
      <c r="W7" s="685"/>
      <c r="X7" s="685"/>
      <c r="Y7" s="685"/>
      <c r="Z7" s="685"/>
      <c r="AA7" s="685"/>
      <c r="AB7" s="685"/>
      <c r="AC7" s="686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U31" sqref="U30:U31"/>
    </sheetView>
  </sheetViews>
  <sheetFormatPr defaultRowHeight="12.75"/>
  <cols>
    <col min="1" max="1" width="1.7109375" style="414" customWidth="1"/>
    <col min="2" max="2" width="10.7109375" style="414" customWidth="1"/>
    <col min="3" max="3" width="2.5703125" style="414" customWidth="1"/>
    <col min="4" max="20" width="9.140625" style="414"/>
    <col min="21" max="21" width="14.5703125" style="414" customWidth="1"/>
    <col min="22" max="22" width="3.140625" style="414" customWidth="1"/>
    <col min="23" max="26" width="9.140625" style="414"/>
    <col min="27" max="27" width="2.85546875" style="414" customWidth="1"/>
    <col min="28" max="30" width="4.7109375" style="414" customWidth="1"/>
    <col min="31" max="31" width="1.7109375" style="414" customWidth="1"/>
    <col min="32" max="16384" width="9.140625" style="41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82" t="s">
        <v>1527</v>
      </c>
      <c r="D3" s="682"/>
      <c r="E3" s="682"/>
      <c r="F3" s="682"/>
      <c r="G3" s="682"/>
      <c r="H3" s="682"/>
      <c r="I3" s="682"/>
      <c r="J3" s="682"/>
      <c r="K3" s="682"/>
      <c r="L3" s="682"/>
      <c r="M3" s="682"/>
      <c r="N3" s="682"/>
      <c r="O3" s="682"/>
      <c r="P3" s="682"/>
      <c r="Q3" s="682"/>
      <c r="R3" s="682"/>
      <c r="S3" s="682"/>
      <c r="T3" s="682"/>
      <c r="U3" s="682"/>
      <c r="V3" s="682"/>
      <c r="W3" s="182"/>
      <c r="X3" s="425"/>
      <c r="Y3" s="425"/>
      <c r="Z3" s="425"/>
      <c r="AA3" s="425"/>
      <c r="AB3" s="425"/>
      <c r="AC3" s="415"/>
    </row>
    <row r="4" spans="1:29" ht="18.75" customHeight="1">
      <c r="A4" s="181"/>
      <c r="C4" s="682"/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182"/>
      <c r="X4" s="425"/>
      <c r="Y4" s="425"/>
      <c r="Z4" s="425"/>
      <c r="AA4" s="425"/>
      <c r="AB4" s="425"/>
      <c r="AC4" s="415"/>
    </row>
    <row r="5" spans="1:29" ht="12.75" customHeight="1">
      <c r="A5" s="181"/>
      <c r="C5" s="416"/>
      <c r="W5" s="182"/>
    </row>
    <row r="6" spans="1:29" ht="12.75" customHeight="1">
      <c r="A6" s="181"/>
      <c r="C6" s="687" t="s">
        <v>1612</v>
      </c>
      <c r="D6" s="687"/>
      <c r="E6" s="687"/>
      <c r="F6" s="687"/>
      <c r="G6" s="687"/>
      <c r="H6" s="687"/>
      <c r="I6" s="687"/>
      <c r="J6" s="687"/>
      <c r="K6" s="687"/>
      <c r="L6" s="687"/>
      <c r="M6" s="687"/>
      <c r="W6" s="182"/>
      <c r="Y6" s="417"/>
      <c r="Z6" s="417"/>
      <c r="AA6" s="417"/>
      <c r="AB6" s="418"/>
      <c r="AC6" s="418"/>
    </row>
    <row r="7" spans="1:29" ht="18" customHeight="1">
      <c r="A7" s="181"/>
      <c r="C7" s="687"/>
      <c r="D7" s="687"/>
      <c r="E7" s="687"/>
      <c r="F7" s="687"/>
      <c r="G7" s="687"/>
      <c r="H7" s="687"/>
      <c r="I7" s="687"/>
      <c r="J7" s="687"/>
      <c r="K7" s="687"/>
      <c r="L7" s="687"/>
      <c r="M7" s="687"/>
      <c r="W7" s="182"/>
      <c r="Y7" s="417"/>
      <c r="Z7" s="417"/>
      <c r="AA7" s="417"/>
      <c r="AB7" s="418"/>
      <c r="AC7" s="41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1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0"/>
      <c r="S54" s="420"/>
      <c r="T54" s="420"/>
      <c r="U54" s="421"/>
      <c r="V54" s="421"/>
      <c r="W54" s="183"/>
      <c r="X54" s="421"/>
      <c r="Y54" s="421"/>
      <c r="Z54" s="421"/>
      <c r="AA54" s="421"/>
      <c r="AB54" s="421"/>
      <c r="AC54" s="421"/>
      <c r="AD54" s="42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6"/>
      <c r="S55" s="427"/>
      <c r="T55" s="427"/>
      <c r="U55" s="186"/>
      <c r="V55" s="187"/>
      <c r="W55" s="188"/>
      <c r="X55" s="421"/>
      <c r="Y55" s="421"/>
      <c r="Z55" s="421"/>
      <c r="AA55" s="422"/>
      <c r="AB55" s="422"/>
      <c r="AC55" s="422"/>
      <c r="AD55" s="422"/>
    </row>
    <row r="56" spans="1:30">
      <c r="U56" s="421"/>
      <c r="V56" s="422"/>
      <c r="W56" s="421"/>
      <c r="X56" s="421"/>
      <c r="Y56" s="421"/>
      <c r="Z56" s="421"/>
      <c r="AA56" s="422"/>
      <c r="AB56" s="421"/>
      <c r="AC56" s="421"/>
      <c r="AD56" s="421"/>
    </row>
    <row r="57" spans="1:30">
      <c r="U57" s="421"/>
      <c r="V57" s="422"/>
      <c r="W57" s="421"/>
      <c r="X57" s="421"/>
      <c r="Y57" s="421"/>
      <c r="Z57" s="421"/>
      <c r="AA57" s="421"/>
      <c r="AB57" s="421"/>
      <c r="AC57" s="421"/>
      <c r="AD57" s="421"/>
    </row>
    <row r="58" spans="1:30">
      <c r="U58" s="421"/>
      <c r="V58" s="422"/>
      <c r="W58" s="421"/>
      <c r="X58" s="421"/>
      <c r="Y58" s="421"/>
      <c r="Z58" s="421"/>
      <c r="AA58" s="421"/>
      <c r="AB58" s="421"/>
      <c r="AC58" s="421"/>
      <c r="AD58" s="421"/>
    </row>
    <row r="59" spans="1:30">
      <c r="U59" s="421"/>
      <c r="V59" s="422"/>
      <c r="W59" s="421"/>
      <c r="X59" s="421"/>
      <c r="Y59" s="421"/>
      <c r="Z59" s="421"/>
      <c r="AA59" s="421"/>
      <c r="AB59" s="421"/>
      <c r="AC59" s="421"/>
      <c r="AD59" s="421"/>
    </row>
    <row r="60" spans="1:30">
      <c r="U60" s="421"/>
      <c r="V60" s="422"/>
      <c r="W60" s="421"/>
      <c r="X60" s="421"/>
      <c r="Y60" s="421"/>
      <c r="Z60" s="421"/>
      <c r="AA60" s="422"/>
      <c r="AB60" s="421"/>
      <c r="AC60" s="421"/>
      <c r="AD60" s="421"/>
    </row>
    <row r="61" spans="1:30">
      <c r="U61" s="421"/>
      <c r="V61" s="422"/>
      <c r="W61" s="421"/>
      <c r="X61" s="421"/>
      <c r="Y61" s="421"/>
      <c r="Z61" s="421"/>
      <c r="AA61" s="421"/>
      <c r="AB61" s="421"/>
      <c r="AC61" s="421"/>
      <c r="AD61" s="421"/>
    </row>
    <row r="62" spans="1:30">
      <c r="U62" s="421"/>
      <c r="V62" s="422"/>
      <c r="W62" s="421"/>
      <c r="X62" s="421"/>
      <c r="Y62" s="421"/>
      <c r="Z62" s="421"/>
      <c r="AA62" s="421"/>
      <c r="AB62" s="421"/>
      <c r="AC62" s="421"/>
      <c r="AD62" s="421"/>
    </row>
    <row r="63" spans="1:30">
      <c r="U63" s="421"/>
      <c r="V63" s="422"/>
      <c r="W63" s="421"/>
      <c r="X63" s="421"/>
      <c r="Y63" s="421"/>
      <c r="Z63" s="421"/>
      <c r="AA63" s="421"/>
      <c r="AB63" s="421"/>
      <c r="AC63" s="421"/>
      <c r="AD63" s="421"/>
    </row>
    <row r="64" spans="1:30">
      <c r="U64" s="421"/>
      <c r="V64" s="422"/>
      <c r="W64" s="421"/>
      <c r="X64" s="421"/>
      <c r="Y64" s="421"/>
      <c r="Z64" s="421"/>
      <c r="AA64" s="421"/>
      <c r="AB64" s="421"/>
      <c r="AC64" s="421"/>
      <c r="AD64" s="421"/>
    </row>
    <row r="65" spans="5:30">
      <c r="U65" s="421"/>
      <c r="V65" s="422"/>
      <c r="W65" s="421"/>
      <c r="X65" s="421"/>
      <c r="Y65" s="421"/>
      <c r="Z65" s="421"/>
      <c r="AA65" s="421"/>
      <c r="AB65" s="421"/>
      <c r="AC65" s="421"/>
      <c r="AD65" s="421"/>
    </row>
    <row r="66" spans="5:30" ht="6" customHeight="1"/>
    <row r="73" spans="5:30">
      <c r="M73" s="423"/>
    </row>
    <row r="74" spans="5:30" ht="15" customHeight="1">
      <c r="E74" s="424"/>
      <c r="M74" s="423"/>
    </row>
    <row r="75" spans="5:30" ht="15" customHeight="1">
      <c r="E75" s="424"/>
      <c r="M75" s="423"/>
    </row>
    <row r="76" spans="5:30" ht="15" customHeight="1">
      <c r="E76" s="424"/>
      <c r="M76" s="423"/>
    </row>
    <row r="77" spans="5:30" ht="15" customHeight="1">
      <c r="E77" s="424"/>
      <c r="M77" s="423"/>
    </row>
    <row r="78" spans="5:30" ht="15" customHeight="1">
      <c r="E78" s="424"/>
      <c r="M78" s="423"/>
    </row>
    <row r="79" spans="5:30" ht="15" customHeight="1">
      <c r="E79" s="424"/>
      <c r="M79" s="423"/>
    </row>
    <row r="80" spans="5:30" ht="15" customHeight="1">
      <c r="E80" s="424"/>
      <c r="M80" s="423"/>
    </row>
    <row r="81" spans="5:13" ht="15" customHeight="1">
      <c r="E81" s="424"/>
      <c r="M81" s="423"/>
    </row>
    <row r="82" spans="5:13" ht="15" customHeight="1">
      <c r="E82" s="424"/>
      <c r="M82" s="423"/>
    </row>
    <row r="83" spans="5:13" ht="15" customHeight="1">
      <c r="E83" s="424"/>
      <c r="M83" s="423"/>
    </row>
    <row r="84" spans="5:13" ht="15" customHeight="1">
      <c r="E84" s="424"/>
      <c r="M84" s="423"/>
    </row>
    <row r="85" spans="5:13" ht="15" customHeight="1">
      <c r="E85" s="424"/>
      <c r="M85" s="423"/>
    </row>
    <row r="86" spans="5:13" ht="15" customHeight="1">
      <c r="E86" s="424"/>
      <c r="M86" s="423"/>
    </row>
    <row r="87" spans="5:13" ht="15" customHeight="1">
      <c r="E87" s="424"/>
      <c r="M87" s="423"/>
    </row>
    <row r="88" spans="5:13" ht="15" customHeight="1">
      <c r="E88" s="424"/>
      <c r="M88" s="423"/>
    </row>
    <row r="89" spans="5:13" ht="15" customHeight="1">
      <c r="E89" s="424"/>
      <c r="M89" s="423"/>
    </row>
    <row r="90" spans="5:13" ht="15" customHeight="1">
      <c r="E90" s="424"/>
      <c r="M90" s="423"/>
    </row>
    <row r="91" spans="5:13" ht="15" customHeight="1">
      <c r="E91" s="424"/>
      <c r="M91" s="423"/>
    </row>
    <row r="92" spans="5:13" ht="15" customHeight="1">
      <c r="E92" s="424"/>
      <c r="M92" s="423"/>
    </row>
    <row r="93" spans="5:13" ht="15" customHeight="1">
      <c r="E93" s="424"/>
      <c r="M93" s="423"/>
    </row>
    <row r="94" spans="5:13" ht="15" customHeight="1">
      <c r="E94" s="424"/>
      <c r="M94" s="423"/>
    </row>
    <row r="95" spans="5:13" ht="15" customHeight="1">
      <c r="E95" s="424"/>
      <c r="M95" s="423"/>
    </row>
    <row r="96" spans="5:13" ht="15" customHeight="1">
      <c r="E96" s="424"/>
    </row>
    <row r="97" spans="5:5" ht="15" customHeight="1">
      <c r="E97" s="424"/>
    </row>
    <row r="98" spans="5:5" ht="15" customHeight="1">
      <c r="E98" s="424"/>
    </row>
    <row r="99" spans="5:5" ht="15" customHeight="1">
      <c r="E99" s="424"/>
    </row>
    <row r="100" spans="5:5" ht="15" customHeight="1">
      <c r="E100" s="424"/>
    </row>
    <row r="101" spans="5:5" ht="15" customHeight="1">
      <c r="E101" s="424"/>
    </row>
    <row r="102" spans="5:5" ht="15" customHeight="1">
      <c r="E102" s="424"/>
    </row>
    <row r="103" spans="5:5" ht="15" customHeight="1">
      <c r="E103" s="424"/>
    </row>
    <row r="104" spans="5:5" ht="15" customHeight="1">
      <c r="E104" s="424"/>
    </row>
    <row r="105" spans="5:5" ht="15" customHeight="1">
      <c r="E105" s="424"/>
    </row>
    <row r="106" spans="5:5" ht="15" customHeight="1">
      <c r="E106" s="424"/>
    </row>
    <row r="107" spans="5:5" ht="15" customHeight="1">
      <c r="E107" s="424"/>
    </row>
    <row r="108" spans="5:5" ht="15" customHeight="1">
      <c r="E108" s="424"/>
    </row>
    <row r="109" spans="5:5" ht="15" customHeight="1">
      <c r="E109" s="424"/>
    </row>
    <row r="110" spans="5:5" ht="15" customHeight="1">
      <c r="E110" s="424"/>
    </row>
    <row r="111" spans="5:5" ht="15" customHeight="1">
      <c r="E111" s="424"/>
    </row>
    <row r="112" spans="5:5" ht="15" customHeight="1">
      <c r="E112" s="424"/>
    </row>
    <row r="113" spans="5:5" ht="15" customHeight="1">
      <c r="E113" s="424"/>
    </row>
    <row r="114" spans="5:5" ht="15" customHeight="1">
      <c r="E114" s="424"/>
    </row>
    <row r="115" spans="5:5" ht="15" customHeight="1">
      <c r="E115" s="424"/>
    </row>
    <row r="116" spans="5:5" ht="15" customHeight="1">
      <c r="E116" s="424"/>
    </row>
    <row r="117" spans="5:5" ht="15" customHeight="1">
      <c r="E117" s="424"/>
    </row>
    <row r="118" spans="5:5" ht="15" customHeight="1">
      <c r="E118" s="424"/>
    </row>
    <row r="119" spans="5:5" ht="15" customHeight="1">
      <c r="E119" s="424"/>
    </row>
    <row r="120" spans="5:5">
      <c r="E120" s="42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6">
        <v>1</v>
      </c>
    </row>
    <row r="2" spans="1:11" ht="48" customHeight="1">
      <c r="A2" s="446">
        <v>3</v>
      </c>
    </row>
    <row r="4" spans="1:11" ht="48" customHeight="1">
      <c r="C4" s="446">
        <v>1</v>
      </c>
    </row>
    <row r="5" spans="1:11" ht="48" customHeight="1">
      <c r="C5" s="446">
        <v>3</v>
      </c>
    </row>
    <row r="7" spans="1:11" ht="48" customHeight="1">
      <c r="E7" s="446">
        <v>1</v>
      </c>
    </row>
    <row r="8" spans="1:11" ht="48" customHeight="1">
      <c r="E8" s="446">
        <v>3</v>
      </c>
    </row>
    <row r="10" spans="1:11" ht="48" customHeight="1">
      <c r="G10" s="446">
        <v>3</v>
      </c>
    </row>
    <row r="11" spans="1:11" ht="48" customHeight="1">
      <c r="G11" s="446">
        <v>1</v>
      </c>
    </row>
    <row r="13" spans="1:11" ht="48" customHeight="1">
      <c r="I13" s="446">
        <v>3</v>
      </c>
    </row>
    <row r="14" spans="1:11" ht="48" customHeight="1">
      <c r="I14" s="446">
        <v>1</v>
      </c>
    </row>
    <row r="16" spans="1:11" ht="48" customHeight="1">
      <c r="K16" s="446">
        <v>3</v>
      </c>
    </row>
    <row r="17" spans="11:21" ht="48" customHeight="1">
      <c r="K17" s="446">
        <v>1</v>
      </c>
    </row>
    <row r="19" spans="11:21" ht="48" customHeight="1">
      <c r="M19" s="446">
        <v>3</v>
      </c>
    </row>
    <row r="20" spans="11:21" ht="48" customHeight="1">
      <c r="M20" s="446">
        <v>1</v>
      </c>
    </row>
    <row r="22" spans="11:21" ht="48" customHeight="1">
      <c r="O22" s="446">
        <v>3</v>
      </c>
    </row>
    <row r="23" spans="11:21" ht="48" customHeight="1">
      <c r="O23" s="446">
        <v>1</v>
      </c>
    </row>
    <row r="25" spans="11:21" ht="57" customHeight="1">
      <c r="Q25" s="446">
        <v>3</v>
      </c>
    </row>
    <row r="26" spans="11:21" ht="57" customHeight="1">
      <c r="Q26" s="446">
        <v>1</v>
      </c>
    </row>
    <row r="28" spans="11:21" ht="57" customHeight="1">
      <c r="S28" s="446">
        <v>3</v>
      </c>
    </row>
    <row r="29" spans="11:21" ht="57" customHeight="1">
      <c r="S29" s="446">
        <v>1</v>
      </c>
    </row>
    <row r="31" spans="11:21" ht="57" customHeight="1">
      <c r="U31" s="446">
        <v>3</v>
      </c>
    </row>
    <row r="32" spans="11:21" ht="57" customHeight="1">
      <c r="U32" s="44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2023-11-14T01:27:35Z</dcterms:modified>
</cp:coreProperties>
</file>