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4\PBPD\MOM\BP KURANG DR INVESTASI (PP KRG DR 5TH)\AGR SISWANTO\"/>
    </mc:Choice>
  </mc:AlternateContent>
  <xr:revisionPtr revIDLastSave="0" documentId="13_ncr:1_{BF1CFEB4-5ABB-4EF2-938A-DDA4407060A5}" xr6:coauthVersionLast="47" xr6:coauthVersionMax="47" xr10:uidLastSave="{00000000-0000-0000-0000-000000000000}"/>
  <bookViews>
    <workbookView xWindow="-120" yWindow="-120" windowWidth="24240" windowHeight="1314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RAB!$A$1:$K$174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C8" i="54"/>
  <c r="W48" i="64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6" i="11"/>
  <c r="F66" i="11" l="1"/>
  <c r="G6" i="11"/>
  <c r="F91" i="11"/>
  <c r="F90" i="11"/>
  <c r="F89" i="11"/>
  <c r="F88" i="11"/>
  <c r="F85" i="11"/>
  <c r="F84" i="11"/>
  <c r="F83" i="11"/>
  <c r="F82" i="11"/>
  <c r="F79" i="11"/>
  <c r="F78" i="11"/>
  <c r="F77" i="11"/>
  <c r="F76" i="11"/>
  <c r="F75" i="11"/>
  <c r="F74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7" i="11"/>
  <c r="G88" i="11"/>
  <c r="G89" i="11"/>
  <c r="G90" i="11"/>
  <c r="G91" i="11"/>
  <c r="G93" i="11"/>
  <c r="G94" i="11"/>
  <c r="D70" i="11"/>
  <c r="H70" i="11" s="1"/>
  <c r="E70" i="11"/>
  <c r="D71" i="11"/>
  <c r="J71" i="11" s="1"/>
  <c r="E71" i="11"/>
  <c r="D72" i="11"/>
  <c r="I72" i="11" s="1"/>
  <c r="E72" i="11"/>
  <c r="D73" i="11"/>
  <c r="H73" i="11" s="1"/>
  <c r="E73" i="11"/>
  <c r="D74" i="11"/>
  <c r="H74" i="11" s="1"/>
  <c r="E74" i="11"/>
  <c r="D75" i="11"/>
  <c r="J75" i="11" s="1"/>
  <c r="E75" i="11"/>
  <c r="D76" i="11"/>
  <c r="E76" i="11"/>
  <c r="D77" i="11"/>
  <c r="H77" i="11" s="1"/>
  <c r="E77" i="11"/>
  <c r="D78" i="11"/>
  <c r="H78" i="11" s="1"/>
  <c r="E78" i="11"/>
  <c r="D79" i="11"/>
  <c r="J79" i="11" s="1"/>
  <c r="E79" i="11"/>
  <c r="D80" i="11"/>
  <c r="I80" i="11" s="1"/>
  <c r="E80" i="11"/>
  <c r="D81" i="11"/>
  <c r="H81" i="11" s="1"/>
  <c r="E81" i="11"/>
  <c r="D82" i="11"/>
  <c r="H82" i="11" s="1"/>
  <c r="E82" i="11"/>
  <c r="D83" i="11"/>
  <c r="J83" i="11" s="1"/>
  <c r="E83" i="11"/>
  <c r="D84" i="11"/>
  <c r="I84" i="11" s="1"/>
  <c r="E84" i="11"/>
  <c r="D85" i="11"/>
  <c r="H85" i="11" s="1"/>
  <c r="E85" i="11"/>
  <c r="D87" i="11"/>
  <c r="H87" i="11" s="1"/>
  <c r="E87" i="11"/>
  <c r="D88" i="11"/>
  <c r="J88" i="11" s="1"/>
  <c r="E88" i="11"/>
  <c r="D89" i="11"/>
  <c r="E89" i="11"/>
  <c r="D90" i="11"/>
  <c r="H90" i="11" s="1"/>
  <c r="E90" i="11"/>
  <c r="D91" i="11"/>
  <c r="H91" i="11" s="1"/>
  <c r="E91" i="11"/>
  <c r="D93" i="11"/>
  <c r="J93" i="11" s="1"/>
  <c r="E93" i="11"/>
  <c r="D94" i="11"/>
  <c r="I94" i="11" s="1"/>
  <c r="E94" i="11"/>
  <c r="F149" i="11"/>
  <c r="F148" i="11"/>
  <c r="F147" i="11"/>
  <c r="F146" i="11"/>
  <c r="F145" i="11"/>
  <c r="F142" i="11"/>
  <c r="F141" i="11"/>
  <c r="F140" i="11"/>
  <c r="F139" i="11"/>
  <c r="F138" i="11"/>
  <c r="F137" i="11"/>
  <c r="F136" i="11"/>
  <c r="F133" i="11"/>
  <c r="F131" i="11"/>
  <c r="F130" i="11"/>
  <c r="F129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4" i="11"/>
  <c r="G145" i="11"/>
  <c r="G146" i="11"/>
  <c r="G147" i="11"/>
  <c r="G148" i="11"/>
  <c r="G149" i="11"/>
  <c r="G150" i="11"/>
  <c r="G151" i="11"/>
  <c r="G152" i="11"/>
  <c r="D125" i="11"/>
  <c r="H125" i="11" s="1"/>
  <c r="E125" i="11"/>
  <c r="D126" i="11"/>
  <c r="J126" i="11" s="1"/>
  <c r="E126" i="11"/>
  <c r="D127" i="11"/>
  <c r="I127" i="11" s="1"/>
  <c r="E127" i="11"/>
  <c r="D128" i="11"/>
  <c r="H128" i="11" s="1"/>
  <c r="E128" i="11"/>
  <c r="D129" i="11"/>
  <c r="E129" i="11"/>
  <c r="D130" i="11"/>
  <c r="J130" i="11" s="1"/>
  <c r="E130" i="11"/>
  <c r="D131" i="11"/>
  <c r="E131" i="11"/>
  <c r="D132" i="11"/>
  <c r="E132" i="11"/>
  <c r="D133" i="11"/>
  <c r="H133" i="11" s="1"/>
  <c r="E133" i="11"/>
  <c r="D134" i="11"/>
  <c r="I134" i="11" s="1"/>
  <c r="E134" i="11"/>
  <c r="D135" i="11"/>
  <c r="H135" i="11" s="1"/>
  <c r="E135" i="11"/>
  <c r="D136" i="11"/>
  <c r="H136" i="11" s="1"/>
  <c r="E136" i="11"/>
  <c r="D137" i="11"/>
  <c r="J137" i="11" s="1"/>
  <c r="E137" i="11"/>
  <c r="D138" i="11"/>
  <c r="E138" i="11"/>
  <c r="D139" i="11"/>
  <c r="H139" i="11" s="1"/>
  <c r="E139" i="11"/>
  <c r="D140" i="11"/>
  <c r="H140" i="11" s="1"/>
  <c r="E140" i="11"/>
  <c r="D141" i="11"/>
  <c r="J141" i="11" s="1"/>
  <c r="E141" i="11"/>
  <c r="D142" i="11"/>
  <c r="E142" i="11"/>
  <c r="D144" i="11"/>
  <c r="H144" i="11" s="1"/>
  <c r="E144" i="11"/>
  <c r="D145" i="11"/>
  <c r="H145" i="11" s="1"/>
  <c r="E145" i="11"/>
  <c r="D146" i="11"/>
  <c r="J146" i="11" s="1"/>
  <c r="E146" i="11"/>
  <c r="D147" i="11"/>
  <c r="E147" i="11"/>
  <c r="D148" i="11"/>
  <c r="H148" i="11" s="1"/>
  <c r="E148" i="11"/>
  <c r="D149" i="11"/>
  <c r="H149" i="11" s="1"/>
  <c r="E149" i="11"/>
  <c r="D150" i="11"/>
  <c r="J150" i="11" s="1"/>
  <c r="E150" i="11"/>
  <c r="F124" i="11"/>
  <c r="F123" i="11"/>
  <c r="F122" i="11"/>
  <c r="F121" i="11"/>
  <c r="F120" i="11"/>
  <c r="F119" i="11"/>
  <c r="F118" i="11"/>
  <c r="F117" i="11"/>
  <c r="F116" i="11"/>
  <c r="D95" i="11"/>
  <c r="J95" i="11" s="1"/>
  <c r="E95" i="11"/>
  <c r="G95" i="11"/>
  <c r="D96" i="11"/>
  <c r="E96" i="11"/>
  <c r="G96" i="11"/>
  <c r="D97" i="11"/>
  <c r="H97" i="11" s="1"/>
  <c r="E97" i="11"/>
  <c r="G97" i="11"/>
  <c r="D98" i="11"/>
  <c r="J98" i="11" s="1"/>
  <c r="E98" i="11"/>
  <c r="G98" i="11"/>
  <c r="D99" i="11"/>
  <c r="J99" i="11" s="1"/>
  <c r="E99" i="11"/>
  <c r="G99" i="11"/>
  <c r="D100" i="11"/>
  <c r="I100" i="11" s="1"/>
  <c r="E100" i="11"/>
  <c r="G100" i="11"/>
  <c r="D101" i="11"/>
  <c r="I101" i="11" s="1"/>
  <c r="E101" i="11"/>
  <c r="G101" i="11"/>
  <c r="D102" i="11"/>
  <c r="H102" i="11" s="1"/>
  <c r="E102" i="11"/>
  <c r="G102" i="11"/>
  <c r="D103" i="11"/>
  <c r="J103" i="11" s="1"/>
  <c r="E103" i="11"/>
  <c r="G103" i="11"/>
  <c r="D104" i="11"/>
  <c r="J104" i="11" s="1"/>
  <c r="E104" i="11"/>
  <c r="G104" i="11"/>
  <c r="D105" i="11"/>
  <c r="H105" i="11" s="1"/>
  <c r="E105" i="11"/>
  <c r="G105" i="11"/>
  <c r="D106" i="11"/>
  <c r="H106" i="11" s="1"/>
  <c r="E106" i="11"/>
  <c r="G106" i="11"/>
  <c r="D107" i="11"/>
  <c r="J107" i="11" s="1"/>
  <c r="E107" i="11"/>
  <c r="G107" i="11"/>
  <c r="D108" i="11"/>
  <c r="J108" i="11" s="1"/>
  <c r="E108" i="11"/>
  <c r="G108" i="11"/>
  <c r="D109" i="11"/>
  <c r="H109" i="11" s="1"/>
  <c r="E109" i="11"/>
  <c r="G109" i="11"/>
  <c r="D110" i="11"/>
  <c r="H110" i="11" s="1"/>
  <c r="E110" i="11"/>
  <c r="G110" i="11"/>
  <c r="D111" i="11"/>
  <c r="J111" i="11" s="1"/>
  <c r="E111" i="11"/>
  <c r="G111" i="11"/>
  <c r="D112" i="11"/>
  <c r="H112" i="11" s="1"/>
  <c r="E112" i="11"/>
  <c r="G112" i="11"/>
  <c r="D113" i="11"/>
  <c r="H113" i="11" s="1"/>
  <c r="E113" i="11"/>
  <c r="G113" i="11"/>
  <c r="D114" i="11"/>
  <c r="J114" i="11" s="1"/>
  <c r="E114" i="11"/>
  <c r="G114" i="11"/>
  <c r="D115" i="11"/>
  <c r="H115" i="11" s="1"/>
  <c r="E115" i="11"/>
  <c r="G115" i="11"/>
  <c r="D116" i="11"/>
  <c r="H116" i="11" s="1"/>
  <c r="E116" i="11"/>
  <c r="G116" i="11"/>
  <c r="D117" i="11"/>
  <c r="J117" i="11" s="1"/>
  <c r="E117" i="11"/>
  <c r="G117" i="11"/>
  <c r="D118" i="11"/>
  <c r="J118" i="11" s="1"/>
  <c r="E118" i="11"/>
  <c r="G118" i="11"/>
  <c r="D119" i="11"/>
  <c r="J119" i="11" s="1"/>
  <c r="E119" i="11"/>
  <c r="G119" i="11"/>
  <c r="D120" i="11"/>
  <c r="H120" i="11" s="1"/>
  <c r="E120" i="11"/>
  <c r="G120" i="11"/>
  <c r="D121" i="11"/>
  <c r="H121" i="11" s="1"/>
  <c r="E121" i="11"/>
  <c r="G121" i="11"/>
  <c r="D122" i="11"/>
  <c r="J122" i="11" s="1"/>
  <c r="E122" i="11"/>
  <c r="G122" i="11"/>
  <c r="D123" i="11"/>
  <c r="J123" i="11" s="1"/>
  <c r="E123" i="11"/>
  <c r="G123" i="11"/>
  <c r="D124" i="11"/>
  <c r="H124" i="11" s="1"/>
  <c r="E124" i="11"/>
  <c r="G124" i="11"/>
  <c r="D151" i="11"/>
  <c r="I151" i="11" s="1"/>
  <c r="E151" i="11"/>
  <c r="D152" i="11"/>
  <c r="H152" i="11" s="1"/>
  <c r="E152" i="11"/>
  <c r="D153" i="11"/>
  <c r="I153" i="11" s="1"/>
  <c r="E153" i="11"/>
  <c r="G153" i="11"/>
  <c r="D68" i="11"/>
  <c r="J68" i="11" s="1"/>
  <c r="E68" i="11"/>
  <c r="G68" i="11"/>
  <c r="F67" i="11"/>
  <c r="F63" i="11"/>
  <c r="F62" i="11"/>
  <c r="F61" i="11"/>
  <c r="F60" i="11"/>
  <c r="D59" i="11"/>
  <c r="J59" i="11" s="1"/>
  <c r="E59" i="11"/>
  <c r="G59" i="11"/>
  <c r="D60" i="11"/>
  <c r="J60" i="11" s="1"/>
  <c r="E60" i="11"/>
  <c r="G60" i="11"/>
  <c r="D61" i="11"/>
  <c r="H61" i="11" s="1"/>
  <c r="E61" i="11"/>
  <c r="G61" i="11"/>
  <c r="D62" i="11"/>
  <c r="H62" i="11" s="1"/>
  <c r="E62" i="11"/>
  <c r="G62" i="11"/>
  <c r="D63" i="11"/>
  <c r="E63" i="11"/>
  <c r="G63" i="11"/>
  <c r="D64" i="11"/>
  <c r="H64" i="11" s="1"/>
  <c r="E64" i="11"/>
  <c r="G64" i="11"/>
  <c r="D65" i="11"/>
  <c r="H65" i="11" s="1"/>
  <c r="E65" i="11"/>
  <c r="G65" i="11"/>
  <c r="D66" i="11"/>
  <c r="J66" i="11" s="1"/>
  <c r="E66" i="11"/>
  <c r="G66" i="11"/>
  <c r="D67" i="11"/>
  <c r="E67" i="11"/>
  <c r="G67" i="11"/>
  <c r="D69" i="11"/>
  <c r="H69" i="11" s="1"/>
  <c r="E69" i="11"/>
  <c r="G69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D51" i="11"/>
  <c r="H51" i="11" s="1"/>
  <c r="E51" i="11"/>
  <c r="G51" i="11"/>
  <c r="D52" i="11"/>
  <c r="J52" i="11" s="1"/>
  <c r="E52" i="11"/>
  <c r="G52" i="11"/>
  <c r="D53" i="11"/>
  <c r="H53" i="11" s="1"/>
  <c r="E53" i="11"/>
  <c r="G53" i="11"/>
  <c r="D54" i="11"/>
  <c r="H54" i="11" s="1"/>
  <c r="E54" i="11"/>
  <c r="G54" i="11"/>
  <c r="D55" i="11"/>
  <c r="H55" i="11" s="1"/>
  <c r="E55" i="11"/>
  <c r="G55" i="11"/>
  <c r="D56" i="11"/>
  <c r="J56" i="11" s="1"/>
  <c r="E56" i="11"/>
  <c r="G56" i="11"/>
  <c r="D57" i="11"/>
  <c r="H57" i="11" s="1"/>
  <c r="E57" i="11"/>
  <c r="G57" i="11"/>
  <c r="D58" i="11"/>
  <c r="H58" i="11" s="1"/>
  <c r="E58" i="11"/>
  <c r="G58" i="11"/>
  <c r="D39" i="11"/>
  <c r="J39" i="11" s="1"/>
  <c r="E39" i="11"/>
  <c r="G39" i="11"/>
  <c r="D40" i="11"/>
  <c r="J40" i="11" s="1"/>
  <c r="E40" i="11"/>
  <c r="G40" i="11"/>
  <c r="D41" i="11"/>
  <c r="H41" i="11" s="1"/>
  <c r="E41" i="11"/>
  <c r="G41" i="11"/>
  <c r="D42" i="11"/>
  <c r="H42" i="11" s="1"/>
  <c r="E42" i="11"/>
  <c r="G42" i="11"/>
  <c r="D43" i="11"/>
  <c r="J43" i="11" s="1"/>
  <c r="E43" i="11"/>
  <c r="G43" i="11"/>
  <c r="D44" i="11"/>
  <c r="J44" i="11" s="1"/>
  <c r="E44" i="11"/>
  <c r="G44" i="11"/>
  <c r="D45" i="11"/>
  <c r="H45" i="11" s="1"/>
  <c r="E45" i="11"/>
  <c r="G45" i="11"/>
  <c r="D46" i="11"/>
  <c r="H46" i="11" s="1"/>
  <c r="E46" i="11"/>
  <c r="G46" i="11"/>
  <c r="D47" i="11"/>
  <c r="J47" i="11" s="1"/>
  <c r="E47" i="11"/>
  <c r="G47" i="11"/>
  <c r="D48" i="11"/>
  <c r="J48" i="11" s="1"/>
  <c r="E48" i="11"/>
  <c r="G48" i="11"/>
  <c r="D49" i="11"/>
  <c r="H49" i="11" s="1"/>
  <c r="E49" i="11"/>
  <c r="G49" i="11"/>
  <c r="D50" i="11"/>
  <c r="H50" i="11" s="1"/>
  <c r="E50" i="11"/>
  <c r="G50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D16" i="11"/>
  <c r="H16" i="11" s="1"/>
  <c r="E16" i="11"/>
  <c r="G16" i="11"/>
  <c r="D17" i="11"/>
  <c r="H17" i="11" s="1"/>
  <c r="E17" i="11"/>
  <c r="G17" i="11"/>
  <c r="D18" i="11"/>
  <c r="H18" i="11" s="1"/>
  <c r="E18" i="11"/>
  <c r="G18" i="11"/>
  <c r="D19" i="11"/>
  <c r="J19" i="11" s="1"/>
  <c r="E19" i="11"/>
  <c r="G19" i="11"/>
  <c r="D20" i="11"/>
  <c r="H20" i="11" s="1"/>
  <c r="E20" i="11"/>
  <c r="G20" i="11"/>
  <c r="D21" i="11"/>
  <c r="H21" i="11" s="1"/>
  <c r="E21" i="11"/>
  <c r="G21" i="11"/>
  <c r="D22" i="11"/>
  <c r="H22" i="11" s="1"/>
  <c r="E22" i="11"/>
  <c r="G22" i="11"/>
  <c r="D23" i="11"/>
  <c r="J23" i="11" s="1"/>
  <c r="E23" i="11"/>
  <c r="G23" i="11"/>
  <c r="D24" i="11"/>
  <c r="E24" i="11"/>
  <c r="G24" i="11"/>
  <c r="D25" i="11"/>
  <c r="E25" i="11"/>
  <c r="G25" i="11"/>
  <c r="D26" i="11"/>
  <c r="H26" i="11" s="1"/>
  <c r="E26" i="11"/>
  <c r="G26" i="11"/>
  <c r="D27" i="11"/>
  <c r="J27" i="11" s="1"/>
  <c r="E27" i="11"/>
  <c r="G27" i="11"/>
  <c r="D28" i="11"/>
  <c r="H28" i="11" s="1"/>
  <c r="E28" i="11"/>
  <c r="G28" i="11"/>
  <c r="D29" i="11"/>
  <c r="H29" i="11" s="1"/>
  <c r="E29" i="11"/>
  <c r="G29" i="11"/>
  <c r="D30" i="11"/>
  <c r="H30" i="11" s="1"/>
  <c r="E30" i="11"/>
  <c r="G30" i="11"/>
  <c r="D31" i="11"/>
  <c r="J31" i="11" s="1"/>
  <c r="E31" i="11"/>
  <c r="G31" i="11"/>
  <c r="D32" i="11"/>
  <c r="H32" i="11" s="1"/>
  <c r="E32" i="11"/>
  <c r="G32" i="11"/>
  <c r="D33" i="11"/>
  <c r="H33" i="11" s="1"/>
  <c r="E33" i="11"/>
  <c r="G33" i="11"/>
  <c r="D34" i="11"/>
  <c r="H34" i="11" s="1"/>
  <c r="E34" i="11"/>
  <c r="G34" i="11"/>
  <c r="I89" i="11" l="1"/>
  <c r="I76" i="11"/>
  <c r="I88" i="11"/>
  <c r="J85" i="11"/>
  <c r="H83" i="11"/>
  <c r="I71" i="11"/>
  <c r="H88" i="11"/>
  <c r="I75" i="11"/>
  <c r="J73" i="11"/>
  <c r="H71" i="11"/>
  <c r="K71" i="11" s="1"/>
  <c r="I79" i="11"/>
  <c r="J77" i="11"/>
  <c r="H75" i="11"/>
  <c r="I83" i="11"/>
  <c r="J81" i="11"/>
  <c r="H79" i="11"/>
  <c r="H94" i="11"/>
  <c r="I93" i="11"/>
  <c r="J91" i="11"/>
  <c r="H89" i="11"/>
  <c r="J87" i="11"/>
  <c r="H84" i="11"/>
  <c r="J82" i="11"/>
  <c r="H80" i="11"/>
  <c r="J78" i="11"/>
  <c r="H76" i="11"/>
  <c r="J74" i="11"/>
  <c r="H72" i="11"/>
  <c r="J70" i="11"/>
  <c r="I147" i="11"/>
  <c r="I142" i="11"/>
  <c r="I138" i="11"/>
  <c r="H93" i="11"/>
  <c r="I91" i="11"/>
  <c r="J90" i="11"/>
  <c r="I87" i="11"/>
  <c r="I82" i="11"/>
  <c r="I78" i="11"/>
  <c r="I74" i="11"/>
  <c r="K74" i="11" s="1"/>
  <c r="I70" i="11"/>
  <c r="J94" i="11"/>
  <c r="I90" i="11"/>
  <c r="J89" i="11"/>
  <c r="I85" i="11"/>
  <c r="K85" i="11" s="1"/>
  <c r="J84" i="11"/>
  <c r="I81" i="11"/>
  <c r="J80" i="11"/>
  <c r="I77" i="11"/>
  <c r="K77" i="11" s="1"/>
  <c r="J76" i="11"/>
  <c r="I73" i="11"/>
  <c r="J72" i="11"/>
  <c r="H129" i="11"/>
  <c r="H132" i="11"/>
  <c r="I131" i="11"/>
  <c r="J133" i="11"/>
  <c r="I126" i="11"/>
  <c r="J149" i="11"/>
  <c r="I141" i="11"/>
  <c r="H134" i="11"/>
  <c r="I146" i="11"/>
  <c r="H138" i="11"/>
  <c r="J136" i="11"/>
  <c r="I130" i="11"/>
  <c r="I150" i="11"/>
  <c r="H142" i="11"/>
  <c r="J140" i="11"/>
  <c r="H127" i="11"/>
  <c r="J125" i="11"/>
  <c r="J100" i="11"/>
  <c r="H147" i="11"/>
  <c r="J145" i="11"/>
  <c r="I137" i="11"/>
  <c r="H131" i="11"/>
  <c r="J129" i="11"/>
  <c r="H151" i="11"/>
  <c r="J152" i="11"/>
  <c r="H150" i="11"/>
  <c r="I149" i="11"/>
  <c r="J148" i="11"/>
  <c r="H146" i="11"/>
  <c r="I145" i="11"/>
  <c r="J144" i="11"/>
  <c r="H141" i="11"/>
  <c r="I140" i="11"/>
  <c r="J139" i="11"/>
  <c r="H137" i="11"/>
  <c r="I136" i="11"/>
  <c r="J135" i="11"/>
  <c r="I133" i="11"/>
  <c r="J132" i="11"/>
  <c r="H130" i="11"/>
  <c r="I129" i="11"/>
  <c r="J128" i="11"/>
  <c r="H126" i="11"/>
  <c r="I125" i="11"/>
  <c r="I152" i="11"/>
  <c r="J151" i="11"/>
  <c r="I148" i="11"/>
  <c r="J147" i="11"/>
  <c r="I144" i="11"/>
  <c r="J142" i="11"/>
  <c r="I139" i="11"/>
  <c r="J138" i="11"/>
  <c r="I135" i="11"/>
  <c r="J134" i="11"/>
  <c r="I132" i="11"/>
  <c r="J131" i="11"/>
  <c r="I128" i="11"/>
  <c r="J127" i="11"/>
  <c r="I119" i="11"/>
  <c r="H119" i="11"/>
  <c r="J115" i="11"/>
  <c r="H100" i="11"/>
  <c r="J102" i="11"/>
  <c r="I98" i="11"/>
  <c r="J110" i="11"/>
  <c r="J153" i="11"/>
  <c r="I115" i="11"/>
  <c r="I113" i="11"/>
  <c r="J112" i="11"/>
  <c r="J121" i="11"/>
  <c r="H96" i="11"/>
  <c r="I121" i="11"/>
  <c r="I112" i="11"/>
  <c r="I110" i="11"/>
  <c r="I96" i="11"/>
  <c r="I104" i="11"/>
  <c r="I102" i="11"/>
  <c r="J106" i="11"/>
  <c r="H104" i="11"/>
  <c r="H101" i="11"/>
  <c r="H98" i="11"/>
  <c r="I97" i="11"/>
  <c r="J96" i="11"/>
  <c r="I117" i="11"/>
  <c r="H123" i="11"/>
  <c r="H108" i="11"/>
  <c r="I106" i="11"/>
  <c r="H153" i="11"/>
  <c r="I120" i="11"/>
  <c r="I105" i="11"/>
  <c r="I95" i="11"/>
  <c r="I123" i="11"/>
  <c r="I108" i="11"/>
  <c r="H117" i="11"/>
  <c r="I116" i="11"/>
  <c r="I124" i="11"/>
  <c r="I109" i="11"/>
  <c r="J124" i="11"/>
  <c r="H122" i="11"/>
  <c r="J120" i="11"/>
  <c r="H118" i="11"/>
  <c r="J116" i="11"/>
  <c r="H114" i="11"/>
  <c r="J113" i="11"/>
  <c r="H111" i="11"/>
  <c r="J109" i="11"/>
  <c r="H107" i="11"/>
  <c r="J105" i="11"/>
  <c r="H103" i="11"/>
  <c r="J101" i="11"/>
  <c r="H99" i="11"/>
  <c r="J97" i="11"/>
  <c r="H95" i="11"/>
  <c r="I122" i="11"/>
  <c r="I118" i="11"/>
  <c r="I114" i="11"/>
  <c r="I103" i="11"/>
  <c r="I111" i="11"/>
  <c r="I107" i="11"/>
  <c r="I99" i="11"/>
  <c r="I68" i="11"/>
  <c r="H68" i="11"/>
  <c r="J62" i="11"/>
  <c r="J64" i="11"/>
  <c r="I66" i="11"/>
  <c r="I64" i="11"/>
  <c r="I62" i="11"/>
  <c r="K62" i="11" s="1"/>
  <c r="J67" i="11"/>
  <c r="J63" i="11"/>
  <c r="I69" i="11"/>
  <c r="H66" i="11"/>
  <c r="I65" i="11"/>
  <c r="H60" i="11"/>
  <c r="I59" i="11"/>
  <c r="I60" i="11"/>
  <c r="I67" i="11"/>
  <c r="I63" i="11"/>
  <c r="I61" i="11"/>
  <c r="J69" i="11"/>
  <c r="H67" i="11"/>
  <c r="J65" i="11"/>
  <c r="H63" i="11"/>
  <c r="J61" i="11"/>
  <c r="H59" i="11"/>
  <c r="J51" i="11"/>
  <c r="I51" i="11"/>
  <c r="J58" i="11"/>
  <c r="J57" i="11"/>
  <c r="I42" i="11"/>
  <c r="I58" i="11"/>
  <c r="J53" i="11"/>
  <c r="I57" i="11"/>
  <c r="I56" i="11"/>
  <c r="J55" i="11"/>
  <c r="I53" i="11"/>
  <c r="K53" i="11" s="1"/>
  <c r="J54" i="11"/>
  <c r="I55" i="11"/>
  <c r="I54" i="11"/>
  <c r="I52" i="11"/>
  <c r="H56" i="11"/>
  <c r="H52" i="11"/>
  <c r="J42" i="11"/>
  <c r="J41" i="11"/>
  <c r="J50" i="11"/>
  <c r="J46" i="11"/>
  <c r="I46" i="11"/>
  <c r="J45" i="11"/>
  <c r="I50" i="11"/>
  <c r="J49" i="11"/>
  <c r="I47" i="11"/>
  <c r="I43" i="11"/>
  <c r="I39" i="11"/>
  <c r="I49" i="11"/>
  <c r="H47" i="11"/>
  <c r="I45" i="11"/>
  <c r="H43" i="11"/>
  <c r="I41" i="11"/>
  <c r="H39" i="11"/>
  <c r="I44" i="11"/>
  <c r="I40" i="11"/>
  <c r="I48" i="11"/>
  <c r="H25" i="11"/>
  <c r="H48" i="11"/>
  <c r="H44" i="11"/>
  <c r="H40" i="11"/>
  <c r="H24" i="11"/>
  <c r="J29" i="11"/>
  <c r="I29" i="11"/>
  <c r="J28" i="11"/>
  <c r="J25" i="11"/>
  <c r="J32" i="11"/>
  <c r="J16" i="11"/>
  <c r="I25" i="11"/>
  <c r="I34" i="11"/>
  <c r="J33" i="11"/>
  <c r="J21" i="11"/>
  <c r="I30" i="11"/>
  <c r="I26" i="11"/>
  <c r="J18" i="11"/>
  <c r="I33" i="11"/>
  <c r="I21" i="11"/>
  <c r="J20" i="11"/>
  <c r="I18" i="11"/>
  <c r="J17" i="11"/>
  <c r="I16" i="11"/>
  <c r="J34" i="11"/>
  <c r="I32" i="11"/>
  <c r="I31" i="11"/>
  <c r="J30" i="11"/>
  <c r="I28" i="11"/>
  <c r="I27" i="11"/>
  <c r="J26" i="11"/>
  <c r="I24" i="11"/>
  <c r="I23" i="11"/>
  <c r="J22" i="11"/>
  <c r="I20" i="11"/>
  <c r="I19" i="11"/>
  <c r="I22" i="11"/>
  <c r="I17" i="11"/>
  <c r="J24" i="11"/>
  <c r="H31" i="11"/>
  <c r="H27" i="11"/>
  <c r="H23" i="11"/>
  <c r="H19" i="11"/>
  <c r="K88" i="11" l="1"/>
  <c r="K134" i="11"/>
  <c r="K148" i="11"/>
  <c r="K125" i="11"/>
  <c r="K126" i="11"/>
  <c r="K75" i="11"/>
  <c r="K79" i="11"/>
  <c r="K82" i="11"/>
  <c r="K93" i="11"/>
  <c r="K83" i="11"/>
  <c r="K81" i="11"/>
  <c r="K90" i="11"/>
  <c r="K91" i="11"/>
  <c r="K70" i="11"/>
  <c r="K145" i="11"/>
  <c r="K150" i="11"/>
  <c r="K127" i="11"/>
  <c r="K87" i="11"/>
  <c r="K138" i="11"/>
  <c r="K146" i="11"/>
  <c r="K73" i="11"/>
  <c r="K78" i="11"/>
  <c r="K76" i="11"/>
  <c r="K72" i="11"/>
  <c r="K80" i="11"/>
  <c r="K89" i="11"/>
  <c r="K84" i="11"/>
  <c r="K94" i="11"/>
  <c r="K132" i="11"/>
  <c r="K95" i="11"/>
  <c r="K133" i="11"/>
  <c r="K144" i="11"/>
  <c r="K112" i="11"/>
  <c r="K128" i="11"/>
  <c r="K142" i="11"/>
  <c r="K137" i="11"/>
  <c r="K149" i="11"/>
  <c r="K135" i="11"/>
  <c r="K152" i="11"/>
  <c r="K124" i="11"/>
  <c r="K113" i="11"/>
  <c r="K115" i="11"/>
  <c r="K131" i="11"/>
  <c r="K140" i="11"/>
  <c r="K100" i="11"/>
  <c r="K139" i="11"/>
  <c r="K136" i="11"/>
  <c r="K141" i="11"/>
  <c r="K153" i="11"/>
  <c r="K110" i="11"/>
  <c r="K129" i="11"/>
  <c r="K147" i="11"/>
  <c r="K130" i="11"/>
  <c r="K109" i="11"/>
  <c r="K119" i="11"/>
  <c r="K102" i="11"/>
  <c r="K151" i="11"/>
  <c r="K117" i="11"/>
  <c r="K96" i="11"/>
  <c r="K101" i="11"/>
  <c r="K98" i="11"/>
  <c r="K104" i="11"/>
  <c r="K99" i="11"/>
  <c r="K106" i="11"/>
  <c r="K121" i="11"/>
  <c r="K97" i="11"/>
  <c r="K116" i="11"/>
  <c r="K114" i="11"/>
  <c r="K108" i="11"/>
  <c r="K68" i="11"/>
  <c r="K123" i="11"/>
  <c r="K105" i="11"/>
  <c r="K120" i="11"/>
  <c r="K122" i="11"/>
  <c r="K103" i="11"/>
  <c r="K111" i="11"/>
  <c r="K118" i="11"/>
  <c r="K107" i="11"/>
  <c r="K66" i="11"/>
  <c r="K64" i="11"/>
  <c r="K59" i="11"/>
  <c r="K69" i="11"/>
  <c r="K65" i="11"/>
  <c r="K60" i="11"/>
  <c r="K58" i="11"/>
  <c r="K63" i="11"/>
  <c r="K67" i="11"/>
  <c r="K57" i="11"/>
  <c r="K61" i="11"/>
  <c r="K52" i="11"/>
  <c r="K51" i="11"/>
  <c r="K48" i="11"/>
  <c r="K55" i="11"/>
  <c r="K42" i="11"/>
  <c r="K49" i="11"/>
  <c r="K56" i="11"/>
  <c r="K54" i="11"/>
  <c r="K46" i="11"/>
  <c r="K39" i="11"/>
  <c r="K41" i="11"/>
  <c r="K50" i="11"/>
  <c r="K47" i="11"/>
  <c r="K43" i="11"/>
  <c r="K29" i="11"/>
  <c r="K40" i="11"/>
  <c r="K45" i="11"/>
  <c r="K44" i="11"/>
  <c r="K16" i="11"/>
  <c r="K21" i="11"/>
  <c r="K25" i="11"/>
  <c r="K33" i="11"/>
  <c r="K28" i="11"/>
  <c r="K19" i="11"/>
  <c r="K20" i="11"/>
  <c r="K26" i="11"/>
  <c r="K18" i="11"/>
  <c r="K32" i="11"/>
  <c r="K34" i="11"/>
  <c r="K23" i="11"/>
  <c r="K27" i="11"/>
  <c r="K22" i="11"/>
  <c r="K17" i="11"/>
  <c r="K30" i="11"/>
  <c r="K31" i="11"/>
  <c r="K24" i="11"/>
  <c r="D21" i="59" l="1"/>
  <c r="K6" i="60"/>
  <c r="D35" i="11"/>
  <c r="H35" i="11" s="1"/>
  <c r="E35" i="11"/>
  <c r="G35" i="11"/>
  <c r="D36" i="11"/>
  <c r="H36" i="11" s="1"/>
  <c r="E36" i="11"/>
  <c r="G36" i="11"/>
  <c r="D37" i="11"/>
  <c r="E37" i="11"/>
  <c r="G37" i="11"/>
  <c r="D38" i="11"/>
  <c r="H38" i="11" s="1"/>
  <c r="E38" i="11"/>
  <c r="G38" i="11"/>
  <c r="J37" i="11" l="1"/>
  <c r="J36" i="11"/>
  <c r="I38" i="11"/>
  <c r="I36" i="11"/>
  <c r="J35" i="11"/>
  <c r="I35" i="11"/>
  <c r="J38" i="11"/>
  <c r="I37" i="11"/>
  <c r="H37" i="11"/>
  <c r="K35" i="11" l="1"/>
  <c r="K36" i="11"/>
  <c r="K37" i="11"/>
  <c r="K38" i="11"/>
  <c r="D15" i="11" l="1"/>
  <c r="H15" i="11" s="1"/>
  <c r="E15" i="11"/>
  <c r="G15" i="11"/>
  <c r="D16" i="60"/>
  <c r="J15" i="11" l="1"/>
  <c r="I15" i="11"/>
  <c r="K15" i="11" l="1"/>
  <c r="D14" i="11" l="1"/>
  <c r="J14" i="11" s="1"/>
  <c r="J154" i="11" s="1"/>
  <c r="E14" i="11"/>
  <c r="G14" i="11"/>
  <c r="K19" i="60"/>
  <c r="D19" i="60"/>
  <c r="H14" i="11" l="1"/>
  <c r="H154" i="11" s="1"/>
  <c r="I14" i="11"/>
  <c r="I154" i="11" s="1"/>
  <c r="K154" i="11" l="1"/>
  <c r="K14" i="1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7" i="60" s="1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A21" i="11" l="1"/>
  <c r="D5" i="60" l="1"/>
  <c r="K5" i="60" s="1"/>
  <c r="F3" i="54" l="1"/>
  <c r="D8" i="59" l="1"/>
  <c r="D9" i="59" l="1"/>
  <c r="K7" i="54" s="1"/>
  <c r="H8" i="54" l="1"/>
  <c r="I8" i="54"/>
  <c r="H7" i="54"/>
  <c r="I7" i="54"/>
  <c r="A15" i="11" l="1"/>
  <c r="D154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54" i="11"/>
  <c r="D155" i="11"/>
  <c r="H155" i="11" s="1"/>
  <c r="E155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L90" i="10" s="1"/>
  <c r="N90" i="10" s="1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L31" i="10" s="1"/>
  <c r="N31" i="10" s="1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N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P184" i="10" s="1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N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N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N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N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N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N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N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N855" i="10" s="1"/>
  <c r="O855" i="10"/>
  <c r="P855" i="10"/>
  <c r="J856" i="10"/>
  <c r="L856" i="10" s="1"/>
  <c r="K856" i="10"/>
  <c r="M856" i="10" s="1"/>
  <c r="N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N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N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N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N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N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N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N893" i="10" s="1"/>
  <c r="K893" i="10"/>
  <c r="M893" i="10" s="1"/>
  <c r="O893" i="10"/>
  <c r="P893" i="10" s="1"/>
  <c r="J894" i="10"/>
  <c r="L894" i="10" s="1"/>
  <c r="K894" i="10"/>
  <c r="M894" i="10" s="1"/>
  <c r="N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N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N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N905" i="10" s="1"/>
  <c r="K905" i="10"/>
  <c r="M905" i="10" s="1"/>
  <c r="O905" i="10"/>
  <c r="P905" i="10" s="1"/>
  <c r="J906" i="10"/>
  <c r="L906" i="10" s="1"/>
  <c r="K906" i="10"/>
  <c r="M906" i="10" s="1"/>
  <c r="N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 s="1"/>
  <c r="N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N940" i="10" s="1"/>
  <c r="K940" i="10"/>
  <c r="M940" i="10" s="1"/>
  <c r="O940" i="10"/>
  <c r="P940" i="10" s="1"/>
  <c r="J941" i="10"/>
  <c r="L941" i="10" s="1"/>
  <c r="K941" i="10"/>
  <c r="M941" i="10" s="1"/>
  <c r="N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N945" i="10" s="1"/>
  <c r="K945" i="10"/>
  <c r="M945" i="10" s="1"/>
  <c r="O945" i="10"/>
  <c r="P945" i="10" s="1"/>
  <c r="J946" i="10"/>
  <c r="L946" i="10" s="1"/>
  <c r="K946" i="10"/>
  <c r="M946" i="10" s="1"/>
  <c r="N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N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N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N962" i="10" s="1"/>
  <c r="K962" i="10"/>
  <c r="M962" i="10" s="1"/>
  <c r="O962" i="10"/>
  <c r="P962" i="10" s="1"/>
  <c r="J963" i="10"/>
  <c r="L963" i="10" s="1"/>
  <c r="K963" i="10"/>
  <c r="M963" i="10" s="1"/>
  <c r="N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N966" i="10" s="1"/>
  <c r="K966" i="10"/>
  <c r="M966" i="10" s="1"/>
  <c r="O966" i="10"/>
  <c r="P966" i="10" s="1"/>
  <c r="J967" i="10"/>
  <c r="L967" i="10" s="1"/>
  <c r="K967" i="10"/>
  <c r="M967" i="10" s="1"/>
  <c r="N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N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N974" i="10" s="1"/>
  <c r="K974" i="10"/>
  <c r="M974" i="10" s="1"/>
  <c r="O974" i="10"/>
  <c r="P974" i="10" s="1"/>
  <c r="J975" i="10"/>
  <c r="L975" i="10" s="1"/>
  <c r="K975" i="10"/>
  <c r="M975" i="10" s="1"/>
  <c r="N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N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N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N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N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N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N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N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N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N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N1112" i="10" s="1"/>
  <c r="K1112" i="10"/>
  <c r="M1112" i="10" s="1"/>
  <c r="O1112" i="10"/>
  <c r="P1112" i="10" s="1"/>
  <c r="J1113" i="10"/>
  <c r="L1113" i="10" s="1"/>
  <c r="K1113" i="10"/>
  <c r="M1113" i="10" s="1"/>
  <c r="N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N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N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N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N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N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N1210" i="10" s="1"/>
  <c r="K1210" i="10"/>
  <c r="M1210" i="10" s="1"/>
  <c r="O1210" i="10"/>
  <c r="P1210" i="10" s="1"/>
  <c r="J1211" i="10"/>
  <c r="L1211" i="10" s="1"/>
  <c r="K1211" i="10"/>
  <c r="M1211" i="10" s="1"/>
  <c r="N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N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N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 s="1"/>
  <c r="N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N1245" i="10" s="1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N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N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739" i="10"/>
  <c r="N874" i="10"/>
  <c r="N857" i="10"/>
  <c r="N1070" i="10"/>
  <c r="N700" i="10"/>
  <c r="N775" i="10"/>
  <c r="N889" i="10"/>
  <c r="N983" i="10"/>
  <c r="N965" i="10"/>
  <c r="N960" i="10"/>
  <c r="N944" i="10"/>
  <c r="N676" i="10"/>
  <c r="N824" i="10"/>
  <c r="N822" i="10"/>
  <c r="N723" i="10"/>
  <c r="N973" i="10"/>
  <c r="N968" i="10"/>
  <c r="N956" i="10"/>
  <c r="N751" i="10"/>
  <c r="N661" i="10"/>
  <c r="N912" i="10"/>
  <c r="N1124" i="10"/>
  <c r="N970" i="10"/>
  <c r="N952" i="10"/>
  <c r="N863" i="10"/>
  <c r="N838" i="10"/>
  <c r="N831" i="10"/>
  <c r="N815" i="10"/>
  <c r="N664" i="10"/>
  <c r="N986" i="10"/>
  <c r="N922" i="10"/>
  <c r="N921" i="10"/>
  <c r="N908" i="10"/>
  <c r="N892" i="10"/>
  <c r="N884" i="10"/>
  <c r="N763" i="10"/>
  <c r="N645" i="10"/>
  <c r="N993" i="10"/>
  <c r="N964" i="10"/>
  <c r="N1040" i="10"/>
  <c r="N1085" i="10"/>
  <c r="N1053" i="10"/>
  <c r="N1045" i="10"/>
  <c r="N989" i="10"/>
  <c r="N977" i="10"/>
  <c r="N937" i="10"/>
  <c r="N845" i="10"/>
  <c r="N813" i="10"/>
  <c r="N925" i="10"/>
  <c r="N909" i="10"/>
  <c r="N896" i="10"/>
  <c r="N840" i="10"/>
  <c r="N712" i="10"/>
  <c r="N701" i="10"/>
  <c r="N689" i="10"/>
  <c r="N681" i="10"/>
  <c r="N693" i="10"/>
  <c r="N677" i="10"/>
  <c r="N668" i="10"/>
  <c r="N657" i="10"/>
  <c r="N649" i="10"/>
  <c r="L207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155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62" i="11"/>
  <c r="I1220" i="10"/>
  <c r="I1219" i="10"/>
  <c r="I9" i="10"/>
  <c r="P191" i="10"/>
  <c r="P193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99" i="11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298" i="10"/>
  <c r="N1096" i="10"/>
  <c r="G8" i="29"/>
  <c r="N1359" i="10"/>
  <c r="N1209" i="10"/>
  <c r="N1208" i="10"/>
  <c r="N1060" i="10"/>
  <c r="N1003" i="10"/>
  <c r="N1370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2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N1238" i="10"/>
  <c r="L70" i="10"/>
  <c r="N70" i="10" s="1"/>
  <c r="L9" i="10"/>
  <c r="N1386" i="10"/>
  <c r="N1326" i="10"/>
  <c r="N1276" i="10"/>
  <c r="N1185" i="10"/>
  <c r="N1139" i="10"/>
  <c r="N1454" i="10"/>
  <c r="L86" i="10"/>
  <c r="N86" i="10" s="1"/>
  <c r="L45" i="10"/>
  <c r="L91" i="10"/>
  <c r="N91" i="10" s="1"/>
  <c r="N1237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48" i="10"/>
  <c r="N1012" i="10"/>
  <c r="N903" i="10"/>
  <c r="N871" i="10"/>
  <c r="N862" i="10"/>
  <c r="N860" i="10"/>
  <c r="N827" i="10"/>
  <c r="N818" i="10"/>
  <c r="N817" i="10"/>
  <c r="N812" i="10"/>
  <c r="N947" i="10"/>
  <c r="N918" i="10"/>
  <c r="N917" i="10"/>
  <c r="N915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43" i="10"/>
  <c r="N936" i="10"/>
  <c r="N927" i="10"/>
  <c r="N920" i="10"/>
  <c r="N904" i="10"/>
  <c r="N895" i="10"/>
  <c r="N852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223" i="10"/>
  <c r="N1129" i="10"/>
  <c r="N1128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31" i="10"/>
  <c r="L228" i="10" l="1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C294" i="29" s="1"/>
  <c r="D294" i="29" s="1"/>
  <c r="E294" i="29" s="1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54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313" i="29"/>
  <c r="D313" i="29" s="1"/>
  <c r="C256" i="29"/>
  <c r="D256" i="29" s="1"/>
  <c r="E256" i="29" s="1"/>
  <c r="C247" i="29"/>
  <c r="D247" i="29" s="1"/>
  <c r="F247" i="29" s="1"/>
  <c r="C271" i="29"/>
  <c r="D271" i="29" s="1"/>
  <c r="E271" i="29" s="1"/>
  <c r="C308" i="29"/>
  <c r="D308" i="29" s="1"/>
  <c r="E308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28" i="29"/>
  <c r="D228" i="29" s="1"/>
  <c r="E228" i="29" s="1"/>
  <c r="C299" i="29"/>
  <c r="D299" i="29" s="1"/>
  <c r="F299" i="29" s="1"/>
  <c r="C316" i="29"/>
  <c r="D316" i="29" s="1"/>
  <c r="E316" i="29" s="1"/>
  <c r="C250" i="29"/>
  <c r="D250" i="29" s="1"/>
  <c r="E250" i="29" s="1"/>
  <c r="C261" i="29"/>
  <c r="D261" i="29" s="1"/>
  <c r="F261" i="29" s="1"/>
  <c r="C264" i="29"/>
  <c r="D264" i="29" s="1"/>
  <c r="F264" i="29" s="1"/>
  <c r="C270" i="29"/>
  <c r="D270" i="29" s="1"/>
  <c r="E270" i="29" s="1"/>
  <c r="C298" i="29"/>
  <c r="D298" i="29" s="1"/>
  <c r="E298" i="29" s="1"/>
  <c r="C293" i="29"/>
  <c r="D293" i="29" s="1"/>
  <c r="E293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55" i="11"/>
  <c r="I155" i="11"/>
  <c r="C246" i="29" l="1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67" i="29"/>
  <c r="E247" i="29"/>
  <c r="F302" i="29"/>
  <c r="F284" i="29"/>
  <c r="F266" i="29"/>
  <c r="E245" i="29"/>
  <c r="F294" i="29"/>
  <c r="F289" i="29"/>
  <c r="E299" i="29"/>
  <c r="E268" i="29"/>
  <c r="E273" i="29"/>
  <c r="E236" i="29"/>
  <c r="F308" i="29"/>
  <c r="F293" i="29"/>
  <c r="E264" i="29"/>
  <c r="E261" i="29"/>
  <c r="F270" i="29"/>
  <c r="E276" i="29"/>
  <c r="F256" i="29"/>
  <c r="E251" i="29"/>
  <c r="F250" i="29"/>
  <c r="F298" i="29"/>
  <c r="F271" i="29"/>
  <c r="F278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E8" i="54"/>
  <c r="L8" i="54" s="1"/>
  <c r="M8" i="54" s="1"/>
  <c r="I9" i="54"/>
  <c r="H9" i="54"/>
  <c r="C10" i="54"/>
  <c r="D9" i="54"/>
  <c r="K36" i="39"/>
  <c r="K155" i="11"/>
  <c r="E227" i="29" l="1"/>
  <c r="F246" i="29"/>
  <c r="F244" i="29"/>
  <c r="F287" i="29"/>
  <c r="E309" i="29"/>
  <c r="F292" i="29"/>
  <c r="F274" i="29"/>
  <c r="E280" i="29"/>
  <c r="F315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57" i="11"/>
  <c r="H158" i="11" s="1"/>
  <c r="I157" i="11"/>
  <c r="I158" i="11" s="1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50" i="29"/>
  <c r="F341" i="29"/>
  <c r="E341" i="29"/>
  <c r="E327" i="29"/>
  <c r="E338" i="29"/>
  <c r="E335" i="29"/>
  <c r="E355" i="29"/>
  <c r="F340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17" i="29" l="1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159" i="11"/>
  <c r="I159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K157" i="11"/>
  <c r="K158" i="1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157" i="11"/>
  <c r="J158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/>
  <c r="J16" i="29"/>
  <c r="G16" i="29" l="1"/>
  <c r="H16" i="29" s="1"/>
  <c r="K16" i="29" s="1"/>
  <c r="B16" i="29"/>
  <c r="E16" i="29" s="1"/>
  <c r="K159" i="11"/>
  <c r="B160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59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F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07" i="41" l="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G13" i="54"/>
  <c r="J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N13" i="54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S7" i="54"/>
  <c r="Q8" i="54"/>
  <c r="N14" i="54" l="1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<sst xmlns="http://schemas.openxmlformats.org/spreadsheetml/2006/main" count="4836" uniqueCount="1644">
  <si>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</si>
  <si>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</si>
  <si>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</si>
  <si>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</si>
  <si>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</si>
  <si>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</si>
  <si>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</si>
  <si>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</si>
  <si>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</si>
  <si>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</si>
  <si>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</si>
  <si>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</si>
  <si>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</si>
  <si>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</si>
  <si>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</si>
  <si>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</si>
  <si>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</si>
  <si>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</si>
  <si>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</si>
  <si>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</si>
  <si>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</si>
  <si>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</si>
  <si>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</si>
  <si>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</si>
  <si>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</si>
  <si>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</si>
  <si>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</si>
  <si>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</si>
  <si>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</si>
  <si>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</si>
  <si>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</si>
  <si>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</si>
  <si>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</si>
  <si>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</si>
  <si>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</si>
  <si>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</si>
  <si>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</si>
  <si>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</si>
  <si>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</si>
  <si>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</si>
  <si>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</si>
  <si>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</si>
  <si>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</si>
  <si>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</si>
  <si>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</si>
  <si>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</si>
  <si>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</si>
  <si>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</si>
  <si>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</si>
  <si>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</si>
  <si>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</si>
  <si>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</si>
  <si>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</si>
  <si>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</si>
  <si>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</si>
  <si>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</si>
  <si>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</si>
  <si>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</si>
  <si>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</si>
  <si>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</si>
  <si>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</si>
  <si>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</si>
  <si>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</si>
  <si>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</si>
  <si>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</si>
  <si>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</si>
  <si>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</si>
  <si>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</si>
  <si>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</si>
  <si>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</si>
  <si>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</si>
  <si>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</si>
  <si>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</si>
  <si>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</si>
  <si>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</si>
  <si>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</si>
  <si>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</si>
  <si>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</si>
  <si>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</si>
  <si>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</si>
  <si>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</si>
  <si>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</si>
  <si>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</si>
  <si>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</si>
  <si>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</si>
  <si>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</si>
  <si>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</si>
  <si>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</si>
  <si>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</si>
  <si>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</si>
  <si>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</si>
  <si>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</si>
  <si>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</si>
  <si>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</si>
  <si>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</si>
  <si>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</si>
  <si>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</si>
  <si>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</si>
  <si>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</si>
  <si>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</si>
  <si>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</si>
  <si>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</si>
  <si>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</si>
  <si>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</si>
  <si>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</si>
  <si>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</si>
  <si>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</si>
  <si>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</si>
  <si>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</si>
  <si>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</si>
  <si>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</si>
  <si>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</si>
  <si>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</si>
  <si>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</si>
  <si>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</si>
  <si>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</si>
  <si>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</si>
  <si>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</si>
  <si>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</si>
  <si>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</si>
  <si>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</si>
  <si>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</si>
  <si>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</si>
  <si>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</si>
  <si>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</si>
  <si>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</si>
  <si>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</si>
  <si>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</si>
  <si>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</si>
  <si>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</si>
  <si>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</si>
  <si>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</si>
  <si>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</si>
  <si>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</si>
  <si>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</si>
  <si>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</si>
  <si>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</si>
  <si>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</si>
  <si>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</si>
  <si>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</si>
  <si>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</si>
  <si>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</si>
  <si>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</si>
  <si>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</si>
  <si>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</si>
  <si>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</si>
  <si>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</si>
  <si>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</si>
  <si>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</si>
  <si>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</si>
  <si>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</si>
  <si>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</si>
  <si>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</si>
  <si>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</si>
  <si>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</si>
  <si>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</si>
  <si>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</si>
  <si>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</si>
  <si>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</si>
  <si>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</si>
  <si>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</si>
  <si>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</si>
  <si>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</si>
  <si>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</si>
  <si>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</si>
  <si>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</si>
  <si>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</si>
  <si>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</si>
  <si>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</si>
  <si>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</si>
  <si>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</si>
  <si>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</si>
  <si>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</si>
  <si>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</si>
  <si>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</si>
  <si>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</si>
  <si>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</si>
  <si>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</si>
  <si>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</si>
  <si>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</si>
  <si>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</si>
  <si>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</si>
  <si>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</si>
  <si>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</si>
  <si>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</si>
  <si>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</si>
  <si>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</si>
  <si>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</si>
  <si>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</si>
  <si>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</si>
  <si>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</si>
  <si>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</si>
  <si>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</si>
  <si>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</si>
  <si>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</si>
  <si>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</si>
  <si>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</si>
  <si>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</si>
  <si>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</si>
  <si>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</si>
  <si>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</si>
  <si>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</si>
  <si>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</si>
  <si>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</si>
  <si>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</si>
  <si>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</si>
  <si>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</si>
  <si>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</si>
  <si>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</si>
  <si>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</si>
  <si>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</si>
  <si>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</si>
  <si>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</si>
  <si>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</si>
  <si>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</si>
  <si>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</si>
  <si>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</si>
  <si>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</si>
  <si>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</si>
  <si>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</si>
  <si>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</si>
  <si>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</si>
  <si>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</si>
  <si>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</si>
  <si>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</si>
  <si>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</si>
  <si>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</si>
  <si>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</si>
  <si>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</si>
  <si>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</si>
  <si>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</si>
  <si>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</si>
  <si>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</si>
  <si>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</si>
  <si>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</si>
  <si>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</si>
  <si>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</si>
  <si>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</si>
  <si>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</si>
  <si>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</si>
  <si>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</si>
  <si>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</si>
  <si>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</si>
  <si>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</si>
  <si>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</si>
  <si>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</si>
  <si>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</si>
  <si>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</si>
  <si>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</si>
  <si>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</si>
  <si>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</si>
  <si>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</si>
  <si>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</si>
  <si>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</si>
  <si>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</si>
  <si>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</si>
  <si>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</si>
  <si>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</si>
  <si>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</si>
  <si>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</si>
  <si>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</si>
  <si>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</si>
  <si>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</si>
  <si>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</si>
  <si>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</si>
  <si>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</si>
  <si>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</si>
  <si>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</si>
  <si>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</si>
  <si>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</si>
  <si>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</si>
  <si>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</si>
  <si>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</si>
  <si>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</si>
  <si>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</si>
  <si>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</si>
  <si>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</si>
  <si>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</si>
  <si>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</si>
  <si>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</si>
  <si>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</si>
  <si>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</si>
  <si>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</si>
  <si>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</si>
  <si>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</si>
  <si>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</si>
  <si>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</si>
  <si>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</si>
  <si>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</si>
  <si>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</si>
  <si>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</si>
  <si>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</si>
  <si>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</si>
  <si>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</si>
  <si>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</si>
  <si>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</si>
  <si>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</si>
  <si>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</si>
  <si>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</si>
  <si>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</si>
  <si>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</si>
  <si>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</si>
  <si>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</si>
  <si>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</si>
  <si>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</si>
  <si>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</si>
  <si>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</si>
  <si>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</si>
  <si>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</si>
  <si>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</si>
  <si>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</si>
  <si>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</si>
  <si>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</si>
  <si>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</si>
  <si>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</si>
  <si>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</si>
  <si>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</si>
  <si>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</si>
  <si>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</si>
  <si>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</si>
  <si>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</si>
  <si>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</si>
  <si>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</si>
  <si>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</si>
  <si>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</si>
  <si>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</si>
  <si>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</si>
  <si>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</si>
  <si>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</si>
  <si>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</si>
  <si>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</si>
  <si>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</si>
  <si>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</si>
  <si>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</si>
  <si>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</si>
  <si>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</si>
  <si>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</si>
  <si>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</si>
  <si>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</si>
  <si>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</si>
  <si>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</si>
  <si>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</si>
  <si>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</si>
  <si>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</si>
  <si>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</si>
  <si>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</si>
  <si>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</si>
  <si>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</si>
  <si>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</si>
  <si>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</si>
  <si>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</si>
  <si>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</si>
  <si>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</si>
  <si>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</si>
  <si>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</si>
  <si>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</si>
  <si>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</si>
  <si>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</si>
  <si>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</si>
  <si>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</si>
  <si>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</si>
  <si>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</si>
  <si>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</si>
  <si>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</si>
  <si>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</si>
  <si>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</si>
  <si>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</si>
  <si>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</si>
  <si>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</si>
  <si>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</si>
  <si>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</si>
  <si>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</si>
  <si>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</si>
  <si>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</si>
  <si>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</si>
  <si>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</si>
  <si>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</si>
  <si>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</si>
  <si>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</si>
  <si>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</si>
  <si>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</si>
  <si>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</si>
  <si>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</si>
  <si>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</si>
  <si>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</si>
  <si>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</si>
  <si>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</si>
  <si>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</si>
  <si>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</si>
  <si>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</si>
  <si>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</si>
  <si>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</si>
  <si>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</si>
  <si>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</si>
  <si>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</si>
  <si>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</si>
  <si>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</si>
  <si>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</si>
  <si>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</si>
  <si>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</si>
  <si>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</si>
  <si>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</si>
  <si>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</si>
  <si>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</si>
  <si>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</si>
  <si>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</si>
  <si>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</si>
  <si>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</si>
  <si>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</si>
  <si>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</si>
  <si>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</si>
  <si>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</si>
  <si>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</si>
  <si>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</si>
  <si>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</si>
  <si>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</si>
  <si>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</si>
  <si>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</si>
  <si>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</si>
  <si>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</si>
  <si>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</si>
  <si>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</si>
  <si>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</si>
  <si>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</si>
  <si>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</si>
  <si>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</si>
  <si>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</si>
  <si>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</si>
  <si>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</si>
  <si>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</si>
  <si>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</si>
  <si>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</si>
  <si>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</si>
  <si>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</si>
  <si>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</si>
  <si>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</si>
  <si>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</si>
  <si>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</si>
  <si>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</si>
  <si>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</si>
  <si>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</si>
  <si>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</si>
  <si>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</si>
  <si>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</si>
  <si>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</si>
  <si>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</si>
  <si>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</si>
  <si>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</si>
  <si>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</si>
  <si>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</si>
  <si>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</si>
  <si>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</si>
  <si>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</si>
  <si>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</si>
  <si>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</si>
  <si>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</si>
  <si>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</si>
  <si>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</si>
  <si>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</si>
  <si>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</si>
  <si>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</si>
  <si>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</si>
  <si>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</si>
  <si>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</si>
  <si>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</si>
  <si>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</si>
  <si>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</si>
  <si>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</si>
  <si>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</si>
  <si>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</si>
  <si>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</si>
  <si>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</si>
  <si>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</si>
  <si>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</si>
  <si>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</si>
  <si>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</si>
  <si>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</si>
  <si>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</si>
  <si>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</si>
  <si>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</si>
  <si>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</si>
  <si>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</si>
  <si>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</si>
  <si>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</si>
  <si>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</si>
  <si>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</si>
  <si>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</si>
  <si>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</si>
  <si>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</si>
  <si>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</si>
  <si>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</si>
  <si>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</si>
  <si>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</si>
  <si>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</si>
  <si>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</si>
  <si>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</si>
  <si>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</si>
  <si>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</si>
  <si>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</si>
  <si>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</si>
  <si>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</si>
  <si>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</si>
  <si>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</si>
  <si>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</si>
  <si>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</si>
  <si>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</si>
  <si>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</si>
  <si>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</si>
  <si>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</si>
  <si>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</si>
  <si>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</si>
  <si>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</si>
  <si>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</si>
  <si>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</si>
  <si>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</si>
  <si>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</si>
  <si>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</si>
  <si>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</si>
  <si>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</si>
  <si>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</si>
  <si>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</si>
  <si>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</si>
  <si>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</si>
  <si>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</si>
  <si>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</si>
  <si>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</si>
  <si>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</si>
  <si>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</si>
  <si>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</si>
  <si>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</si>
  <si>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</si>
  <si>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</si>
  <si>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</si>
  <si>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</si>
  <si>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</si>
  <si>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</si>
  <si>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</si>
  <si>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</si>
  <si>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</si>
  <si>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</si>
  <si>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</si>
  <si>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</si>
  <si>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</si>
  <si>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</si>
  <si>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</si>
  <si>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</si>
  <si>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</si>
  <si>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</si>
  <si>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</si>
  <si>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</si>
  <si>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</si>
  <si>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</si>
  <si>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</si>
  <si>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</si>
  <si>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</si>
  <si>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</si>
  <si>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</si>
  <si>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</si>
  <si>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</si>
  <si>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</si>
  <si>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</si>
  <si>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</si>
  <si>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</si>
  <si>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</si>
  <si>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</si>
  <si>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</si>
  <si>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</si>
  <si>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</si>
  <si>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</si>
  <si>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</si>
  <si>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</si>
  <si>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</si>
  <si>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</si>
  <si>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</si>
  <si>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</si>
  <si>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</si>
  <si>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</si>
  <si>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</si>
  <si>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</si>
  <si>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</si>
  <si>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</si>
  <si>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</si>
  <si>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</si>
  <si>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</si>
  <si>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</si>
  <si>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</si>
  <si>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</si>
  <si>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</si>
  <si>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</si>
  <si>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</si>
  <si>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</si>
  <si>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</si>
  <si>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</si>
  <si>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</si>
  <si>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</si>
  <si>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</si>
  <si>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</si>
  <si>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</si>
  <si>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</si>
  <si>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</si>
  <si>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</si>
  <si>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</si>
  <si>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</si>
  <si>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</si>
  <si>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</si>
  <si>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</si>
  <si>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</si>
  <si>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</si>
  <si>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</si>
  <si>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</si>
  <si>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</si>
  <si>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</si>
  <si>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</si>
  <si>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</si>
  <si>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</si>
  <si>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</si>
  <si>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</si>
  <si>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</si>
  <si>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</si>
  <si>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</si>
  <si>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</si>
  <si>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</si>
  <si>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</si>
  <si>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</si>
  <si>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</si>
  <si>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</si>
  <si>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</si>
  <si>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</si>
  <si>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</si>
  <si>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</si>
  <si>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</si>
  <si>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</si>
  <si>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</si>
  <si>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</si>
  <si>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</si>
  <si>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</si>
  <si>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</si>
  <si>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</si>
  <si>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</si>
  <si>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</si>
  <si>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</si>
  <si>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</si>
  <si>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</si>
  <si>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</si>
  <si>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</si>
  <si>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</si>
  <si>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</si>
  <si>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</si>
  <si>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</si>
  <si>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</si>
  <si>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</si>
  <si>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</si>
  <si>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</si>
  <si>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</si>
  <si>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</si>
  <si>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</si>
  <si>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</si>
  <si>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</si>
  <si>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</si>
  <si>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</si>
  <si>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</si>
  <si>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</si>
  <si>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</si>
  <si>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</si>
  <si>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</si>
  <si>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</si>
  <si>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</si>
  <si>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</si>
  <si>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</si>
  <si>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</si>
  <si>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</si>
  <si>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</si>
  <si>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</si>
  <si>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</si>
  <si>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</si>
  <si>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</si>
  <si>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</si>
  <si>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</si>
  <si>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</si>
  <si>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</si>
  <si>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</si>
  <si>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</si>
  <si>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</si>
  <si>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</si>
  <si>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</si>
  <si>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</si>
  <si>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</si>
  <si>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</si>
  <si>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</si>
  <si>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</si>
  <si>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</si>
  <si>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</si>
  <si>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</si>
  <si>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</si>
  <si>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</si>
  <si>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</si>
  <si>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</si>
  <si>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</si>
  <si>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</si>
  <si>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</si>
  <si>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</si>
  <si>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</si>
  <si>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</si>
  <si>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</si>
  <si>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</si>
  <si>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</si>
  <si>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</si>
  <si>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</si>
  <si>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</si>
  <si>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</si>
  <si>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</si>
  <si>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</si>
  <si>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</si>
  <si>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</si>
  <si>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</si>
  <si>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</si>
  <si>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</si>
  <si>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</si>
  <si>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</si>
  <si>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</si>
  <si>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</si>
  <si>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</si>
  <si>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</si>
  <si>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</si>
  <si>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</si>
  <si>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</si>
  <si>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</si>
  <si>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</si>
  <si>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</si>
  <si>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</si>
  <si>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</si>
  <si>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</si>
  <si>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</si>
  <si>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</si>
  <si>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</si>
  <si>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</si>
  <si>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</si>
  <si>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</si>
  <si>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</si>
  <si>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</si>
  <si>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</si>
  <si>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</si>
  <si>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</si>
  <si>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</si>
  <si>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</si>
  <si>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</si>
  <si>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</si>
  <si>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</si>
  <si>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</si>
  <si>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</si>
  <si>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</si>
  <si>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</si>
  <si>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</si>
  <si>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</si>
  <si>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</si>
  <si>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</si>
  <si>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</si>
  <si>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</si>
  <si>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</si>
  <si>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</si>
  <si>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</si>
  <si>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</si>
  <si>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</si>
  <si>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</si>
  <si>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</si>
  <si>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</si>
  <si>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</si>
  <si>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</si>
  <si>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</si>
  <si>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</si>
  <si>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</si>
  <si>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</si>
  <si>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</si>
  <si>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</si>
  <si>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</si>
  <si>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</si>
  <si>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</si>
  <si>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</si>
  <si>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</si>
  <si>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</si>
  <si>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</si>
  <si>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</si>
  <si>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</si>
  <si>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</si>
  <si>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</si>
  <si>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</si>
  <si>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</si>
  <si>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</si>
  <si>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</si>
  <si>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</si>
  <si>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</si>
  <si>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</si>
  <si>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</si>
  <si>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</si>
  <si>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</si>
  <si>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</si>
  <si>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</si>
  <si>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</si>
  <si>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</si>
  <si>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</si>
  <si>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</si>
  <si>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</si>
  <si>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</si>
  <si>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</si>
  <si>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</si>
  <si>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</si>
  <si>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</si>
  <si>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</si>
  <si>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</si>
  <si>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</si>
  <si>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</si>
  <si>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</si>
  <si>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</si>
  <si>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</si>
  <si>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</si>
  <si>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</si>
  <si>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</si>
  <si>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</si>
  <si>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</si>
  <si>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</si>
  <si>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</si>
  <si>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</si>
  <si>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</si>
  <si>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</si>
  <si>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</si>
  <si>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</si>
  <si>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</si>
  <si>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</si>
  <si>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</si>
  <si>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</si>
  <si>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</si>
  <si>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</si>
  <si>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</si>
  <si>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</si>
  <si>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</si>
  <si>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</si>
  <si>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</si>
  <si>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</si>
  <si>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</si>
  <si>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</si>
  <si>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</si>
  <si>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</si>
  <si>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</si>
  <si>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</si>
  <si>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</si>
  <si>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</si>
  <si>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</si>
  <si>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</si>
  <si>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</si>
  <si>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</si>
  <si>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</si>
  <si>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</si>
  <si>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</si>
  <si>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</si>
  <si>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</si>
  <si>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</si>
  <si>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</si>
  <si>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</si>
  <si>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</si>
  <si>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</si>
  <si>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</si>
  <si>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</si>
  <si>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</si>
  <si>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</si>
  <si>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</si>
  <si>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</si>
  <si>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</si>
  <si>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</si>
  <si>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</si>
  <si>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</si>
  <si>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</si>
  <si>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</si>
  <si>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</si>
  <si>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</si>
  <si>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</si>
  <si>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</si>
  <si>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</si>
  <si>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</si>
  <si>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</si>
  <si>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</si>
  <si>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</si>
  <si>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</si>
  <si>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</si>
  <si>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</si>
  <si>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</si>
  <si>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</si>
  <si>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</si>
  <si>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</si>
  <si>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</si>
  <si>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</si>
  <si>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</si>
  <si>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</si>
  <si>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</si>
  <si>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</si>
  <si>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</si>
  <si>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</si>
  <si>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</si>
  <si>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</si>
  <si>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</si>
  <si>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</si>
  <si>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</si>
  <si>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</si>
  <si>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</si>
  <si>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</si>
  <si>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</si>
  <si>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</si>
  <si>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</si>
  <si>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</si>
  <si>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</si>
  <si>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</si>
  <si>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</si>
  <si>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</si>
  <si>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</si>
  <si>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</si>
  <si>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</si>
  <si>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</si>
  <si>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</si>
  <si>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</si>
  <si>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</si>
  <si>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</si>
  <si>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</si>
  <si>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</si>
  <si>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</si>
  <si>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</si>
  <si>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</si>
  <si>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</si>
  <si>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</si>
  <si>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</si>
  <si>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</si>
  <si>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</si>
  <si>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</si>
  <si>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</si>
  <si>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</si>
  <si>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</si>
  <si>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</si>
  <si>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</si>
  <si>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</si>
  <si>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</si>
  <si>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</si>
  <si>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</si>
  <si>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</si>
  <si>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</si>
  <si>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</si>
  <si>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</si>
  <si>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</si>
  <si>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</si>
  <si>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</si>
  <si>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</si>
  <si>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</si>
  <si>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</si>
  <si>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</si>
  <si>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</si>
  <si>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</si>
  <si>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</si>
  <si>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</si>
  <si>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</si>
  <si>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</si>
  <si>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</si>
  <si>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</si>
  <si>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</si>
  <si>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</si>
  <si>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</si>
  <si>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</si>
  <si>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</si>
  <si>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</si>
  <si>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</si>
  <si>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</si>
  <si>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</si>
  <si>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</si>
  <si>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</si>
  <si>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</si>
  <si>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</si>
  <si>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</si>
  <si>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</si>
  <si>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</si>
  <si>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</si>
  <si>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</si>
  <si>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</si>
  <si>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</si>
  <si>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</si>
  <si>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</si>
  <si>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</si>
  <si>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</si>
  <si>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</si>
  <si>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</si>
  <si>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</si>
  <si>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</si>
  <si>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</si>
  <si>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</si>
  <si>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</si>
  <si>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</si>
  <si>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</si>
  <si>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</si>
  <si>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</si>
  <si>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</si>
  <si>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</si>
  <si>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</si>
  <si>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</si>
  <si>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</si>
  <si>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</si>
  <si>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</si>
  <si>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</si>
  <si>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</si>
  <si>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</si>
  <si>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</si>
  <si>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</si>
  <si>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</si>
  <si>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</si>
  <si>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</si>
  <si>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</si>
  <si>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</si>
  <si>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</si>
  <si>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</si>
  <si>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</si>
  <si>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</si>
  <si>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</si>
  <si>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</si>
  <si>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</si>
  <si>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</si>
  <si>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</si>
  <si>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</si>
  <si>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</si>
  <si>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</si>
  <si>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</si>
  <si>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</si>
  <si>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</si>
  <si>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</si>
  <si>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</si>
  <si>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</si>
  <si>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</si>
  <si>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</si>
  <si>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</si>
  <si>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</si>
  <si>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</si>
  <si>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</si>
  <si>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</si>
  <si>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</si>
  <si>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</si>
  <si>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</si>
  <si>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</si>
  <si>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</si>
  <si>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</si>
  <si>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</si>
  <si>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</si>
  <si>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</si>
  <si>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</si>
  <si>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</si>
  <si>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</si>
  <si>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</si>
  <si>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</si>
  <si>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</si>
  <si>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</si>
  <si>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</si>
  <si>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</si>
  <si>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</si>
  <si>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</si>
  <si>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</si>
  <si>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</si>
  <si>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</si>
  <si>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</si>
  <si>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</si>
  <si>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</si>
  <si>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</si>
  <si>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</si>
  <si>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</si>
  <si>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</si>
  <si>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</si>
  <si>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</si>
  <si>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</si>
  <si>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</si>
  <si>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</si>
  <si>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</si>
  <si>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</si>
  <si>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</si>
  <si>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</si>
  <si>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</si>
  <si>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</si>
  <si>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</si>
  <si>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</si>
  <si>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</si>
  <si>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</si>
  <si>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</si>
  <si>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</si>
  <si>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</si>
  <si>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</si>
  <si>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</si>
  <si>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</si>
  <si>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</si>
  <si>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</si>
  <si>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</si>
  <si>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</si>
  <si>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</si>
  <si>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</si>
  <si>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</si>
  <si>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</si>
  <si>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</si>
  <si>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</si>
  <si>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</si>
  <si>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</si>
  <si>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</si>
  <si>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</si>
  <si>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</si>
  <si>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</si>
  <si>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</si>
  <si>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</si>
  <si>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</si>
  <si>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</si>
  <si>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</si>
  <si>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</si>
  <si>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</si>
  <si>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</si>
  <si>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</si>
  <si>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</si>
  <si>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</si>
  <si>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</si>
  <si>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</si>
  <si>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</si>
  <si>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</si>
  <si>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</si>
  <si>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</si>
  <si>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</si>
  <si>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</si>
  <si>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</si>
  <si>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</si>
  <si>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</si>
  <si>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</si>
  <si>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</si>
  <si>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</si>
  <si>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</si>
  <si>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</si>
  <si>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</si>
  <si>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</si>
  <si>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</si>
  <si>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</si>
  <si>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</si>
  <si>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</si>
  <si>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</si>
  <si>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</si>
  <si>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</si>
  <si>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</si>
  <si>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</si>
  <si>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</si>
  <si>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</si>
  <si>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</si>
  <si>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</si>
  <si>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</si>
  <si>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</si>
  <si>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</si>
  <si>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</si>
  <si>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</si>
  <si>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</si>
  <si>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</si>
  <si>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</si>
  <si>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</si>
  <si>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</si>
  <si>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</si>
  <si>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</si>
  <si>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</si>
  <si>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</si>
  <si>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</si>
  <si>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</si>
  <si>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</si>
  <si>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</si>
  <si>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</si>
  <si>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</si>
  <si>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</si>
  <si>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</si>
  <si>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</si>
  <si>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</si>
  <si>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</si>
  <si>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</si>
  <si>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</si>
  <si>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</si>
  <si>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</si>
  <si>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</si>
  <si>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</si>
  <si>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</si>
  <si>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</si>
  <si>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</si>
  <si>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</si>
  <si>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</si>
  <si>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</si>
  <si>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</si>
  <si>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</si>
  <si>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</si>
  <si>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</si>
  <si>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</si>
  <si>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</si>
  <si>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</si>
  <si>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</si>
  <si>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</si>
  <si>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</si>
  <si>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</si>
  <si>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</si>
  <si>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</si>
  <si>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</si>
  <si>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</si>
  <si>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</si>
  <si>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</si>
  <si>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</si>
  <si>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</si>
  <si>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</si>
  <si>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</si>
  <si>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</si>
  <si>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</si>
  <si>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</si>
  <si>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</si>
  <si>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</si>
  <si>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</si>
  <si>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</si>
  <si>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</si>
  <si>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</si>
  <si>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</si>
  <si>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</si>
  <si>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</si>
  <si>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</si>
  <si>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</si>
  <si>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</si>
  <si>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</si>
  <si>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</si>
  <si>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</si>
  <si>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</si>
  <si>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</si>
  <si>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</si>
  <si>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</si>
  <si>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</si>
  <si>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</si>
  <si>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</si>
  <si>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</si>
  <si>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</si>
  <si>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</si>
  <si>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</si>
  <si>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</si>
  <si>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</si>
  <si>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</si>
  <si>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</si>
  <si>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</si>
  <si>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</si>
  <si>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</si>
  <si>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</si>
  <si>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</si>
  <si>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</si>
  <si>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</si>
  <si>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</si>
  <si>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</si>
  <si>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</si>
  <si>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</si>
  <si>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</si>
  <si>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</si>
  <si>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</si>
  <si>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</si>
  <si>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</si>
  <si>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</si>
  <si>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</si>
  <si>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</si>
  <si>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</si>
  <si>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</si>
  <si>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</si>
  <si>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</si>
  <si>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</si>
  <si>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</si>
  <si>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</si>
  <si>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</si>
  <si>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</si>
  <si>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</si>
  <si>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</si>
  <si>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</si>
  <si>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</si>
  <si>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</si>
  <si>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</si>
  <si>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</si>
  <si>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</si>
  <si>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</si>
  <si>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</si>
  <si>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</si>
  <si>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</si>
  <si>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</si>
  <si>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</si>
  <si>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</si>
  <si>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</si>
  <si>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</si>
  <si>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</si>
  <si>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</si>
  <si>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</si>
  <si>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</si>
  <si>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</si>
  <si>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</si>
  <si>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</si>
  <si>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</si>
  <si>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</si>
  <si>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</si>
  <si>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</si>
  <si>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</si>
  <si>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</si>
  <si>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</si>
  <si>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</si>
  <si>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</si>
  <si>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</si>
  <si>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</si>
  <si>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</si>
  <si>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</si>
  <si>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</si>
  <si>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</si>
  <si>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</si>
  <si>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</si>
  <si>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</si>
  <si>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</si>
  <si>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</si>
  <si>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</si>
  <si>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</si>
  <si>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</si>
  <si>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</si>
  <si>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</si>
  <si>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</si>
  <si>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</si>
  <si>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</si>
  <si>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</si>
  <si>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</si>
  <si>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</si>
  <si>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</si>
  <si>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</si>
  <si>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</si>
  <si>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</si>
  <si>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</si>
  <si>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</si>
  <si>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</si>
  <si>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</si>
  <si>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</si>
  <si>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</si>
  <si>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</si>
  <si>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</si>
  <si>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</si>
  <si>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</si>
  <si>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</si>
  <si>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</si>
  <si>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</si>
  <si>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</si>
  <si>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</si>
  <si>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</si>
  <si>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</si>
  <si>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</si>
  <si>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</si>
  <si>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</si>
  <si>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</si>
  <si>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</si>
  <si>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</si>
  <si>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</si>
  <si>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</si>
  <si>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</si>
  <si>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</si>
  <si>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</si>
  <si>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</si>
  <si>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</si>
  <si>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</si>
  <si>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</si>
  <si>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</si>
  <si>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</si>
  <si>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</si>
  <si>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</si>
  <si>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</si>
  <si>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</si>
  <si>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</si>
  <si>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</si>
  <si>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</si>
  <si>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</si>
  <si>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</si>
  <si>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</si>
  <si>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</si>
  <si>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</si>
  <si>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</si>
  <si>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</si>
  <si>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</si>
  <si>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</si>
  <si>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</si>
  <si>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</si>
  <si>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</si>
  <si>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</si>
  <si>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</si>
  <si>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</si>
  <si>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</si>
  <si>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</si>
  <si>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</si>
  <si>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</si>
  <si>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</si>
  <si>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</si>
  <si>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</si>
  <si>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</si>
  <si>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</si>
  <si>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</si>
  <si>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</si>
  <si>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</si>
  <si>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</si>
  <si>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</si>
  <si>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</si>
  <si>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</si>
  <si>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</si>
  <si>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</si>
  <si>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</si>
  <si>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</si>
  <si>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</si>
  <si>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</si>
  <si>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</si>
  <si>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</si>
  <si>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</si>
  <si>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</si>
  <si>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</si>
  <si>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</si>
  <si>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</si>
  <si>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</si>
  <si>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</si>
  <si>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</si>
  <si>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</si>
  <si>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</si>
  <si>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</si>
  <si>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</si>
  <si>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</si>
  <si>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</si>
  <si>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</si>
  <si>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</si>
  <si>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</si>
  <si>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</si>
  <si>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</si>
  <si>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</si>
  <si>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</si>
  <si>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</si>
  <si>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</si>
  <si>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</si>
  <si>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</si>
  <si>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</si>
  <si>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</si>
  <si>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</si>
  <si>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</si>
  <si>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</si>
  <si>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</si>
  <si>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</si>
  <si>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</si>
  <si>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</si>
  <si>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</si>
  <si>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</si>
  <si>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</si>
  <si>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</si>
  <si>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</si>
  <si>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</si>
  <si>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</si>
  <si>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</si>
  <si>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</si>
  <si>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</si>
  <si>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</si>
  <si>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</si>
  <si>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</si>
  <si>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</si>
  <si>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</si>
  <si>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</si>
  <si>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</si>
  <si>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</si>
  <si>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PEKERJAAN PEMASANGAN TIANG</t>
  </si>
  <si>
    <t>II</t>
  </si>
  <si>
    <t>PEMASANGAN APP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</si>
  <si>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</si>
  <si>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</si>
  <si>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</si>
  <si>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</si>
  <si>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</si>
  <si>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</si>
  <si>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</si>
  <si>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</si>
  <si>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</si>
  <si>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</si>
  <si>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</si>
  <si>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</si>
  <si>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</si>
  <si>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</si>
  <si>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</si>
  <si>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</si>
  <si>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</si>
  <si>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</si>
  <si>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</si>
  <si>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</si>
  <si>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</si>
  <si>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</si>
  <si>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</si>
  <si>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</si>
  <si>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</si>
  <si>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</si>
  <si>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</si>
  <si>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</si>
  <si>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</si>
  <si>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</si>
  <si>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</si>
  <si>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</si>
  <si>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</si>
  <si>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</si>
  <si>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</si>
  <si>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</si>
  <si>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</si>
  <si>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</si>
  <si>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</si>
  <si>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</si>
  <si>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</si>
  <si>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</si>
  <si>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</si>
  <si>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</si>
  <si>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</si>
  <si>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</si>
  <si>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</si>
  <si>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</si>
  <si>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</si>
  <si>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</si>
  <si>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</si>
  <si>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</si>
  <si>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</si>
  <si>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</si>
  <si>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</si>
  <si>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</si>
  <si>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</si>
  <si>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</si>
  <si>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</si>
  <si>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</si>
  <si>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</si>
  <si>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</si>
  <si>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</si>
  <si>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</si>
  <si>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</si>
  <si>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</si>
  <si>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</si>
  <si>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</si>
  <si>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</si>
  <si>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</si>
  <si>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</si>
  <si>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</si>
  <si>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</si>
  <si>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</si>
  <si>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</si>
  <si>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</si>
  <si>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</si>
  <si>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</si>
  <si>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</si>
  <si>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</si>
  <si>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</si>
  <si>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</si>
  <si>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</si>
  <si>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</si>
  <si>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</si>
  <si>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</si>
  <si>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</si>
  <si>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</si>
  <si>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</si>
  <si>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</si>
  <si>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</si>
  <si>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III</t>
  </si>
  <si>
    <t>IV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</si>
  <si>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</si>
  <si>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</si>
  <si>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</si>
  <si>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</si>
  <si>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</si>
  <si>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</si>
  <si>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</si>
  <si>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</si>
  <si>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</si>
  <si>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</si>
  <si>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</si>
  <si>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</si>
  <si>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</si>
  <si>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</si>
  <si>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</si>
  <si>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</si>
  <si>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</si>
  <si>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</si>
  <si>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</si>
  <si>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</si>
  <si>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</si>
  <si>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</si>
  <si>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</si>
  <si>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</si>
  <si>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</si>
  <si>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</si>
  <si>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</si>
  <si>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</si>
  <si>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</si>
  <si>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</si>
  <si>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</si>
  <si>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</si>
  <si>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</si>
  <si>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</si>
  <si>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</si>
  <si>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</si>
  <si>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</si>
  <si>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</si>
  <si>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</si>
  <si>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</si>
  <si>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</si>
  <si>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</si>
  <si>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</si>
  <si>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</si>
  <si>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</si>
  <si>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</si>
  <si>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</si>
  <si>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</si>
  <si>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</si>
  <si>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</si>
  <si>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</si>
  <si>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</si>
  <si>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</si>
  <si>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</si>
  <si>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</si>
  <si>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</si>
  <si>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</si>
  <si>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</si>
  <si>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</si>
  <si>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</si>
  <si>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UPAH LAIN-LAIN</t>
  </si>
  <si>
    <t>Staff Teknik</t>
  </si>
  <si>
    <t>TL. Teknik</t>
  </si>
  <si>
    <t>MULP</t>
  </si>
  <si>
    <t>PEMASANGAN TRAFO</t>
  </si>
  <si>
    <t>SYG 5 - 32</t>
  </si>
  <si>
    <t>SYG 05</t>
  </si>
  <si>
    <t>I2</t>
  </si>
  <si>
    <t>CC1-A</t>
  </si>
  <si>
    <t>CC7</t>
  </si>
  <si>
    <t>CM2-12</t>
  </si>
  <si>
    <t>CONDUKTOR</t>
  </si>
  <si>
    <t>PEMBANGUNAN JARINGAN TM</t>
  </si>
  <si>
    <t xml:space="preserve">Jumper Wire : </t>
  </si>
  <si>
    <t>CM2-11M</t>
  </si>
  <si>
    <t>Stainless Steel Strap 20 X 0.7 mm</t>
  </si>
  <si>
    <t>Daya 105.000 VA</t>
  </si>
  <si>
    <t>Pemasangan APP Di Tiang</t>
  </si>
  <si>
    <t>CM2-11</t>
  </si>
  <si>
    <t>SCHOOR</t>
  </si>
  <si>
    <t>CE1-3</t>
  </si>
  <si>
    <t>F1-3</t>
  </si>
  <si>
    <t>CM2-12A</t>
  </si>
  <si>
    <t>Trafo 3 Fasa 100 KVA 2 Tiang (G313)</t>
  </si>
  <si>
    <t>AGR SISWANTO</t>
  </si>
  <si>
    <t>DS HARJO WINANGUN KEC. DEMPET</t>
  </si>
  <si>
    <t>KOORDINAT : -6.928770, 110.753035</t>
  </si>
  <si>
    <t>C12-350</t>
  </si>
  <si>
    <t>CG313</t>
  </si>
  <si>
    <t>Demak, 09 Januari 2024</t>
  </si>
  <si>
    <t>MANAGER</t>
  </si>
  <si>
    <t>ACHMAD SUHENDRO</t>
  </si>
  <si>
    <t>Manager Perencanaan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</si>
</sst>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color theme="10"/>
      <name val="Arial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10"/>
      </bottom>
      <diagonal/>
    </border>
    <border>
      <left/>
      <right style="thin">
        <color indexed="10"/>
      </right>
      <top style="thin">
        <color indexed="64"/>
      </top>
      <bottom style="thin">
        <color indexed="10"/>
      </bottom>
      <diagonal/>
    </border>
  </borders>
  <cellStyleXfs count="2681">
    <xf numFmtId="0" fontId="0" fillId="0" borderId="0"/>
    <xf numFmtId="172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7" fontId="104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167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8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6" fillId="0" borderId="0" applyFont="0" applyFill="0" applyBorder="0" applyAlignment="0" applyProtection="0"/>
    <xf numFmtId="185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206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6" fontId="35" fillId="0" borderId="3"/>
    <xf numFmtId="186" fontId="21" fillId="0" borderId="3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73" fontId="35" fillId="0" borderId="0" applyFont="0" applyFill="0" applyBorder="0" applyAlignment="0" applyProtection="0"/>
    <xf numFmtId="17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69" fillId="0" borderId="0" applyFont="0" applyFill="0" applyBorder="0" applyAlignment="0" applyProtection="0"/>
    <xf numFmtId="188" fontId="71" fillId="0" borderId="0">
      <protection locked="0"/>
    </xf>
    <xf numFmtId="14" fontId="63" fillId="0" borderId="0" applyFill="0" applyBorder="0" applyAlignment="0"/>
    <xf numFmtId="189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90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1" fontId="76" fillId="0" borderId="0">
      <protection locked="0"/>
    </xf>
    <xf numFmtId="191" fontId="76" fillId="0" borderId="0"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2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3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21" fillId="0" borderId="0"/>
    <xf numFmtId="193" fontId="35" fillId="0" borderId="0"/>
    <xf numFmtId="172" fontId="82" fillId="0" borderId="0"/>
    <xf numFmtId="172" fontId="83" fillId="0" borderId="0"/>
    <xf numFmtId="172" fontId="83" fillId="0" borderId="0"/>
    <xf numFmtId="0" fontId="65" fillId="0" borderId="0"/>
    <xf numFmtId="0" fontId="111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8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68" fillId="0" borderId="0"/>
    <xf numFmtId="0" fontId="35" fillId="0" borderId="0"/>
    <xf numFmtId="0" fontId="11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4" fontId="42" fillId="0" borderId="0"/>
    <xf numFmtId="0" fontId="111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1" fillId="0" borderId="0"/>
    <xf numFmtId="182" fontId="83" fillId="0" borderId="0"/>
    <xf numFmtId="0" fontId="83" fillId="0" borderId="0"/>
    <xf numFmtId="195" fontId="83" fillId="0" borderId="0"/>
    <xf numFmtId="196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5" fontId="83" fillId="0" borderId="0"/>
    <xf numFmtId="0" fontId="83" fillId="0" borderId="0"/>
    <xf numFmtId="0" fontId="35" fillId="0" borderId="0"/>
    <xf numFmtId="0" fontId="21" fillId="0" borderId="0"/>
    <xf numFmtId="182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7" fontId="83" fillId="0" borderId="0"/>
    <xf numFmtId="199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4" fontId="42" fillId="0" borderId="0"/>
    <xf numFmtId="0" fontId="21" fillId="0" borderId="0"/>
    <xf numFmtId="0" fontId="21" fillId="0" borderId="0" applyProtection="0"/>
    <xf numFmtId="0" fontId="111" fillId="0" borderId="0"/>
    <xf numFmtId="0" fontId="111" fillId="0" borderId="0"/>
    <xf numFmtId="0" fontId="111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35" fillId="0" borderId="0"/>
    <xf numFmtId="0" fontId="21" fillId="0" borderId="0"/>
    <xf numFmtId="0" fontId="11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113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22" fillId="0" borderId="0"/>
    <xf numFmtId="0" fontId="112" fillId="0" borderId="0"/>
    <xf numFmtId="0" fontId="6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4" fontId="42" fillId="0" borderId="0"/>
    <xf numFmtId="194" fontId="42" fillId="0" borderId="0"/>
    <xf numFmtId="0" fontId="11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200" fontId="35" fillId="0" borderId="0" applyFont="0" applyFill="0" applyBorder="0" applyAlignment="0" applyProtection="0"/>
    <xf numFmtId="200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3" fillId="0" borderId="0"/>
    <xf numFmtId="201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35" fillId="0" borderId="0" applyFill="0" applyBorder="0" applyAlignment="0"/>
    <xf numFmtId="203" fontId="21" fillId="0" borderId="0" applyFill="0" applyBorder="0" applyAlignment="0"/>
    <xf numFmtId="204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8" fillId="0" borderId="0"/>
    <xf numFmtId="41" fontId="21" fillId="0" borderId="0" applyFont="0" applyFill="0" applyBorder="0" applyAlignment="0" applyProtection="0"/>
    <xf numFmtId="9" fontId="162" fillId="0" borderId="0" applyFont="0" applyFill="0" applyBorder="0" applyAlignment="0" applyProtection="0"/>
    <xf numFmtId="41" fontId="174" fillId="0" borderId="0" applyFont="0" applyFill="0" applyBorder="0" applyAlignment="0" applyProtection="0"/>
    <xf numFmtId="0" fontId="21" fillId="0" borderId="0"/>
    <xf numFmtId="0" fontId="175" fillId="0" borderId="0" applyNumberFormat="0" applyFill="0" applyBorder="0" applyAlignment="0" applyProtection="0"/>
    <xf numFmtId="0" fontId="1" fillId="0" borderId="0"/>
    <xf numFmtId="0" fontId="1" fillId="0" borderId="0"/>
  </cellStyleXfs>
  <cellXfs count="726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165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165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165" fontId="44" fillId="0" borderId="0" xfId="1448" applyNumberFormat="1" applyFont="1" applyAlignment="1">
      <alignment horizontal="center" wrapText="1"/>
    </xf>
    <xf numFmtId="0" fontId="111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1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167" fontId="52" fillId="0" borderId="0" xfId="1652" applyNumberFormat="1" applyFont="1"/>
    <xf numFmtId="0" fontId="111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1" fillId="0" borderId="26" xfId="1614" applyBorder="1" applyAlignment="1">
      <alignment horizontal="center" vertical="center"/>
    </xf>
    <xf numFmtId="37" fontId="111" fillId="0" borderId="27" xfId="1614" applyNumberFormat="1" applyBorder="1" applyAlignment="1">
      <alignment horizontal="center"/>
    </xf>
    <xf numFmtId="0" fontId="111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1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1" fillId="0" borderId="19" xfId="1614" applyBorder="1"/>
    <xf numFmtId="0" fontId="111" fillId="0" borderId="19" xfId="1614" applyBorder="1" applyAlignment="1">
      <alignment horizontal="right"/>
    </xf>
    <xf numFmtId="0" fontId="111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1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9" fontId="44" fillId="0" borderId="0" xfId="714" applyFont="1" applyFill="1" applyAlignment="1">
      <alignment horizontal="center" wrapText="1"/>
    </xf>
    <xf numFmtId="169" fontId="43" fillId="0" borderId="0" xfId="714" applyFont="1" applyFill="1" applyAlignment="1">
      <alignment horizontal="center" wrapText="1"/>
    </xf>
    <xf numFmtId="4" fontId="93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9" fontId="44" fillId="0" borderId="21" xfId="715" applyNumberFormat="1" applyFont="1" applyFill="1" applyBorder="1" applyAlignment="1">
      <alignment horizontal="center" vertical="center" wrapText="1"/>
    </xf>
    <xf numFmtId="169" fontId="44" fillId="0" borderId="21" xfId="714" applyFont="1" applyFill="1" applyBorder="1" applyAlignment="1">
      <alignment horizontal="center" vertical="center" wrapText="1"/>
    </xf>
    <xf numFmtId="169" fontId="44" fillId="0" borderId="33" xfId="714" applyFont="1" applyFill="1" applyBorder="1" applyAlignment="1">
      <alignment horizontal="center" vertical="center" wrapText="1"/>
    </xf>
    <xf numFmtId="167" fontId="43" fillId="0" borderId="0" xfId="1614" applyNumberFormat="1" applyFont="1" applyAlignment="1">
      <alignment horizontal="left" vertical="center"/>
    </xf>
    <xf numFmtId="37" fontId="111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4" fillId="0" borderId="21" xfId="1614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1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1" fillId="0" borderId="0" xfId="1615" applyAlignment="1">
      <alignment horizontal="center"/>
    </xf>
    <xf numFmtId="167" fontId="43" fillId="0" borderId="0" xfId="1615" applyNumberFormat="1" applyFont="1" applyAlignment="1">
      <alignment horizontal="left" vertical="center"/>
    </xf>
    <xf numFmtId="167" fontId="52" fillId="0" borderId="0" xfId="1653" applyNumberFormat="1" applyFont="1" applyAlignment="1">
      <alignment horizontal="left" vertical="center"/>
    </xf>
    <xf numFmtId="0" fontId="96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1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5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100" fillId="0" borderId="0" xfId="1614" applyNumberFormat="1" applyFont="1" applyAlignment="1">
      <alignment horizontal="center" vertical="center"/>
    </xf>
    <xf numFmtId="0" fontId="100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7" fontId="44" fillId="0" borderId="21" xfId="2549" applyNumberFormat="1" applyFont="1" applyFill="1" applyBorder="1" applyAlignment="1">
      <alignment horizontal="center" vertical="center" wrapText="1"/>
    </xf>
    <xf numFmtId="0" fontId="94" fillId="0" borderId="0" xfId="1448" applyFont="1" applyAlignment="1">
      <alignment horizontal="center" wrapText="1"/>
    </xf>
    <xf numFmtId="0" fontId="95" fillId="0" borderId="0" xfId="1448" applyFont="1" applyAlignment="1">
      <alignment wrapText="1"/>
    </xf>
    <xf numFmtId="0" fontId="102" fillId="0" borderId="0" xfId="1448" applyFont="1" applyAlignment="1">
      <alignment horizontal="center" wrapText="1"/>
    </xf>
    <xf numFmtId="0" fontId="101" fillId="0" borderId="0" xfId="1448" applyFont="1" applyAlignment="1">
      <alignment horizontal="center" wrapText="1"/>
    </xf>
    <xf numFmtId="0" fontId="101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/>
    </xf>
    <xf numFmtId="0" fontId="94" fillId="0" borderId="0" xfId="1448" applyFont="1" applyAlignment="1">
      <alignment horizontal="center" vertical="center"/>
    </xf>
    <xf numFmtId="0" fontId="94" fillId="0" borderId="0" xfId="1448" applyFont="1" applyAlignment="1">
      <alignment vertical="center" wrapText="1"/>
    </xf>
    <xf numFmtId="0" fontId="94" fillId="0" borderId="0" xfId="527" applyNumberFormat="1" applyFont="1" applyFill="1" applyBorder="1" applyAlignment="1">
      <alignment horizontal="center" wrapText="1"/>
    </xf>
    <xf numFmtId="165" fontId="95" fillId="0" borderId="0" xfId="1448" applyNumberFormat="1" applyFont="1" applyAlignment="1">
      <alignment wrapText="1"/>
    </xf>
    <xf numFmtId="165" fontId="95" fillId="0" borderId="0" xfId="527" applyNumberFormat="1" applyFont="1" applyFill="1" applyAlignment="1">
      <alignment wrapText="1"/>
    </xf>
    <xf numFmtId="0" fontId="95" fillId="0" borderId="0" xfId="1448" applyFont="1" applyAlignment="1">
      <alignment vertical="top" wrapText="1"/>
    </xf>
    <xf numFmtId="0" fontId="94" fillId="0" borderId="0" xfId="527" applyNumberFormat="1" applyFont="1" applyFill="1" applyAlignment="1">
      <alignment horizontal="center" wrapText="1"/>
    </xf>
    <xf numFmtId="0" fontId="95" fillId="0" borderId="0" xfId="527" applyNumberFormat="1" applyFont="1" applyFill="1" applyAlignment="1">
      <alignment horizontal="center" wrapText="1"/>
    </xf>
    <xf numFmtId="169" fontId="44" fillId="0" borderId="21" xfId="717" applyNumberFormat="1" applyFont="1" applyFill="1" applyBorder="1" applyAlignment="1" applyProtection="1">
      <alignment horizontal="center" vertical="center" wrapText="1"/>
    </xf>
    <xf numFmtId="165" fontId="44" fillId="0" borderId="21" xfId="1451" applyNumberFormat="1" applyFont="1" applyBorder="1" applyAlignment="1">
      <alignment horizontal="center" vertical="center" wrapText="1"/>
    </xf>
    <xf numFmtId="169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9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9" fontId="44" fillId="0" borderId="21" xfId="728" applyFont="1" applyFill="1" applyBorder="1" applyAlignment="1">
      <alignment horizontal="center" vertical="center" wrapText="1"/>
    </xf>
    <xf numFmtId="0" fontId="121" fillId="0" borderId="26" xfId="1451" applyFont="1" applyBorder="1"/>
    <xf numFmtId="0" fontId="121" fillId="0" borderId="36" xfId="1451" applyFont="1" applyBorder="1"/>
    <xf numFmtId="0" fontId="121" fillId="0" borderId="48" xfId="1451" applyFont="1" applyBorder="1"/>
    <xf numFmtId="0" fontId="121" fillId="0" borderId="28" xfId="1451" applyFont="1" applyBorder="1"/>
    <xf numFmtId="0" fontId="121" fillId="0" borderId="37" xfId="1451" applyFont="1" applyBorder="1"/>
    <xf numFmtId="0" fontId="116" fillId="0" borderId="37" xfId="1451" applyFont="1" applyBorder="1" applyAlignment="1">
      <alignment vertical="center"/>
    </xf>
    <xf numFmtId="0" fontId="121" fillId="0" borderId="34" xfId="1451" applyFont="1" applyBorder="1"/>
    <xf numFmtId="0" fontId="121" fillId="0" borderId="19" xfId="1451" applyFont="1" applyBorder="1"/>
    <xf numFmtId="0" fontId="116" fillId="0" borderId="19" xfId="1451" applyFont="1" applyBorder="1" applyAlignment="1">
      <alignment vertical="center"/>
    </xf>
    <xf numFmtId="0" fontId="116" fillId="0" borderId="19" xfId="1451" applyFont="1" applyBorder="1" applyAlignment="1">
      <alignment horizontal="center" vertical="center"/>
    </xf>
    <xf numFmtId="0" fontId="116" fillId="0" borderId="31" xfId="1451" applyFont="1" applyBorder="1" applyAlignment="1">
      <alignment vertical="center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9" fontId="43" fillId="0" borderId="3" xfId="715" applyNumberFormat="1" applyFont="1" applyFill="1" applyBorder="1" applyAlignment="1">
      <alignment horizontal="center" vertical="center" wrapText="1"/>
    </xf>
    <xf numFmtId="3" fontId="130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4" fillId="0" borderId="21" xfId="1615" applyFont="1" applyBorder="1" applyAlignment="1">
      <alignment vertical="top" wrapText="1"/>
    </xf>
    <xf numFmtId="167" fontId="129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0" fontId="97" fillId="0" borderId="0" xfId="2673" applyFont="1" applyAlignment="1">
      <alignment vertical="center" wrapText="1"/>
    </xf>
    <xf numFmtId="2" fontId="105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4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1" fillId="33" borderId="0" xfId="1451" applyFont="1" applyFill="1"/>
    <xf numFmtId="0" fontId="121" fillId="33" borderId="26" xfId="1451" applyFont="1" applyFill="1" applyBorder="1"/>
    <xf numFmtId="0" fontId="121" fillId="33" borderId="36" xfId="1451" applyFont="1" applyFill="1" applyBorder="1"/>
    <xf numFmtId="0" fontId="121" fillId="33" borderId="48" xfId="1451" applyFont="1" applyFill="1" applyBorder="1"/>
    <xf numFmtId="0" fontId="121" fillId="33" borderId="28" xfId="1451" applyFont="1" applyFill="1" applyBorder="1"/>
    <xf numFmtId="0" fontId="121" fillId="33" borderId="37" xfId="1451" applyFont="1" applyFill="1" applyBorder="1"/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horizontal="center" vertical="center"/>
    </xf>
    <xf numFmtId="0" fontId="125" fillId="33" borderId="0" xfId="1451" applyFont="1" applyFill="1"/>
    <xf numFmtId="0" fontId="126" fillId="33" borderId="0" xfId="1451" applyFont="1" applyFill="1"/>
    <xf numFmtId="0" fontId="116" fillId="33" borderId="0" xfId="1451" applyFont="1" applyFill="1" applyAlignment="1">
      <alignment vertical="center"/>
    </xf>
    <xf numFmtId="0" fontId="116" fillId="33" borderId="37" xfId="1451" applyFont="1" applyFill="1" applyBorder="1" applyAlignment="1">
      <alignment vertical="center"/>
    </xf>
    <xf numFmtId="0" fontId="126" fillId="33" borderId="0" xfId="1451" applyFont="1" applyFill="1" applyAlignment="1">
      <alignment horizontal="center"/>
    </xf>
    <xf numFmtId="0" fontId="116" fillId="33" borderId="0" xfId="1451" applyFont="1" applyFill="1" applyAlignment="1">
      <alignment horizontal="center" vertical="center"/>
    </xf>
    <xf numFmtId="0" fontId="116" fillId="33" borderId="37" xfId="1451" applyFont="1" applyFill="1" applyBorder="1" applyAlignment="1">
      <alignment horizontal="center" vertical="center"/>
    </xf>
    <xf numFmtId="0" fontId="127" fillId="33" borderId="0" xfId="1451" applyFont="1" applyFill="1" applyAlignment="1">
      <alignment vertical="center"/>
    </xf>
    <xf numFmtId="0" fontId="127" fillId="33" borderId="37" xfId="1451" applyFont="1" applyFill="1" applyBorder="1" applyAlignment="1">
      <alignment vertical="center"/>
    </xf>
    <xf numFmtId="0" fontId="121" fillId="33" borderId="34" xfId="1451" applyFont="1" applyFill="1" applyBorder="1"/>
    <xf numFmtId="0" fontId="121" fillId="33" borderId="19" xfId="1451" applyFont="1" applyFill="1" applyBorder="1"/>
    <xf numFmtId="0" fontId="116" fillId="33" borderId="19" xfId="1451" applyFont="1" applyFill="1" applyBorder="1" applyAlignment="1">
      <alignment vertical="center"/>
    </xf>
    <xf numFmtId="0" fontId="116" fillId="33" borderId="19" xfId="1451" applyFont="1" applyFill="1" applyBorder="1" applyAlignment="1">
      <alignment horizontal="center" vertical="center"/>
    </xf>
    <xf numFmtId="0" fontId="116" fillId="33" borderId="31" xfId="1451" applyFont="1" applyFill="1" applyBorder="1" applyAlignment="1">
      <alignment vertical="center"/>
    </xf>
    <xf numFmtId="0" fontId="121" fillId="33" borderId="31" xfId="1451" applyFont="1" applyFill="1" applyBorder="1"/>
    <xf numFmtId="0" fontId="115" fillId="33" borderId="0" xfId="0" applyFont="1" applyFill="1" applyAlignment="1">
      <alignment horizontal="center"/>
    </xf>
    <xf numFmtId="0" fontId="115" fillId="33" borderId="26" xfId="0" applyFont="1" applyFill="1" applyBorder="1" applyAlignment="1">
      <alignment horizontal="center"/>
    </xf>
    <xf numFmtId="0" fontId="115" fillId="33" borderId="36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5" fillId="33" borderId="37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37" fillId="33" borderId="0" xfId="0" applyFont="1" applyFill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5" fillId="33" borderId="38" xfId="0" applyFont="1" applyFill="1" applyBorder="1" applyAlignment="1">
      <alignment horizontal="center"/>
    </xf>
    <xf numFmtId="0" fontId="92" fillId="33" borderId="40" xfId="0" applyFont="1" applyFill="1" applyBorder="1" applyAlignment="1">
      <alignment horizontal="center" vertical="center"/>
    </xf>
    <xf numFmtId="0" fontId="92" fillId="33" borderId="47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 vertical="center"/>
    </xf>
    <xf numFmtId="0" fontId="115" fillId="33" borderId="39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/>
    </xf>
    <xf numFmtId="0" fontId="92" fillId="33" borderId="68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vertical="top" wrapText="1"/>
    </xf>
    <xf numFmtId="0" fontId="115" fillId="33" borderId="39" xfId="0" applyFont="1" applyFill="1" applyBorder="1" applyAlignment="1">
      <alignment vertical="top" wrapText="1"/>
    </xf>
    <xf numFmtId="0" fontId="119" fillId="33" borderId="69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9" fillId="33" borderId="7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20" fillId="33" borderId="71" xfId="0" applyFont="1" applyFill="1" applyBorder="1" applyAlignment="1">
      <alignment horizontal="center" vertical="top" wrapText="1"/>
    </xf>
    <xf numFmtId="0" fontId="120" fillId="33" borderId="72" xfId="0" applyFont="1" applyFill="1" applyBorder="1" applyAlignment="1">
      <alignment horizontal="center" vertical="top" wrapText="1"/>
    </xf>
    <xf numFmtId="0" fontId="115" fillId="33" borderId="0" xfId="0" applyFont="1" applyFill="1" applyAlignment="1">
      <alignment vertical="top" wrapText="1"/>
    </xf>
    <xf numFmtId="0" fontId="115" fillId="33" borderId="37" xfId="0" applyFont="1" applyFill="1" applyBorder="1" applyAlignment="1">
      <alignment vertical="top" wrapText="1"/>
    </xf>
    <xf numFmtId="0" fontId="115" fillId="33" borderId="42" xfId="0" applyFont="1" applyFill="1" applyBorder="1" applyAlignment="1">
      <alignment horizontal="center"/>
    </xf>
    <xf numFmtId="0" fontId="115" fillId="33" borderId="43" xfId="0" applyFont="1" applyFill="1" applyBorder="1" applyAlignment="1">
      <alignment vertical="top" wrapText="1"/>
    </xf>
    <xf numFmtId="0" fontId="115" fillId="33" borderId="44" xfId="0" applyFont="1" applyFill="1" applyBorder="1" applyAlignment="1">
      <alignment vertical="top" wrapText="1"/>
    </xf>
    <xf numFmtId="0" fontId="115" fillId="33" borderId="45" xfId="0" applyFont="1" applyFill="1" applyBorder="1" applyAlignment="1">
      <alignment vertical="top" wrapText="1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5" fillId="33" borderId="39" xfId="0" applyFont="1" applyFill="1" applyBorder="1" applyAlignment="1">
      <alignment horizontal="center"/>
    </xf>
    <xf numFmtId="20" fontId="115" fillId="33" borderId="39" xfId="0" applyNumberFormat="1" applyFont="1" applyFill="1" applyBorder="1" applyAlignment="1">
      <alignment horizontal="center"/>
    </xf>
    <xf numFmtId="0" fontId="115" fillId="33" borderId="42" xfId="0" applyFont="1" applyFill="1" applyBorder="1" applyAlignment="1">
      <alignment horizontal="center" vertical="center" wrapText="1"/>
    </xf>
    <xf numFmtId="0" fontId="120" fillId="33" borderId="34" xfId="0" applyFont="1" applyFill="1" applyBorder="1" applyAlignment="1">
      <alignment horizontal="center"/>
    </xf>
    <xf numFmtId="0" fontId="120" fillId="33" borderId="19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5" fillId="33" borderId="46" xfId="0" applyFont="1" applyFill="1" applyBorder="1" applyAlignment="1">
      <alignment horizontal="center"/>
    </xf>
    <xf numFmtId="0" fontId="147" fillId="0" borderId="7" xfId="2673" applyFont="1" applyBorder="1" applyAlignment="1">
      <alignment horizontal="center" vertical="center" wrapText="1"/>
    </xf>
    <xf numFmtId="0" fontId="97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165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36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right" vertical="center"/>
    </xf>
    <xf numFmtId="9" fontId="146" fillId="36" borderId="0" xfId="2671" applyFont="1" applyFill="1" applyBorder="1" applyAlignment="1" applyProtection="1">
      <alignment horizontal="right" vertical="center"/>
    </xf>
    <xf numFmtId="167" fontId="145" fillId="36" borderId="0" xfId="2672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0" fontId="146" fillId="36" borderId="0" xfId="2671" applyNumberFormat="1" applyFont="1" applyFill="1" applyBorder="1" applyAlignment="1" applyProtection="1">
      <alignment horizontal="right" vertical="center"/>
    </xf>
    <xf numFmtId="169" fontId="145" fillId="36" borderId="0" xfId="2672" applyNumberFormat="1" applyFont="1" applyFill="1" applyBorder="1" applyAlignment="1" applyProtection="1">
      <alignment horizontal="right" vertical="center"/>
    </xf>
    <xf numFmtId="0" fontId="139" fillId="0" borderId="0" xfId="2670" applyFont="1" applyAlignment="1">
      <alignment horizontal="left" vertical="center"/>
    </xf>
    <xf numFmtId="0" fontId="142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2" fillId="0" borderId="0" xfId="1538"/>
    <xf numFmtId="167" fontId="112" fillId="0" borderId="0" xfId="1538" applyNumberFormat="1"/>
    <xf numFmtId="0" fontId="61" fillId="0" borderId="0" xfId="1538" applyFont="1"/>
    <xf numFmtId="0" fontId="128" fillId="0" borderId="0" xfId="1538" applyFont="1"/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vertical="center"/>
    </xf>
    <xf numFmtId="0" fontId="112" fillId="38" borderId="0" xfId="1538" applyFill="1"/>
    <xf numFmtId="0" fontId="61" fillId="38" borderId="0" xfId="1538" applyFont="1" applyFill="1"/>
    <xf numFmtId="0" fontId="103" fillId="0" borderId="0" xfId="1538" applyFont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/>
    </xf>
    <xf numFmtId="0" fontId="112" fillId="0" borderId="0" xfId="1538" applyAlignment="1">
      <alignment horizontal="center" vertical="center"/>
    </xf>
    <xf numFmtId="1" fontId="112" fillId="0" borderId="0" xfId="1538" applyNumberFormat="1"/>
    <xf numFmtId="0" fontId="112" fillId="0" borderId="3" xfId="1538" applyBorder="1"/>
    <xf numFmtId="167" fontId="0" fillId="0" borderId="3" xfId="1026" applyFont="1" applyFill="1" applyBorder="1" applyProtection="1"/>
    <xf numFmtId="167" fontId="112" fillId="0" borderId="3" xfId="1538" applyNumberFormat="1" applyBorder="1"/>
    <xf numFmtId="167" fontId="140" fillId="0" borderId="3" xfId="1026" applyFont="1" applyBorder="1" applyProtection="1"/>
    <xf numFmtId="167" fontId="0" fillId="0" borderId="3" xfId="1026" applyFont="1" applyBorder="1" applyProtection="1"/>
    <xf numFmtId="167" fontId="128" fillId="0" borderId="3" xfId="1538" applyNumberFormat="1" applyFont="1" applyBorder="1"/>
    <xf numFmtId="0" fontId="61" fillId="0" borderId="3" xfId="1538" applyFont="1" applyBorder="1"/>
    <xf numFmtId="165" fontId="112" fillId="0" borderId="3" xfId="1538" applyNumberFormat="1" applyBorder="1"/>
    <xf numFmtId="167" fontId="104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167" fontId="49" fillId="0" borderId="3" xfId="1538" applyNumberFormat="1" applyFont="1" applyBorder="1"/>
    <xf numFmtId="0" fontId="112" fillId="29" borderId="0" xfId="1538" applyFill="1"/>
    <xf numFmtId="0" fontId="49" fillId="0" borderId="0" xfId="1538" applyFont="1" applyAlignment="1">
      <alignment horizontal="center"/>
    </xf>
    <xf numFmtId="167" fontId="49" fillId="0" borderId="0" xfId="1538" applyNumberFormat="1" applyFont="1"/>
    <xf numFmtId="0" fontId="112" fillId="29" borderId="3" xfId="1538" applyFill="1" applyBorder="1"/>
    <xf numFmtId="169" fontId="112" fillId="29" borderId="3" xfId="1538" applyNumberFormat="1" applyFill="1" applyBorder="1" applyAlignment="1">
      <alignment horizontal="right"/>
    </xf>
    <xf numFmtId="43" fontId="112" fillId="0" borderId="0" xfId="1538" applyNumberFormat="1"/>
    <xf numFmtId="167" fontId="112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2" fillId="29" borderId="3" xfId="1538" applyNumberFormat="1" applyFill="1" applyBorder="1"/>
    <xf numFmtId="10" fontId="112" fillId="29" borderId="3" xfId="1538" applyNumberFormat="1" applyFill="1" applyBorder="1"/>
    <xf numFmtId="0" fontId="149" fillId="0" borderId="0" xfId="1614" applyFont="1" applyAlignment="1">
      <alignment horizontal="center"/>
    </xf>
    <xf numFmtId="0" fontId="150" fillId="0" borderId="0" xfId="1614" applyFont="1" applyAlignment="1">
      <alignment horizontal="center" vertical="center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3" fontId="149" fillId="0" borderId="0" xfId="1614" applyNumberFormat="1" applyFont="1" applyAlignment="1">
      <alignment horizontal="center"/>
    </xf>
    <xf numFmtId="0" fontId="154" fillId="0" borderId="0" xfId="1614" applyFont="1"/>
    <xf numFmtId="167" fontId="154" fillId="0" borderId="0" xfId="1652" applyNumberFormat="1" applyFont="1"/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left" vertical="center"/>
    </xf>
    <xf numFmtId="0" fontId="154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0" fontId="154" fillId="0" borderId="0" xfId="1614" applyFont="1" applyAlignment="1">
      <alignment horizontal="center" vertical="center" wrapText="1"/>
    </xf>
    <xf numFmtId="0" fontId="151" fillId="0" borderId="0" xfId="1614" applyFont="1" applyAlignment="1">
      <alignment horizontal="center" vertical="center" wrapText="1"/>
    </xf>
    <xf numFmtId="3" fontId="150" fillId="0" borderId="0" xfId="1614" applyNumberFormat="1" applyFont="1" applyAlignment="1">
      <alignment vertical="center"/>
    </xf>
    <xf numFmtId="0" fontId="151" fillId="0" borderId="20" xfId="1615" applyFont="1" applyBorder="1" applyAlignment="1">
      <alignment horizontal="center" vertical="center"/>
    </xf>
    <xf numFmtId="0" fontId="151" fillId="0" borderId="21" xfId="1615" applyFont="1" applyBorder="1" applyAlignment="1">
      <alignment horizontal="left" vertical="center" wrapText="1"/>
    </xf>
    <xf numFmtId="0" fontId="150" fillId="0" borderId="21" xfId="1614" applyFont="1" applyBorder="1" applyAlignment="1">
      <alignment horizontal="center" vertical="center" wrapText="1"/>
    </xf>
    <xf numFmtId="0" fontId="157" fillId="0" borderId="21" xfId="1614" applyFont="1" applyBorder="1" applyAlignment="1">
      <alignment horizontal="center" vertical="center"/>
    </xf>
    <xf numFmtId="3" fontId="157" fillId="0" borderId="21" xfId="1614" applyNumberFormat="1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50" fillId="0" borderId="22" xfId="1614" applyNumberFormat="1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/>
    </xf>
    <xf numFmtId="3" fontId="149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51" fillId="0" borderId="20" xfId="1653" applyFont="1" applyBorder="1" applyAlignment="1">
      <alignment horizontal="center" vertical="center"/>
    </xf>
    <xf numFmtId="0" fontId="151" fillId="0" borderId="21" xfId="1451" applyFont="1" applyBorder="1" applyAlignment="1">
      <alignment horizontal="left" vertical="center" wrapText="1"/>
    </xf>
    <xf numFmtId="0" fontId="152" fillId="0" borderId="21" xfId="1653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6" fillId="0" borderId="20" xfId="1653" applyFont="1" applyBorder="1" applyAlignment="1">
      <alignment horizontal="center" vertical="center"/>
    </xf>
    <xf numFmtId="0" fontId="156" fillId="0" borderId="21" xfId="1653" applyFont="1" applyBorder="1" applyAlignment="1">
      <alignment vertical="center" wrapText="1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50" fillId="0" borderId="20" xfId="1652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57" fillId="0" borderId="21" xfId="1652" applyFont="1" applyBorder="1" applyAlignment="1">
      <alignment horizontal="center" vertical="center"/>
    </xf>
    <xf numFmtId="0" fontId="157" fillId="0" borderId="49" xfId="1652" applyFont="1" applyBorder="1" applyAlignment="1">
      <alignment horizontal="center" vertical="center"/>
    </xf>
    <xf numFmtId="0" fontId="157" fillId="0" borderId="3" xfId="1652" applyFont="1" applyBorder="1" applyAlignment="1">
      <alignment vertical="center" wrapText="1"/>
    </xf>
    <xf numFmtId="0" fontId="150" fillId="0" borderId="3" xfId="1614" applyFont="1" applyBorder="1" applyAlignment="1">
      <alignment horizontal="center" vertical="center" wrapText="1"/>
    </xf>
    <xf numFmtId="0" fontId="157" fillId="0" borderId="3" xfId="1614" applyFont="1" applyBorder="1" applyAlignment="1">
      <alignment horizontal="center" vertical="center"/>
    </xf>
    <xf numFmtId="0" fontId="157" fillId="0" borderId="3" xfId="1652" applyFont="1" applyBorder="1" applyAlignment="1">
      <alignment horizontal="center" vertical="center"/>
    </xf>
    <xf numFmtId="207" fontId="157" fillId="0" borderId="3" xfId="1614" applyNumberFormat="1" applyFont="1" applyBorder="1" applyAlignment="1">
      <alignment horizontal="center" vertical="center"/>
    </xf>
    <xf numFmtId="3" fontId="150" fillId="0" borderId="3" xfId="1614" applyNumberFormat="1" applyFont="1" applyBorder="1" applyAlignment="1">
      <alignment horizontal="center" vertical="center"/>
    </xf>
    <xf numFmtId="3" fontId="150" fillId="0" borderId="39" xfId="1614" applyNumberFormat="1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0" fillId="0" borderId="23" xfId="1614" applyFont="1" applyBorder="1" applyAlignment="1">
      <alignment horizontal="center" vertical="center"/>
    </xf>
    <xf numFmtId="0" fontId="150" fillId="0" borderId="24" xfId="1614" applyFont="1" applyBorder="1" applyAlignment="1">
      <alignment horizontal="left" vertical="center"/>
    </xf>
    <xf numFmtId="0" fontId="150" fillId="0" borderId="24" xfId="1614" applyFont="1" applyBorder="1" applyAlignment="1">
      <alignment vertical="center"/>
    </xf>
    <xf numFmtId="0" fontId="157" fillId="0" borderId="24" xfId="1614" applyFont="1" applyBorder="1" applyAlignment="1">
      <alignment horizontal="center" vertical="center"/>
    </xf>
    <xf numFmtId="3" fontId="150" fillId="0" borderId="24" xfId="1614" applyNumberFormat="1" applyFont="1" applyBorder="1" applyAlignment="1">
      <alignment horizontal="center" vertical="center"/>
    </xf>
    <xf numFmtId="3" fontId="150" fillId="0" borderId="25" xfId="1614" applyNumberFormat="1" applyFont="1" applyBorder="1" applyAlignment="1">
      <alignment horizontal="center" vertical="center"/>
    </xf>
    <xf numFmtId="0" fontId="152" fillId="0" borderId="26" xfId="1614" applyFont="1" applyBorder="1" applyAlignment="1">
      <alignment horizontal="center" vertical="center"/>
    </xf>
    <xf numFmtId="37" fontId="154" fillId="0" borderId="27" xfId="1614" applyNumberFormat="1" applyFont="1" applyBorder="1" applyAlignment="1">
      <alignment horizontal="center"/>
    </xf>
    <xf numFmtId="37" fontId="152" fillId="0" borderId="27" xfId="1614" applyNumberFormat="1" applyFont="1" applyBorder="1" applyAlignment="1">
      <alignment horizontal="center"/>
    </xf>
    <xf numFmtId="37" fontId="150" fillId="0" borderId="0" xfId="1614" applyNumberFormat="1" applyFont="1" applyAlignment="1">
      <alignment horizontal="center"/>
    </xf>
    <xf numFmtId="37" fontId="152" fillId="0" borderId="0" xfId="1614" applyNumberFormat="1" applyFont="1" applyAlignment="1">
      <alignment horizontal="center"/>
    </xf>
    <xf numFmtId="0" fontId="152" fillId="0" borderId="28" xfId="1614" applyFont="1" applyBorder="1" applyAlignment="1">
      <alignment horizontal="center" vertical="center"/>
    </xf>
    <xf numFmtId="37" fontId="154" fillId="0" borderId="29" xfId="1614" applyNumberFormat="1" applyFont="1" applyBorder="1" applyAlignment="1">
      <alignment horizontal="center"/>
    </xf>
    <xf numFmtId="37" fontId="152" fillId="0" borderId="29" xfId="1614" applyNumberFormat="1" applyFont="1" applyBorder="1" applyAlignment="1">
      <alignment horizontal="center"/>
    </xf>
    <xf numFmtId="37" fontId="158" fillId="0" borderId="0" xfId="1614" applyNumberFormat="1" applyFont="1" applyAlignment="1">
      <alignment horizontal="center"/>
    </xf>
    <xf numFmtId="37" fontId="158" fillId="0" borderId="30" xfId="1614" applyNumberFormat="1" applyFont="1" applyBorder="1" applyAlignment="1">
      <alignment horizontal="center"/>
    </xf>
    <xf numFmtId="37" fontId="158" fillId="0" borderId="32" xfId="1614" applyNumberFormat="1" applyFont="1" applyBorder="1" applyAlignment="1">
      <alignment horizontal="center"/>
    </xf>
    <xf numFmtId="0" fontId="149" fillId="0" borderId="0" xfId="1614" applyFont="1" applyAlignment="1">
      <alignment horizontal="center" vertical="center"/>
    </xf>
    <xf numFmtId="0" fontId="158" fillId="0" borderId="34" xfId="1614" applyFont="1" applyBorder="1" applyAlignment="1">
      <alignment vertical="center"/>
    </xf>
    <xf numFmtId="0" fontId="152" fillId="0" borderId="19" xfId="1614" applyFont="1" applyBorder="1"/>
    <xf numFmtId="0" fontId="152" fillId="0" borderId="19" xfId="1614" applyFont="1" applyBorder="1" applyAlignment="1">
      <alignment horizontal="center"/>
    </xf>
    <xf numFmtId="0" fontId="152" fillId="0" borderId="19" xfId="1614" applyFont="1" applyBorder="1" applyAlignment="1">
      <alignment horizontal="right"/>
    </xf>
    <xf numFmtId="0" fontId="152" fillId="0" borderId="31" xfId="1614" applyFont="1" applyBorder="1" applyAlignment="1">
      <alignment horizontal="right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7" fillId="0" borderId="0" xfId="1614" applyFont="1" applyAlignment="1">
      <alignment horizontal="center" vertical="center"/>
    </xf>
    <xf numFmtId="165" fontId="157" fillId="0" borderId="0" xfId="1652" applyNumberFormat="1" applyFont="1" applyAlignment="1">
      <alignment vertical="center"/>
    </xf>
    <xf numFmtId="0" fontId="152" fillId="0" borderId="0" xfId="1652" applyFont="1" applyAlignment="1">
      <alignment horizontal="right"/>
    </xf>
    <xf numFmtId="0" fontId="159" fillId="0" borderId="0" xfId="1644" applyFont="1" applyAlignment="1">
      <alignment horizontal="center" vertical="center"/>
    </xf>
    <xf numFmtId="0" fontId="157" fillId="0" borderId="0" xfId="1652" applyFont="1" applyAlignment="1">
      <alignment vertical="center"/>
    </xf>
    <xf numFmtId="0" fontId="160" fillId="39" borderId="83" xfId="2670" applyFont="1" applyFill="1" applyBorder="1" applyAlignment="1">
      <alignment horizontal="left" vertical="center"/>
    </xf>
    <xf numFmtId="0" fontId="160" fillId="39" borderId="84" xfId="2670" applyFont="1" applyFill="1" applyBorder="1" applyAlignment="1">
      <alignment horizontal="center" vertical="center"/>
    </xf>
    <xf numFmtId="0" fontId="160" fillId="39" borderId="86" xfId="2670" applyFont="1" applyFill="1" applyBorder="1" applyAlignment="1">
      <alignment horizontal="left" vertical="center"/>
    </xf>
    <xf numFmtId="0" fontId="160" fillId="39" borderId="82" xfId="2670" applyFont="1" applyFill="1" applyBorder="1" applyAlignment="1">
      <alignment horizontal="center" vertical="center"/>
    </xf>
    <xf numFmtId="0" fontId="160" fillId="39" borderId="88" xfId="2670" applyFont="1" applyFill="1" applyBorder="1" applyAlignment="1">
      <alignment horizontal="left" vertical="center"/>
    </xf>
    <xf numFmtId="0" fontId="160" fillId="39" borderId="89" xfId="2670" applyFont="1" applyFill="1" applyBorder="1" applyAlignment="1">
      <alignment horizontal="center" vertical="center"/>
    </xf>
    <xf numFmtId="167" fontId="141" fillId="40" borderId="85" xfId="2672" applyFont="1" applyFill="1" applyBorder="1" applyAlignment="1" applyProtection="1">
      <alignment horizontal="right" vertical="center" wrapText="1"/>
      <protection locked="0"/>
    </xf>
    <xf numFmtId="167" fontId="141" fillId="40" borderId="87" xfId="2672" applyFont="1" applyFill="1" applyBorder="1" applyAlignment="1" applyProtection="1">
      <alignment horizontal="right" vertical="center"/>
      <protection locked="0"/>
    </xf>
    <xf numFmtId="169" fontId="141" fillId="40" borderId="87" xfId="2672" applyNumberFormat="1" applyFont="1" applyFill="1" applyBorder="1" applyAlignment="1" applyProtection="1">
      <alignment horizontal="right" vertical="center"/>
      <protection locked="0"/>
    </xf>
    <xf numFmtId="169" fontId="141" fillId="40" borderId="90" xfId="2672" applyNumberFormat="1" applyFont="1" applyFill="1" applyBorder="1" applyAlignment="1" applyProtection="1">
      <alignment horizontal="right" vertical="center"/>
      <protection locked="0"/>
    </xf>
    <xf numFmtId="0" fontId="121" fillId="0" borderId="0" xfId="1451" applyFont="1"/>
    <xf numFmtId="0" fontId="122" fillId="0" borderId="0" xfId="1451" applyFont="1" applyAlignment="1">
      <alignment vertical="center"/>
    </xf>
    <xf numFmtId="0" fontId="148" fillId="0" borderId="0" xfId="1451" applyFont="1"/>
    <xf numFmtId="0" fontId="123" fillId="0" borderId="0" xfId="1451" applyFont="1" applyAlignment="1">
      <alignment vertical="center"/>
    </xf>
    <xf numFmtId="0" fontId="124" fillId="0" borderId="0" xfId="1451" applyFont="1" applyAlignment="1">
      <alignment horizontal="center" vertical="center"/>
    </xf>
    <xf numFmtId="0" fontId="125" fillId="0" borderId="0" xfId="1451" applyFont="1"/>
    <xf numFmtId="0" fontId="126" fillId="0" borderId="0" xfId="1451" applyFont="1"/>
    <xf numFmtId="0" fontId="116" fillId="0" borderId="0" xfId="1451" applyFont="1" applyAlignment="1">
      <alignment vertical="center"/>
    </xf>
    <xf numFmtId="0" fontId="116" fillId="0" borderId="0" xfId="1451" applyFont="1" applyAlignment="1">
      <alignment horizontal="center" vertical="center"/>
    </xf>
    <xf numFmtId="0" fontId="121" fillId="0" borderId="0" xfId="1451" applyFont="1" applyAlignment="1">
      <alignment horizontal="center" vertical="center"/>
    </xf>
    <xf numFmtId="0" fontId="121" fillId="0" borderId="0" xfId="1451" applyFont="1" applyAlignment="1">
      <alignment horizontal="center"/>
    </xf>
    <xf numFmtId="0" fontId="123" fillId="35" borderId="0" xfId="1451" applyFont="1" applyFill="1" applyAlignment="1">
      <alignment vertical="center"/>
    </xf>
    <xf numFmtId="0" fontId="126" fillId="0" borderId="19" xfId="1451" applyFont="1" applyBorder="1" applyAlignment="1">
      <alignment horizontal="center"/>
    </xf>
    <xf numFmtId="0" fontId="126" fillId="0" borderId="19" xfId="1451" applyFont="1" applyBorder="1"/>
    <xf numFmtId="1" fontId="107" fillId="0" borderId="0" xfId="2673" applyNumberFormat="1" applyFont="1" applyAlignment="1">
      <alignment horizontal="center" vertical="center" wrapText="1"/>
    </xf>
    <xf numFmtId="1" fontId="105" fillId="0" borderId="0" xfId="2673" applyNumberFormat="1" applyFont="1" applyAlignment="1">
      <alignment horizontal="center" vertical="center" wrapText="1"/>
    </xf>
    <xf numFmtId="0" fontId="106" fillId="0" borderId="62" xfId="2673" applyFont="1" applyBorder="1" applyAlignment="1">
      <alignment horizontal="center" vertical="center" wrapText="1"/>
    </xf>
    <xf numFmtId="0" fontId="164" fillId="0" borderId="0" xfId="2673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66" fillId="0" borderId="0" xfId="2673" applyFont="1" applyAlignment="1">
      <alignment vertical="center" wrapText="1"/>
    </xf>
    <xf numFmtId="0" fontId="147" fillId="35" borderId="94" xfId="2673" applyFont="1" applyFill="1" applyBorder="1" applyAlignment="1">
      <alignment vertical="center" wrapText="1"/>
    </xf>
    <xf numFmtId="0" fontId="147" fillId="43" borderId="94" xfId="2673" applyFont="1" applyFill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5" fillId="35" borderId="32" xfId="2673" applyFont="1" applyFill="1" applyBorder="1" applyAlignment="1">
      <alignment vertical="center" wrapText="1"/>
    </xf>
    <xf numFmtId="0" fontId="135" fillId="43" borderId="32" xfId="2673" applyFont="1" applyFill="1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2" fontId="135" fillId="0" borderId="0" xfId="2673" applyNumberFormat="1" applyFont="1" applyAlignment="1">
      <alignment horizontal="center" vertical="center" wrapText="1"/>
    </xf>
    <xf numFmtId="0" fontId="106" fillId="0" borderId="3" xfId="2673" applyFont="1" applyBorder="1" applyAlignment="1">
      <alignment horizontal="center" vertical="center" wrapText="1"/>
    </xf>
    <xf numFmtId="0" fontId="147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5" fillId="0" borderId="0" xfId="2675" applyFont="1" applyFill="1" applyBorder="1" applyAlignment="1">
      <alignment horizontal="center" vertical="center" wrapText="1"/>
    </xf>
    <xf numFmtId="1" fontId="135" fillId="0" borderId="50" xfId="2673" applyNumberFormat="1" applyFont="1" applyBorder="1" applyAlignment="1">
      <alignment vertical="center" wrapText="1"/>
    </xf>
    <xf numFmtId="0" fontId="171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2" fontId="171" fillId="0" borderId="0" xfId="2673" applyNumberFormat="1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72" fillId="0" borderId="0" xfId="2673" applyFont="1" applyAlignment="1">
      <alignment vertical="center" wrapText="1"/>
    </xf>
    <xf numFmtId="0" fontId="147" fillId="35" borderId="51" xfId="2673" applyFont="1" applyFill="1" applyBorder="1" applyAlignment="1">
      <alignment vertical="center" wrapText="1"/>
    </xf>
    <xf numFmtId="0" fontId="147" fillId="0" borderId="53" xfId="2673" applyFont="1" applyBorder="1" applyAlignment="1">
      <alignment horizontal="center" vertical="center" wrapText="1"/>
    </xf>
    <xf numFmtId="0" fontId="147" fillId="35" borderId="49" xfId="2673" applyFont="1" applyFill="1" applyBorder="1" applyAlignment="1">
      <alignment vertical="center" wrapText="1"/>
    </xf>
    <xf numFmtId="1" fontId="135" fillId="0" borderId="58" xfId="2673" applyNumberFormat="1" applyFont="1" applyBorder="1" applyAlignment="1">
      <alignment vertical="center" wrapText="1"/>
    </xf>
    <xf numFmtId="0" fontId="135" fillId="35" borderId="49" xfId="2673" applyFont="1" applyFill="1" applyBorder="1" applyAlignment="1">
      <alignment vertical="center" wrapText="1"/>
    </xf>
    <xf numFmtId="0" fontId="135" fillId="35" borderId="98" xfId="2673" applyFont="1" applyFill="1" applyBorder="1" applyAlignment="1">
      <alignment vertical="center" wrapText="1"/>
    </xf>
    <xf numFmtId="0" fontId="106" fillId="0" borderId="64" xfId="2673" applyFont="1" applyBorder="1" applyAlignment="1">
      <alignment horizontal="center" vertical="center" wrapText="1"/>
    </xf>
    <xf numFmtId="0" fontId="147" fillId="0" borderId="51" xfId="2673" applyFont="1" applyBorder="1" applyAlignment="1">
      <alignment vertical="center" wrapText="1"/>
    </xf>
    <xf numFmtId="0" fontId="147" fillId="0" borderId="49" xfId="2673" applyFont="1" applyBorder="1" applyAlignment="1">
      <alignment vertical="center" wrapText="1"/>
    </xf>
    <xf numFmtId="0" fontId="135" fillId="0" borderId="49" xfId="2673" applyFont="1" applyBorder="1" applyAlignment="1">
      <alignment vertical="center" wrapText="1"/>
    </xf>
    <xf numFmtId="0" fontId="135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10" fillId="0" borderId="21" xfId="1614" applyFont="1" applyBorder="1" applyAlignment="1">
      <alignment horizontal="center" vertical="center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41" fontId="153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28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7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0" fontId="116" fillId="33" borderId="0" xfId="0" applyFont="1" applyFill="1" applyAlignment="1">
      <alignment horizontal="left"/>
    </xf>
    <xf numFmtId="169" fontId="145" fillId="47" borderId="0" xfId="2672" applyNumberFormat="1" applyFont="1" applyFill="1" applyBorder="1" applyAlignment="1" applyProtection="1">
      <alignment horizontal="right" vertical="center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vertical="center" wrapText="1"/>
    </xf>
    <xf numFmtId="0" fontId="128" fillId="0" borderId="20" xfId="1652" applyFont="1" applyBorder="1" applyAlignment="1">
      <alignment horizontal="center" vertical="center"/>
    </xf>
    <xf numFmtId="0" fontId="128" fillId="0" borderId="21" xfId="1652" applyFont="1" applyBorder="1" applyAlignment="1">
      <alignment horizontal="left" vertical="center" wrapText="1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4" fillId="0" borderId="20" xfId="1652" applyFont="1" applyBorder="1" applyAlignment="1">
      <alignment horizontal="center" vertical="center"/>
    </xf>
    <xf numFmtId="0" fontId="175" fillId="33" borderId="0" xfId="2678" applyFill="1"/>
    <xf numFmtId="0" fontId="3" fillId="0" borderId="21" xfId="1652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44" fillId="0" borderId="21" xfId="1450" applyFont="1" applyBorder="1" applyAlignment="1">
      <alignment vertical="center" wrapText="1"/>
    </xf>
    <xf numFmtId="0" fontId="156" fillId="48" borderId="21" xfId="1652" applyFont="1" applyFill="1" applyBorder="1" applyAlignment="1">
      <alignment vertical="center" wrapText="1"/>
    </xf>
    <xf numFmtId="0" fontId="114" fillId="0" borderId="20" xfId="1652" applyFont="1" applyBorder="1" applyAlignment="1">
      <alignment horizontal="center" vertical="center"/>
    </xf>
    <xf numFmtId="0" fontId="44" fillId="0" borderId="21" xfId="0" applyFont="1" applyBorder="1" applyAlignment="1">
      <alignment horizontal="left" vertical="center" wrapText="1"/>
    </xf>
    <xf numFmtId="3" fontId="10" fillId="0" borderId="21" xfId="1599" applyNumberFormat="1" applyFont="1" applyBorder="1" applyAlignment="1">
      <alignment horizontal="center" vertical="center"/>
    </xf>
    <xf numFmtId="0" fontId="114" fillId="0" borderId="21" xfId="1652" applyFont="1" applyBorder="1" applyAlignment="1">
      <alignment vertical="center"/>
    </xf>
    <xf numFmtId="0" fontId="3" fillId="0" borderId="21" xfId="1652" applyFont="1" applyBorder="1" applyAlignment="1">
      <alignment horizontal="left" vertical="center" wrapText="1"/>
    </xf>
    <xf numFmtId="0" fontId="44" fillId="0" borderId="20" xfId="1652" applyFont="1" applyBorder="1" applyAlignment="1">
      <alignment horizontal="center" vertical="center"/>
    </xf>
    <xf numFmtId="0" fontId="44" fillId="0" borderId="21" xfId="1652" applyFont="1" applyBorder="1" applyAlignment="1">
      <alignment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16" fillId="33" borderId="0" xfId="2679" applyFont="1" applyFill="1" applyAlignment="1">
      <alignment horizontal="left"/>
    </xf>
    <xf numFmtId="0" fontId="92" fillId="0" borderId="40" xfId="1450" applyFont="1" applyBorder="1" applyAlignment="1">
      <alignment horizontal="center" vertical="center"/>
    </xf>
    <xf numFmtId="0" fontId="92" fillId="0" borderId="47" xfId="1450" applyFont="1" applyBorder="1" applyAlignment="1">
      <alignment horizontal="center" vertical="center"/>
    </xf>
    <xf numFmtId="0" fontId="92" fillId="33" borderId="40" xfId="2680" applyFont="1" applyFill="1" applyBorder="1" applyAlignment="1">
      <alignment horizontal="center" vertical="center"/>
    </xf>
    <xf numFmtId="0" fontId="92" fillId="33" borderId="47" xfId="2680" applyFont="1" applyFill="1" applyBorder="1" applyAlignment="1">
      <alignment horizontal="center" vertical="center"/>
    </xf>
    <xf numFmtId="0" fontId="119" fillId="33" borderId="69" xfId="2680" applyFont="1" applyFill="1" applyBorder="1" applyAlignment="1">
      <alignment horizontal="center" vertical="center"/>
    </xf>
    <xf numFmtId="0" fontId="92" fillId="33" borderId="68" xfId="2680" applyFont="1" applyFill="1" applyBorder="1" applyAlignment="1">
      <alignment horizontal="center" vertical="center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66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2" xfId="1615" applyNumberFormat="1" applyFont="1" applyFill="1" applyBorder="1" applyAlignment="1">
      <alignment horizontal="center" vertical="center"/>
    </xf>
    <xf numFmtId="3" fontId="43" fillId="31" borderId="43" xfId="1615" applyNumberFormat="1" applyFont="1" applyFill="1" applyBorder="1" applyAlignment="1">
      <alignment horizontal="center" vertical="center"/>
    </xf>
    <xf numFmtId="3" fontId="43" fillId="31" borderId="67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6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47" fillId="0" borderId="0" xfId="1652" applyFont="1" applyAlignment="1">
      <alignment horizontal="center" vertical="center"/>
    </xf>
    <xf numFmtId="0" fontId="111" fillId="0" borderId="0" xfId="1652" applyAlignment="1">
      <alignment horizontal="center" vertic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8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1" fillId="0" borderId="36" xfId="1614" applyNumberFormat="1" applyBorder="1" applyAlignment="1">
      <alignment horizontal="center"/>
    </xf>
    <xf numFmtId="37" fontId="111" fillId="0" borderId="0" xfId="1614" applyNumberFormat="1" applyAlignment="1">
      <alignment horizontal="center"/>
    </xf>
    <xf numFmtId="0" fontId="52" fillId="0" borderId="3" xfId="1614" applyFont="1" applyBorder="1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0" fillId="0" borderId="51" xfId="1614" applyFont="1" applyBorder="1" applyAlignment="1">
      <alignment horizontal="center" vertical="center"/>
    </xf>
    <xf numFmtId="0" fontId="50" fillId="0" borderId="49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53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54" xfId="1614" applyFont="1" applyBorder="1" applyAlignment="1">
      <alignment horizontal="center" vertical="center"/>
    </xf>
    <xf numFmtId="169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8" fillId="0" borderId="96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97" xfId="2673" applyBorder="1" applyAlignment="1">
      <alignment horizontal="center" vertical="center" wrapText="1"/>
    </xf>
    <xf numFmtId="9" fontId="171" fillId="0" borderId="0" xfId="2675" applyFont="1" applyFill="1" applyBorder="1" applyAlignment="1">
      <alignment horizontal="center" vertical="center" wrapText="1"/>
    </xf>
    <xf numFmtId="0" fontId="168" fillId="37" borderId="0" xfId="2673" applyFont="1" applyFill="1" applyAlignment="1">
      <alignment horizontal="left" vertical="center" wrapText="1"/>
    </xf>
    <xf numFmtId="43" fontId="147" fillId="35" borderId="7" xfId="2673" applyNumberFormat="1" applyFont="1" applyFill="1" applyBorder="1" applyAlignment="1">
      <alignment horizontal="center" vertical="center" wrapText="1"/>
    </xf>
    <xf numFmtId="0" fontId="147" fillId="35" borderId="58" xfId="2673" applyFont="1" applyFill="1" applyBorder="1" applyAlignment="1">
      <alignment horizontal="center" vertical="center" wrapText="1"/>
    </xf>
    <xf numFmtId="2" fontId="135" fillId="35" borderId="62" xfId="2673" applyNumberFormat="1" applyFont="1" applyFill="1" applyBorder="1" applyAlignment="1">
      <alignment horizontal="center" vertical="center" wrapText="1"/>
    </xf>
    <xf numFmtId="2" fontId="135" fillId="35" borderId="95" xfId="2673" applyNumberFormat="1" applyFont="1" applyFill="1" applyBorder="1" applyAlignment="1">
      <alignment horizontal="center" vertical="center" wrapText="1"/>
    </xf>
    <xf numFmtId="0" fontId="164" fillId="41" borderId="91" xfId="2673" applyFont="1" applyFill="1" applyBorder="1" applyAlignment="1">
      <alignment horizontal="center" vertical="center" wrapText="1"/>
    </xf>
    <xf numFmtId="0" fontId="164" fillId="41" borderId="92" xfId="2673" applyFont="1" applyFill="1" applyBorder="1" applyAlignment="1">
      <alignment horizontal="center" vertical="center" wrapText="1"/>
    </xf>
    <xf numFmtId="0" fontId="164" fillId="41" borderId="93" xfId="2673" applyFont="1" applyFill="1" applyBorder="1" applyAlignment="1">
      <alignment horizontal="center" vertical="center" wrapText="1"/>
    </xf>
    <xf numFmtId="0" fontId="135" fillId="35" borderId="7" xfId="2673" applyFont="1" applyFill="1" applyBorder="1" applyAlignment="1">
      <alignment horizontal="center" vertical="center" wrapText="1"/>
    </xf>
    <xf numFmtId="0" fontId="135" fillId="35" borderId="58" xfId="2673" applyFont="1" applyFill="1" applyBorder="1" applyAlignment="1">
      <alignment horizontal="center" vertical="center" wrapText="1"/>
    </xf>
    <xf numFmtId="1" fontId="147" fillId="35" borderId="7" xfId="2673" applyNumberFormat="1" applyFont="1" applyFill="1" applyBorder="1" applyAlignment="1">
      <alignment horizontal="center" vertical="center" wrapText="1"/>
    </xf>
    <xf numFmtId="1" fontId="147" fillId="35" borderId="58" xfId="2673" applyNumberFormat="1" applyFont="1" applyFill="1" applyBorder="1" applyAlignment="1">
      <alignment horizontal="center" vertical="center" wrapText="1"/>
    </xf>
    <xf numFmtId="43" fontId="147" fillId="0" borderId="53" xfId="2673" applyNumberFormat="1" applyFont="1" applyBorder="1" applyAlignment="1">
      <alignment horizontal="center" vertical="center" wrapText="1"/>
    </xf>
    <xf numFmtId="0" fontId="147" fillId="0" borderId="54" xfId="2673" applyFont="1" applyBorder="1" applyAlignment="1">
      <alignment horizontal="center" vertical="center" wrapText="1"/>
    </xf>
    <xf numFmtId="9" fontId="135" fillId="0" borderId="64" xfId="2675" applyFont="1" applyFill="1" applyBorder="1" applyAlignment="1">
      <alignment horizontal="center" vertical="center" wrapText="1"/>
    </xf>
    <xf numFmtId="9" fontId="135" fillId="0" borderId="65" xfId="2675" applyFont="1" applyFill="1" applyBorder="1" applyAlignment="1">
      <alignment horizontal="center" vertical="center" wrapText="1"/>
    </xf>
    <xf numFmtId="1" fontId="147" fillId="0" borderId="3" xfId="2673" applyNumberFormat="1" applyFont="1" applyBorder="1" applyAlignment="1">
      <alignment horizontal="center" vertical="center" wrapText="1"/>
    </xf>
    <xf numFmtId="1" fontId="147" fillId="0" borderId="39" xfId="2673" applyNumberFormat="1" applyFont="1" applyBorder="1" applyAlignment="1">
      <alignment horizontal="center" vertical="center" wrapText="1"/>
    </xf>
    <xf numFmtId="2" fontId="135" fillId="0" borderId="3" xfId="2673" applyNumberFormat="1" applyFont="1" applyBorder="1" applyAlignment="1">
      <alignment horizontal="center" vertical="center" wrapText="1"/>
    </xf>
    <xf numFmtId="2" fontId="135" fillId="0" borderId="39" xfId="2673" applyNumberFormat="1" applyFont="1" applyBorder="1" applyAlignment="1">
      <alignment horizontal="center" vertical="center" wrapText="1"/>
    </xf>
    <xf numFmtId="9" fontId="135" fillId="35" borderId="64" xfId="2675" applyFont="1" applyFill="1" applyBorder="1" applyAlignment="1">
      <alignment horizontal="center" vertical="center" wrapText="1"/>
    </xf>
    <xf numFmtId="9" fontId="135" fillId="35" borderId="65" xfId="2675" applyFont="1" applyFill="1" applyBorder="1" applyAlignment="1">
      <alignment horizontal="center" vertical="center" wrapText="1"/>
    </xf>
    <xf numFmtId="2" fontId="135" fillId="35" borderId="3" xfId="2673" applyNumberFormat="1" applyFont="1" applyFill="1" applyBorder="1" applyAlignment="1">
      <alignment horizontal="center" vertical="center" wrapText="1"/>
    </xf>
    <xf numFmtId="2" fontId="135" fillId="35" borderId="39" xfId="2673" applyNumberFormat="1" applyFont="1" applyFill="1" applyBorder="1" applyAlignment="1">
      <alignment horizontal="center" vertical="center" wrapText="1"/>
    </xf>
    <xf numFmtId="0" fontId="167" fillId="0" borderId="50" xfId="2673" applyFont="1" applyBorder="1" applyAlignment="1">
      <alignment horizontal="center" vertical="center" wrapText="1"/>
    </xf>
    <xf numFmtId="0" fontId="167" fillId="0" borderId="58" xfId="2673" applyFont="1" applyBorder="1" applyAlignment="1">
      <alignment horizontal="center" vertical="center" wrapText="1"/>
    </xf>
    <xf numFmtId="0" fontId="167" fillId="44" borderId="3" xfId="2673" applyFont="1" applyFill="1" applyBorder="1" applyAlignment="1">
      <alignment horizontal="center" vertical="center" wrapText="1"/>
    </xf>
    <xf numFmtId="0" fontId="167" fillId="44" borderId="39" xfId="2673" applyFont="1" applyFill="1" applyBorder="1" applyAlignment="1">
      <alignment horizontal="center" vertical="center" wrapText="1"/>
    </xf>
    <xf numFmtId="1" fontId="135" fillId="0" borderId="3" xfId="2673" applyNumberFormat="1" applyFont="1" applyBorder="1" applyAlignment="1">
      <alignment horizontal="center" vertical="center" wrapText="1"/>
    </xf>
    <xf numFmtId="1" fontId="135" fillId="0" borderId="39" xfId="2673" applyNumberFormat="1" applyFont="1" applyBorder="1" applyAlignment="1">
      <alignment horizontal="center" vertical="center" wrapText="1"/>
    </xf>
    <xf numFmtId="2" fontId="135" fillId="45" borderId="3" xfId="2673" applyNumberFormat="1" applyFont="1" applyFill="1" applyBorder="1" applyAlignment="1">
      <alignment horizontal="center" vertical="center" wrapText="1"/>
    </xf>
    <xf numFmtId="2" fontId="135" fillId="45" borderId="39" xfId="2673" applyNumberFormat="1" applyFont="1" applyFill="1" applyBorder="1" applyAlignment="1">
      <alignment horizontal="center" vertical="center" wrapText="1"/>
    </xf>
    <xf numFmtId="0" fontId="164" fillId="42" borderId="91" xfId="2673" applyFont="1" applyFill="1" applyBorder="1" applyAlignment="1">
      <alignment horizontal="center" vertical="center" wrapText="1"/>
    </xf>
    <xf numFmtId="0" fontId="164" fillId="42" borderId="92" xfId="2673" applyFont="1" applyFill="1" applyBorder="1" applyAlignment="1">
      <alignment horizontal="center" vertical="center" wrapText="1"/>
    </xf>
    <xf numFmtId="0" fontId="164" fillId="42" borderId="93" xfId="2673" applyFont="1" applyFill="1" applyBorder="1" applyAlignment="1">
      <alignment horizontal="center" vertical="center" wrapText="1"/>
    </xf>
    <xf numFmtId="43" fontId="147" fillId="43" borderId="7" xfId="2673" applyNumberFormat="1" applyFont="1" applyFill="1" applyBorder="1" applyAlignment="1">
      <alignment horizontal="center" vertical="center" wrapText="1"/>
    </xf>
    <xf numFmtId="0" fontId="147" fillId="43" borderId="58" xfId="2673" applyFont="1" applyFill="1" applyBorder="1" applyAlignment="1">
      <alignment horizontal="center" vertical="center" wrapText="1"/>
    </xf>
    <xf numFmtId="1" fontId="135" fillId="43" borderId="7" xfId="2673" applyNumberFormat="1" applyFont="1" applyFill="1" applyBorder="1" applyAlignment="1">
      <alignment horizontal="center" vertical="center" wrapText="1"/>
    </xf>
    <xf numFmtId="1" fontId="135" fillId="43" borderId="58" xfId="2673" applyNumberFormat="1" applyFont="1" applyFill="1" applyBorder="1" applyAlignment="1">
      <alignment horizontal="center" vertical="center" wrapText="1"/>
    </xf>
    <xf numFmtId="0" fontId="135" fillId="43" borderId="7" xfId="2673" applyFont="1" applyFill="1" applyBorder="1" applyAlignment="1">
      <alignment horizontal="center" vertical="center" wrapText="1"/>
    </xf>
    <xf numFmtId="0" fontId="135" fillId="43" borderId="58" xfId="2673" applyFont="1" applyFill="1" applyBorder="1" applyAlignment="1">
      <alignment horizontal="center" vertical="center" wrapText="1"/>
    </xf>
    <xf numFmtId="2" fontId="135" fillId="43" borderId="62" xfId="2673" applyNumberFormat="1" applyFont="1" applyFill="1" applyBorder="1" applyAlignment="1">
      <alignment horizontal="center" vertical="center" wrapText="1"/>
    </xf>
    <xf numFmtId="2" fontId="135" fillId="43" borderId="95" xfId="2673" applyNumberFormat="1" applyFont="1" applyFill="1" applyBorder="1" applyAlignment="1">
      <alignment horizontal="center" vertical="center" wrapText="1"/>
    </xf>
    <xf numFmtId="0" fontId="9" fillId="34" borderId="77" xfId="2670" applyFill="1" applyBorder="1" applyAlignment="1">
      <alignment horizontal="center" vertical="center"/>
    </xf>
    <xf numFmtId="0" fontId="139" fillId="0" borderId="78" xfId="2670" applyFont="1" applyBorder="1" applyAlignment="1">
      <alignment horizontal="left" vertical="center"/>
    </xf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horizontal="center" vertical="center"/>
    </xf>
    <xf numFmtId="0" fontId="112" fillId="38" borderId="3" xfId="1538" applyFill="1" applyBorder="1" applyAlignment="1">
      <alignment horizontal="center" vertical="center" wrapText="1"/>
    </xf>
    <xf numFmtId="0" fontId="103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2" fillId="38" borderId="35" xfId="1538" applyFill="1" applyBorder="1" applyAlignment="1">
      <alignment horizontal="center" vertical="center" wrapText="1"/>
    </xf>
    <xf numFmtId="0" fontId="112" fillId="38" borderId="33" xfId="1538" applyFill="1" applyBorder="1" applyAlignment="1">
      <alignment horizontal="center" vertical="center" wrapText="1"/>
    </xf>
    <xf numFmtId="0" fontId="154" fillId="30" borderId="3" xfId="1614" applyFont="1" applyFill="1" applyBorder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37" fontId="152" fillId="0" borderId="36" xfId="1614" applyNumberFormat="1" applyFont="1" applyBorder="1" applyAlignment="1">
      <alignment horizontal="center"/>
    </xf>
    <xf numFmtId="0" fontId="156" fillId="35" borderId="51" xfId="1614" applyFont="1" applyFill="1" applyBorder="1" applyAlignment="1">
      <alignment horizontal="center" vertical="center"/>
    </xf>
    <xf numFmtId="0" fontId="156" fillId="35" borderId="49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/>
    </xf>
    <xf numFmtId="0" fontId="156" fillId="35" borderId="21" xfId="1614" applyFont="1" applyFill="1" applyBorder="1" applyAlignment="1">
      <alignment horizontal="center" vertical="center"/>
    </xf>
    <xf numFmtId="0" fontId="156" fillId="35" borderId="33" xfId="1614" applyFont="1" applyFill="1" applyBorder="1" applyAlignment="1">
      <alignment horizontal="center" vertical="center"/>
    </xf>
    <xf numFmtId="0" fontId="156" fillId="35" borderId="53" xfId="1614" applyFont="1" applyFill="1" applyBorder="1" applyAlignment="1">
      <alignment horizontal="center" vertical="center"/>
    </xf>
    <xf numFmtId="0" fontId="156" fillId="35" borderId="3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 wrapText="1"/>
    </xf>
    <xf numFmtId="0" fontId="156" fillId="35" borderId="21" xfId="1614" applyFont="1" applyFill="1" applyBorder="1" applyAlignment="1">
      <alignment horizontal="center" vertical="center" wrapText="1"/>
    </xf>
    <xf numFmtId="0" fontId="156" fillId="35" borderId="33" xfId="1614" applyFont="1" applyFill="1" applyBorder="1" applyAlignment="1">
      <alignment horizontal="center" vertical="center" wrapText="1"/>
    </xf>
    <xf numFmtId="0" fontId="156" fillId="35" borderId="35" xfId="1652" applyFont="1" applyFill="1" applyBorder="1" applyAlignment="1">
      <alignment horizontal="center" vertical="center" wrapText="1"/>
    </xf>
    <xf numFmtId="0" fontId="156" fillId="35" borderId="33" xfId="1652" applyFont="1" applyFill="1" applyBorder="1" applyAlignment="1">
      <alignment horizontal="center" vertical="center" wrapText="1"/>
    </xf>
    <xf numFmtId="0" fontId="151" fillId="0" borderId="0" xfId="1644" applyFont="1" applyAlignment="1">
      <alignment horizontal="center" vertical="center"/>
    </xf>
    <xf numFmtId="37" fontId="158" fillId="0" borderId="19" xfId="1614" applyNumberFormat="1" applyFont="1" applyBorder="1" applyAlignment="1">
      <alignment horizontal="center"/>
    </xf>
    <xf numFmtId="0" fontId="154" fillId="0" borderId="0" xfId="1614" applyFont="1" applyAlignment="1">
      <alignment horizontal="left" vertical="top" wrapText="1"/>
    </xf>
    <xf numFmtId="37" fontId="152" fillId="0" borderId="0" xfId="1614" applyNumberFormat="1" applyFont="1" applyAlignment="1">
      <alignment horizontal="center"/>
    </xf>
    <xf numFmtId="0" fontId="173" fillId="0" borderId="26" xfId="1614" applyFont="1" applyBorder="1" applyAlignment="1">
      <alignment horizontal="left" vertical="center" wrapText="1"/>
    </xf>
    <xf numFmtId="0" fontId="173" fillId="0" borderId="36" xfId="1614" applyFont="1" applyBorder="1" applyAlignment="1">
      <alignment horizontal="left" vertical="center" wrapText="1"/>
    </xf>
    <xf numFmtId="0" fontId="173" fillId="0" borderId="48" xfId="1614" applyFont="1" applyBorder="1" applyAlignment="1">
      <alignment horizontal="left" vertical="center" wrapText="1"/>
    </xf>
    <xf numFmtId="0" fontId="173" fillId="0" borderId="28" xfId="1614" applyFont="1" applyBorder="1" applyAlignment="1">
      <alignment horizontal="left" vertical="center" wrapText="1"/>
    </xf>
    <xf numFmtId="0" fontId="173" fillId="0" borderId="0" xfId="1614" applyFont="1" applyAlignment="1">
      <alignment horizontal="left" vertical="center" wrapText="1"/>
    </xf>
    <xf numFmtId="0" fontId="173" fillId="0" borderId="37" xfId="1614" applyFont="1" applyBorder="1" applyAlignment="1">
      <alignment horizontal="left" vertical="center" wrapText="1"/>
    </xf>
    <xf numFmtId="0" fontId="157" fillId="0" borderId="0" xfId="1652" applyFont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0" fontId="156" fillId="35" borderId="54" xfId="1614" applyFont="1" applyFill="1" applyBorder="1" applyAlignment="1">
      <alignment horizontal="center" vertical="center"/>
    </xf>
    <xf numFmtId="0" fontId="156" fillId="35" borderId="39" xfId="1614" applyFont="1" applyFill="1" applyBorder="1" applyAlignment="1">
      <alignment horizontal="center" vertical="center"/>
    </xf>
    <xf numFmtId="0" fontId="131" fillId="35" borderId="55" xfId="0" applyFont="1" applyFill="1" applyBorder="1" applyAlignment="1">
      <alignment horizontal="center" vertical="center"/>
    </xf>
    <xf numFmtId="0" fontId="131" fillId="35" borderId="36" xfId="0" applyFont="1" applyFill="1" applyBorder="1" applyAlignment="1">
      <alignment horizontal="center" vertical="center"/>
    </xf>
    <xf numFmtId="0" fontId="131" fillId="35" borderId="48" xfId="0" applyFont="1" applyFill="1" applyBorder="1" applyAlignment="1">
      <alignment horizontal="center" vertical="center"/>
    </xf>
    <xf numFmtId="0" fontId="131" fillId="35" borderId="43" xfId="0" applyFont="1" applyFill="1" applyBorder="1" applyAlignment="1">
      <alignment horizontal="center" vertical="center"/>
    </xf>
    <xf numFmtId="0" fontId="131" fillId="35" borderId="44" xfId="0" applyFont="1" applyFill="1" applyBorder="1" applyAlignment="1">
      <alignment horizontal="center" vertical="center"/>
    </xf>
    <xf numFmtId="0" fontId="131" fillId="35" borderId="45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/>
    </xf>
    <xf numFmtId="0" fontId="115" fillId="33" borderId="39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6" fillId="33" borderId="0" xfId="0" applyFont="1" applyFill="1" applyAlignment="1">
      <alignment horizontal="left"/>
    </xf>
    <xf numFmtId="0" fontId="116" fillId="33" borderId="37" xfId="0" applyFont="1" applyFill="1" applyBorder="1" applyAlignment="1">
      <alignment horizontal="left"/>
    </xf>
    <xf numFmtId="0" fontId="132" fillId="33" borderId="50" xfId="0" applyFont="1" applyFill="1" applyBorder="1" applyAlignment="1">
      <alignment horizontal="center" vertical="center"/>
    </xf>
    <xf numFmtId="0" fontId="132" fillId="33" borderId="7" xfId="0" applyFont="1" applyFill="1" applyBorder="1" applyAlignment="1">
      <alignment horizontal="center" vertical="center"/>
    </xf>
    <xf numFmtId="0" fontId="132" fillId="33" borderId="41" xfId="0" applyFont="1" applyFill="1" applyBorder="1" applyAlignment="1">
      <alignment horizontal="center" vertical="center"/>
    </xf>
    <xf numFmtId="0" fontId="116" fillId="33" borderId="5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center"/>
    </xf>
    <xf numFmtId="0" fontId="116" fillId="33" borderId="58" xfId="0" applyFont="1" applyFill="1" applyBorder="1" applyAlignment="1">
      <alignment horizontal="center" vertical="center"/>
    </xf>
    <xf numFmtId="49" fontId="133" fillId="33" borderId="59" xfId="0" applyNumberFormat="1" applyFont="1" applyFill="1" applyBorder="1" applyAlignment="1">
      <alignment horizontal="left" vertical="center"/>
    </xf>
    <xf numFmtId="49" fontId="133" fillId="33" borderId="40" xfId="0" applyNumberFormat="1" applyFont="1" applyFill="1" applyBorder="1" applyAlignment="1">
      <alignment horizontal="left" vertical="center"/>
    </xf>
    <xf numFmtId="49" fontId="115" fillId="33" borderId="50" xfId="0" applyNumberFormat="1" applyFont="1" applyFill="1" applyBorder="1" applyAlignment="1">
      <alignment horizontal="left" vertical="center"/>
    </xf>
    <xf numFmtId="49" fontId="115" fillId="33" borderId="41" xfId="0" applyNumberFormat="1" applyFont="1" applyFill="1" applyBorder="1" applyAlignment="1">
      <alignment horizontal="left" vertical="center"/>
    </xf>
    <xf numFmtId="0" fontId="115" fillId="33" borderId="56" xfId="0" applyFont="1" applyFill="1" applyBorder="1" applyAlignment="1">
      <alignment horizontal="center"/>
    </xf>
    <xf numFmtId="0" fontId="115" fillId="33" borderId="57" xfId="0" applyFont="1" applyFill="1" applyBorder="1" applyAlignment="1">
      <alignment horizontal="center"/>
    </xf>
    <xf numFmtId="0" fontId="92" fillId="0" borderId="99" xfId="1450" applyFont="1" applyBorder="1" applyAlignment="1">
      <alignment horizontal="left" vertical="center"/>
    </xf>
    <xf numFmtId="0" fontId="92" fillId="0" borderId="100" xfId="1450" applyFont="1" applyBorder="1" applyAlignment="1">
      <alignment horizontal="left" vertical="center"/>
    </xf>
    <xf numFmtId="0" fontId="92" fillId="0" borderId="60" xfId="1450" applyFont="1" applyBorder="1" applyAlignment="1">
      <alignment horizontal="left" vertical="center"/>
    </xf>
    <xf numFmtId="0" fontId="92" fillId="0" borderId="61" xfId="1450" applyFont="1" applyBorder="1" applyAlignment="1">
      <alignment horizontal="left" vertical="center"/>
    </xf>
    <xf numFmtId="49" fontId="115" fillId="33" borderId="50" xfId="0" applyNumberFormat="1" applyFont="1" applyFill="1" applyBorder="1" applyAlignment="1">
      <alignment horizontal="center" vertical="center"/>
    </xf>
    <xf numFmtId="49" fontId="115" fillId="33" borderId="41" xfId="0" applyNumberFormat="1" applyFont="1" applyFill="1" applyBorder="1" applyAlignment="1">
      <alignment horizontal="center" vertical="center"/>
    </xf>
    <xf numFmtId="0" fontId="133" fillId="33" borderId="60" xfId="0" applyFont="1" applyFill="1" applyBorder="1" applyAlignment="1">
      <alignment horizontal="left" vertical="center"/>
    </xf>
    <xf numFmtId="0" fontId="133" fillId="33" borderId="61" xfId="0" applyFont="1" applyFill="1" applyBorder="1" applyAlignment="1">
      <alignment horizontal="left" vertical="center"/>
    </xf>
    <xf numFmtId="0" fontId="92" fillId="33" borderId="60" xfId="2680" applyFont="1" applyFill="1" applyBorder="1" applyAlignment="1">
      <alignment horizontal="left" vertical="center"/>
    </xf>
    <xf numFmtId="0" fontId="92" fillId="33" borderId="61" xfId="2680" applyFont="1" applyFill="1" applyBorder="1" applyAlignment="1">
      <alignment horizontal="left" vertical="center"/>
    </xf>
    <xf numFmtId="0" fontId="92" fillId="33" borderId="80" xfId="0" applyFont="1" applyFill="1" applyBorder="1" applyAlignment="1">
      <alignment horizontal="center" vertical="center"/>
    </xf>
    <xf numFmtId="0" fontId="92" fillId="33" borderId="81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center"/>
    </xf>
    <xf numFmtId="0" fontId="119" fillId="33" borderId="73" xfId="0" applyFont="1" applyFill="1" applyBorder="1" applyAlignment="1">
      <alignment horizontal="center" vertical="center"/>
    </xf>
    <xf numFmtId="0" fontId="119" fillId="33" borderId="74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0" fontId="119" fillId="33" borderId="60" xfId="2680" applyFont="1" applyFill="1" applyBorder="1" applyAlignment="1">
      <alignment horizontal="left" vertical="center"/>
    </xf>
    <xf numFmtId="0" fontId="119" fillId="33" borderId="79" xfId="2680" applyFont="1" applyFill="1" applyBorder="1" applyAlignment="1">
      <alignment horizontal="left" vertical="center"/>
    </xf>
    <xf numFmtId="0" fontId="115" fillId="33" borderId="7" xfId="0" applyFont="1" applyFill="1" applyBorder="1" applyAlignment="1">
      <alignment horizontal="center"/>
    </xf>
    <xf numFmtId="0" fontId="115" fillId="33" borderId="41" xfId="0" applyFont="1" applyFill="1" applyBorder="1" applyAlignment="1">
      <alignment horizontal="center"/>
    </xf>
    <xf numFmtId="15" fontId="115" fillId="33" borderId="3" xfId="0" applyNumberFormat="1" applyFont="1" applyFill="1" applyBorder="1" applyAlignment="1">
      <alignment horizontal="center"/>
    </xf>
    <xf numFmtId="0" fontId="92" fillId="33" borderId="59" xfId="0" applyFont="1" applyFill="1" applyBorder="1" applyAlignment="1">
      <alignment horizontal="center" vertical="center"/>
    </xf>
    <xf numFmtId="0" fontId="92" fillId="33" borderId="40" xfId="0" applyFont="1" applyFill="1" applyBorder="1" applyAlignment="1">
      <alignment horizontal="center" vertical="center"/>
    </xf>
    <xf numFmtId="0" fontId="120" fillId="33" borderId="75" xfId="0" applyFont="1" applyFill="1" applyBorder="1" applyAlignment="1">
      <alignment horizontal="center" vertical="center" wrapText="1"/>
    </xf>
    <xf numFmtId="0" fontId="120" fillId="33" borderId="76" xfId="0" applyFont="1" applyFill="1" applyBorder="1" applyAlignment="1">
      <alignment horizontal="center" vertical="center" wrapText="1"/>
    </xf>
    <xf numFmtId="0" fontId="116" fillId="33" borderId="18" xfId="0" applyFont="1" applyFill="1" applyBorder="1" applyAlignment="1">
      <alignment horizontal="left" vertical="top" wrapText="1"/>
    </xf>
    <xf numFmtId="0" fontId="116" fillId="33" borderId="0" xfId="0" applyFont="1" applyFill="1" applyAlignment="1">
      <alignment horizontal="left" vertical="top" wrapText="1"/>
    </xf>
    <xf numFmtId="0" fontId="115" fillId="33" borderId="64" xfId="0" applyFont="1" applyFill="1" applyBorder="1" applyAlignment="1">
      <alignment horizontal="center"/>
    </xf>
    <xf numFmtId="0" fontId="115" fillId="33" borderId="62" xfId="0" applyFont="1" applyFill="1" applyBorder="1" applyAlignment="1">
      <alignment horizontal="center"/>
    </xf>
    <xf numFmtId="0" fontId="115" fillId="33" borderId="63" xfId="0" applyFont="1" applyFill="1" applyBorder="1" applyAlignment="1">
      <alignment horizontal="center"/>
    </xf>
    <xf numFmtId="0" fontId="115" fillId="33" borderId="65" xfId="0" applyFont="1" applyFill="1" applyBorder="1" applyAlignment="1">
      <alignment horizontal="center"/>
    </xf>
    <xf numFmtId="0" fontId="115" fillId="33" borderId="56" xfId="0" applyFont="1" applyFill="1" applyBorder="1" applyAlignment="1">
      <alignment horizontal="center" vertical="center"/>
    </xf>
    <xf numFmtId="0" fontId="115" fillId="33" borderId="57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15" fillId="33" borderId="44" xfId="0" applyFont="1" applyFill="1" applyBorder="1" applyAlignment="1">
      <alignment horizontal="center" vertical="center" wrapText="1"/>
    </xf>
    <xf numFmtId="0" fontId="115" fillId="33" borderId="45" xfId="0" applyFont="1" applyFill="1" applyBorder="1" applyAlignment="1">
      <alignment horizontal="center" vertical="center" wrapText="1"/>
    </xf>
    <xf numFmtId="0" fontId="123" fillId="35" borderId="26" xfId="1451" applyFont="1" applyFill="1" applyBorder="1" applyAlignment="1">
      <alignment horizontal="center" vertical="center"/>
    </xf>
    <xf numFmtId="0" fontId="123" fillId="35" borderId="36" xfId="1451" applyFont="1" applyFill="1" applyBorder="1" applyAlignment="1">
      <alignment horizontal="center" vertical="center"/>
    </xf>
    <xf numFmtId="0" fontId="123" fillId="35" borderId="48" xfId="1451" applyFont="1" applyFill="1" applyBorder="1" applyAlignment="1">
      <alignment horizontal="center" vertical="center"/>
    </xf>
    <xf numFmtId="0" fontId="123" fillId="35" borderId="28" xfId="1451" applyFont="1" applyFill="1" applyBorder="1" applyAlignment="1">
      <alignment horizontal="center" vertical="center"/>
    </xf>
    <xf numFmtId="0" fontId="123" fillId="35" borderId="0" xfId="1451" applyFont="1" applyFill="1" applyAlignment="1">
      <alignment horizontal="center" vertical="center"/>
    </xf>
    <xf numFmtId="0" fontId="123" fillId="35" borderId="37" xfId="1451" applyFont="1" applyFill="1" applyBorder="1" applyAlignment="1">
      <alignment horizontal="center" vertical="center"/>
    </xf>
    <xf numFmtId="0" fontId="123" fillId="35" borderId="34" xfId="1451" applyFont="1" applyFill="1" applyBorder="1" applyAlignment="1">
      <alignment horizontal="center" vertical="center"/>
    </xf>
    <xf numFmtId="0" fontId="123" fillId="35" borderId="19" xfId="1451" applyFont="1" applyFill="1" applyBorder="1" applyAlignment="1">
      <alignment horizontal="center" vertical="center"/>
    </xf>
    <xf numFmtId="0" fontId="123" fillId="35" borderId="31" xfId="1451" applyFont="1" applyFill="1" applyBorder="1" applyAlignment="1">
      <alignment horizontal="center" vertical="center"/>
    </xf>
    <xf numFmtId="0" fontId="161" fillId="0" borderId="0" xfId="1451" applyFont="1" applyAlignment="1">
      <alignment horizontal="left"/>
    </xf>
  </cellXfs>
  <cellStyles count="2681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" xfId="2678" builtinId="8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38" xfId="2679" xr:uid="{7A623178-A344-40B1-818F-4B823CF1A5E6}"/>
    <cellStyle name="Normal 139" xfId="2680" xr:uid="{B7FF059C-040C-4C5A-BC38-CBAD5EB99CEF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8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theme" Target="theme/theme1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tyles" Target="style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sharedStrings" Target="sharedString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0.70000000000000018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13" Type="http://schemas.openxmlformats.org/officeDocument/2006/relationships/image" Target="../media/image30.emf"/><Relationship Id="rId3" Type="http://schemas.openxmlformats.org/officeDocument/2006/relationships/image" Target="../media/image20.emf"/><Relationship Id="rId7" Type="http://schemas.openxmlformats.org/officeDocument/2006/relationships/image" Target="../media/image24.emf"/><Relationship Id="rId12" Type="http://schemas.openxmlformats.org/officeDocument/2006/relationships/image" Target="../media/image29.emf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11" Type="http://schemas.openxmlformats.org/officeDocument/2006/relationships/image" Target="../media/image28.emf"/><Relationship Id="rId5" Type="http://schemas.openxmlformats.org/officeDocument/2006/relationships/image" Target="../media/image22.emf"/><Relationship Id="rId10" Type="http://schemas.openxmlformats.org/officeDocument/2006/relationships/image" Target="../media/image27.emf"/><Relationship Id="rId4" Type="http://schemas.openxmlformats.org/officeDocument/2006/relationships/image" Target="../media/image21.emf"/><Relationship Id="rId9" Type="http://schemas.openxmlformats.org/officeDocument/2006/relationships/image" Target="../media/image26.emf"/><Relationship Id="rId14" Type="http://schemas.openxmlformats.org/officeDocument/2006/relationships/image" Target="../media/image31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0962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0963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5144875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156883</xdr:colOff>
      <xdr:row>37</xdr:row>
      <xdr:rowOff>33618</xdr:rowOff>
    </xdr:from>
    <xdr:to>
      <xdr:col>19</xdr:col>
      <xdr:colOff>452120</xdr:colOff>
      <xdr:row>39</xdr:row>
      <xdr:rowOff>58433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C23935-6182-4025-B577-F62ADF6BE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85795" y="8841442"/>
          <a:ext cx="295237" cy="51787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21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435429</xdr:colOff>
      <xdr:row>170</xdr:row>
      <xdr:rowOff>0</xdr:rowOff>
    </xdr:from>
    <xdr:to>
      <xdr:col>10</xdr:col>
      <xdr:colOff>730666</xdr:colOff>
      <xdr:row>172</xdr:row>
      <xdr:rowOff>136873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7CC9342-7A92-4743-B889-F8A3A054C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0" y="32684357"/>
          <a:ext cx="295237" cy="5178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70539</xdr:colOff>
      <xdr:row>9</xdr:row>
      <xdr:rowOff>59681</xdr:rowOff>
    </xdr:from>
    <xdr:to>
      <xdr:col>12</xdr:col>
      <xdr:colOff>77865</xdr:colOff>
      <xdr:row>22</xdr:row>
      <xdr:rowOff>61414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25AEA3DE-E7C8-4C72-8EAB-AE993CA1B982}"/>
            </a:ext>
          </a:extLst>
        </xdr:cNvPr>
        <xdr:cNvCxnSpPr/>
      </xdr:nvCxnSpPr>
      <xdr:spPr>
        <a:xfrm>
          <a:off x="4209584" y="1462454"/>
          <a:ext cx="7326" cy="2027960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148805</xdr:colOff>
      <xdr:row>2</xdr:row>
      <xdr:rowOff>1</xdr:rowOff>
    </xdr:from>
    <xdr:to>
      <xdr:col>21</xdr:col>
      <xdr:colOff>241640</xdr:colOff>
      <xdr:row>5</xdr:row>
      <xdr:rowOff>20984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768F165E-1437-44C5-B3E8-CD92BEF9EB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 rot="21441372">
          <a:off x="6954850" y="311728"/>
          <a:ext cx="854835" cy="488574"/>
        </a:xfrm>
        <a:prstGeom prst="rect">
          <a:avLst/>
        </a:prstGeom>
      </xdr:spPr>
    </xdr:pic>
    <xdr:clientData/>
  </xdr:twoCellAnchor>
  <xdr:twoCellAnchor>
    <xdr:from>
      <xdr:col>26</xdr:col>
      <xdr:colOff>93747</xdr:colOff>
      <xdr:row>5</xdr:row>
      <xdr:rowOff>34776</xdr:rowOff>
    </xdr:from>
    <xdr:to>
      <xdr:col>29</xdr:col>
      <xdr:colOff>274911</xdr:colOff>
      <xdr:row>17</xdr:row>
      <xdr:rowOff>11604</xdr:rowOff>
    </xdr:to>
    <xdr:grpSp>
      <xdr:nvGrpSpPr>
        <xdr:cNvPr id="107" name="Group 106">
          <a:extLst>
            <a:ext uri="{FF2B5EF4-FFF2-40B4-BE49-F238E27FC236}">
              <a16:creationId xmlns:a16="http://schemas.microsoft.com/office/drawing/2014/main" id="{B7FF0761-C4B4-48C1-84BB-47332AB2B67F}"/>
            </a:ext>
          </a:extLst>
        </xdr:cNvPr>
        <xdr:cNvGrpSpPr/>
      </xdr:nvGrpSpPr>
      <xdr:grpSpPr>
        <a:xfrm>
          <a:off x="9580647" y="815826"/>
          <a:ext cx="1381314" cy="1815153"/>
          <a:chOff x="9713886" y="808452"/>
          <a:chExt cx="1342558" cy="1766630"/>
        </a:xfrm>
      </xdr:grpSpPr>
      <xdr:grpSp>
        <xdr:nvGrpSpPr>
          <xdr:cNvPr id="108" name="Group 13">
            <a:extLst>
              <a:ext uri="{FF2B5EF4-FFF2-40B4-BE49-F238E27FC236}">
                <a16:creationId xmlns:a16="http://schemas.microsoft.com/office/drawing/2014/main" id="{98FED52B-CE74-42AA-95CE-46E05FEBFF7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77" name="Oval 1">
              <a:extLst>
                <a:ext uri="{FF2B5EF4-FFF2-40B4-BE49-F238E27FC236}">
                  <a16:creationId xmlns:a16="http://schemas.microsoft.com/office/drawing/2014/main" id="{8BD35245-66F3-4DBB-802A-7207556D8856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8" name="Straight Connector 3">
              <a:extLst>
                <a:ext uri="{FF2B5EF4-FFF2-40B4-BE49-F238E27FC236}">
                  <a16:creationId xmlns:a16="http://schemas.microsoft.com/office/drawing/2014/main" id="{213029BE-3EFF-4B56-92F4-ACC82B8CD70A}"/>
                </a:ext>
              </a:extLst>
            </xdr:cNvPr>
            <xdr:cNvCxnSpPr>
              <a:stCxn id="134" idx="1"/>
              <a:endCxn id="134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9" name="Straight Connector 7">
              <a:extLst>
                <a:ext uri="{FF2B5EF4-FFF2-40B4-BE49-F238E27FC236}">
                  <a16:creationId xmlns:a16="http://schemas.microsoft.com/office/drawing/2014/main" id="{599FE580-E645-45FD-A475-01DEAEC3670F}"/>
                </a:ext>
              </a:extLst>
            </xdr:cNvPr>
            <xdr:cNvCxnSpPr>
              <a:stCxn id="134" idx="3"/>
              <a:endCxn id="134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9" name="Oval 108">
            <a:extLst>
              <a:ext uri="{FF2B5EF4-FFF2-40B4-BE49-F238E27FC236}">
                <a16:creationId xmlns:a16="http://schemas.microsoft.com/office/drawing/2014/main" id="{03A3A069-369A-4B70-8D17-78C0422037EC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10" name="Group 14">
            <a:extLst>
              <a:ext uri="{FF2B5EF4-FFF2-40B4-BE49-F238E27FC236}">
                <a16:creationId xmlns:a16="http://schemas.microsoft.com/office/drawing/2014/main" id="{6E85F0F8-C985-4C80-8F60-EB1A2CC3B678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74" name="Oval 173">
              <a:extLst>
                <a:ext uri="{FF2B5EF4-FFF2-40B4-BE49-F238E27FC236}">
                  <a16:creationId xmlns:a16="http://schemas.microsoft.com/office/drawing/2014/main" id="{9271A688-A4A2-419E-8629-DAE26A8CB716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5" name="Straight Connector 174">
              <a:extLst>
                <a:ext uri="{FF2B5EF4-FFF2-40B4-BE49-F238E27FC236}">
                  <a16:creationId xmlns:a16="http://schemas.microsoft.com/office/drawing/2014/main" id="{4811B642-A77F-4F95-A30F-F7F04827BE24}"/>
                </a:ext>
              </a:extLst>
            </xdr:cNvPr>
            <xdr:cNvCxnSpPr>
              <a:stCxn id="174" idx="1"/>
              <a:endCxn id="174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6" name="Straight Connector 175">
              <a:extLst>
                <a:ext uri="{FF2B5EF4-FFF2-40B4-BE49-F238E27FC236}">
                  <a16:creationId xmlns:a16="http://schemas.microsoft.com/office/drawing/2014/main" id="{9F67E899-2A00-49B8-AA50-CFB690C1F2F9}"/>
                </a:ext>
              </a:extLst>
            </xdr:cNvPr>
            <xdr:cNvCxnSpPr>
              <a:stCxn id="174" idx="3"/>
              <a:endCxn id="174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1" name="Oval 110">
            <a:extLst>
              <a:ext uri="{FF2B5EF4-FFF2-40B4-BE49-F238E27FC236}">
                <a16:creationId xmlns:a16="http://schemas.microsoft.com/office/drawing/2014/main" id="{AB8A562C-373D-4D00-912C-205EE9900E75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925147B0-8C26-4F1A-A973-36DB8E1292D0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F471F30B-FE42-4F25-A7A2-D4047FEFEEC0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612F4E06-F739-4219-B0CD-7774979F3ECF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90037CE7-1ABD-4AF9-B7DA-3C16660A4A22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D8999A5B-9FC3-4482-ACC0-677B9F9170B5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52495BB4-4BA0-4B8A-9C02-CE115926B0C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5E51E323-29B0-45ED-8F2E-11B8FC684B27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29E79E23-211F-44FC-A28E-BE7524A9BF49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129">
            <a:extLst>
              <a:ext uri="{FF2B5EF4-FFF2-40B4-BE49-F238E27FC236}">
                <a16:creationId xmlns:a16="http://schemas.microsoft.com/office/drawing/2014/main" id="{40B6F75C-5283-4268-AC8D-71281EB94ED3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00E57E01-FA53-4198-8FFA-5FFE6599B0A4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131">
            <a:extLst>
              <a:ext uri="{FF2B5EF4-FFF2-40B4-BE49-F238E27FC236}">
                <a16:creationId xmlns:a16="http://schemas.microsoft.com/office/drawing/2014/main" id="{02BD488E-C430-41DC-A78D-D1DBC0A3775B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5D39C56A-826B-4503-B524-A38AD536350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50">
            <a:extLst>
              <a:ext uri="{FF2B5EF4-FFF2-40B4-BE49-F238E27FC236}">
                <a16:creationId xmlns:a16="http://schemas.microsoft.com/office/drawing/2014/main" id="{3E4E1904-B467-4E3D-B134-EB7ED6936498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6E0085C7-CAEA-4392-B8C9-0D7C329969A3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52">
            <a:extLst>
              <a:ext uri="{FF2B5EF4-FFF2-40B4-BE49-F238E27FC236}">
                <a16:creationId xmlns:a16="http://schemas.microsoft.com/office/drawing/2014/main" id="{8C3FB0B6-5FD0-479D-A4AD-23AED69F350C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E0E0452C-4292-4408-8072-49892DE03736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C062A369-6C11-43C8-8F1F-9DCE6E80B608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2FBCDA7D-25CB-49F2-B59C-8BFC935A0A57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68A51269-E182-4BEC-BAC8-B49ABBC0AE84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140">
            <a:extLst>
              <a:ext uri="{FF2B5EF4-FFF2-40B4-BE49-F238E27FC236}">
                <a16:creationId xmlns:a16="http://schemas.microsoft.com/office/drawing/2014/main" id="{1413FF7B-078C-4B7A-9C6C-98332D95CDE5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Connector 141">
            <a:extLst>
              <a:ext uri="{FF2B5EF4-FFF2-40B4-BE49-F238E27FC236}">
                <a16:creationId xmlns:a16="http://schemas.microsoft.com/office/drawing/2014/main" id="{3970896F-DFAB-4A1F-8212-B220B1EB7F77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" name="Straight Connector 142">
            <a:extLst>
              <a:ext uri="{FF2B5EF4-FFF2-40B4-BE49-F238E27FC236}">
                <a16:creationId xmlns:a16="http://schemas.microsoft.com/office/drawing/2014/main" id="{1A0E6E3C-9ED1-45E5-97A4-28B16FEAE837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4" name="Isosceles Triangle 143">
            <a:extLst>
              <a:ext uri="{FF2B5EF4-FFF2-40B4-BE49-F238E27FC236}">
                <a16:creationId xmlns:a16="http://schemas.microsoft.com/office/drawing/2014/main" id="{F39CCC98-FE11-49FA-99DB-8794C7FA078C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5" name="Isosceles Triangle 144">
            <a:extLst>
              <a:ext uri="{FF2B5EF4-FFF2-40B4-BE49-F238E27FC236}">
                <a16:creationId xmlns:a16="http://schemas.microsoft.com/office/drawing/2014/main" id="{41D81C96-D90F-4046-B585-210179B61109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46" name="Group 73">
            <a:extLst>
              <a:ext uri="{FF2B5EF4-FFF2-40B4-BE49-F238E27FC236}">
                <a16:creationId xmlns:a16="http://schemas.microsoft.com/office/drawing/2014/main" id="{A974F9EC-0B61-4D0B-A007-BF32EDFE230C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172" name="TextBox 171">
              <a:extLst>
                <a:ext uri="{FF2B5EF4-FFF2-40B4-BE49-F238E27FC236}">
                  <a16:creationId xmlns:a16="http://schemas.microsoft.com/office/drawing/2014/main" id="{D8B3DD4B-1335-4B02-B4C6-04AA2FD0D4D2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73" name="Straight Connector 172">
              <a:extLst>
                <a:ext uri="{FF2B5EF4-FFF2-40B4-BE49-F238E27FC236}">
                  <a16:creationId xmlns:a16="http://schemas.microsoft.com/office/drawing/2014/main" id="{55B32DBB-57E9-41BE-A26F-86B172196CC2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7" name="Group 74">
            <a:extLst>
              <a:ext uri="{FF2B5EF4-FFF2-40B4-BE49-F238E27FC236}">
                <a16:creationId xmlns:a16="http://schemas.microsoft.com/office/drawing/2014/main" id="{7ABE865A-A4DB-4752-8A17-440C540370C7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70" name="TextBox 169">
              <a:extLst>
                <a:ext uri="{FF2B5EF4-FFF2-40B4-BE49-F238E27FC236}">
                  <a16:creationId xmlns:a16="http://schemas.microsoft.com/office/drawing/2014/main" id="{4FE431B3-A27E-4202-933A-548D82F98FA3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71" name="Straight Connector 170">
              <a:extLst>
                <a:ext uri="{FF2B5EF4-FFF2-40B4-BE49-F238E27FC236}">
                  <a16:creationId xmlns:a16="http://schemas.microsoft.com/office/drawing/2014/main" id="{BA65C171-B634-4AB0-9EC0-D2930CBE66E7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8" name="Group 89">
            <a:extLst>
              <a:ext uri="{FF2B5EF4-FFF2-40B4-BE49-F238E27FC236}">
                <a16:creationId xmlns:a16="http://schemas.microsoft.com/office/drawing/2014/main" id="{E6D96379-0C05-4CD3-B692-370B5C6946DD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66" name="Straight Connector 165">
              <a:extLst>
                <a:ext uri="{FF2B5EF4-FFF2-40B4-BE49-F238E27FC236}">
                  <a16:creationId xmlns:a16="http://schemas.microsoft.com/office/drawing/2014/main" id="{D979CDF1-7487-423B-B8C0-B1A091C2209C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7" name="Straight Connector 79">
              <a:extLst>
                <a:ext uri="{FF2B5EF4-FFF2-40B4-BE49-F238E27FC236}">
                  <a16:creationId xmlns:a16="http://schemas.microsoft.com/office/drawing/2014/main" id="{93B62ABA-EDBA-46F2-ABA4-6DE90B69BCAD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8" name="Straight Connector 80">
              <a:extLst>
                <a:ext uri="{FF2B5EF4-FFF2-40B4-BE49-F238E27FC236}">
                  <a16:creationId xmlns:a16="http://schemas.microsoft.com/office/drawing/2014/main" id="{239AC7EB-F186-4C4D-8B98-83DEE562F8F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9" name="Straight Connector 88">
              <a:extLst>
                <a:ext uri="{FF2B5EF4-FFF2-40B4-BE49-F238E27FC236}">
                  <a16:creationId xmlns:a16="http://schemas.microsoft.com/office/drawing/2014/main" id="{70F3E726-792D-4116-AAE0-66124D29D646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9" name="Group 90">
            <a:extLst>
              <a:ext uri="{FF2B5EF4-FFF2-40B4-BE49-F238E27FC236}">
                <a16:creationId xmlns:a16="http://schemas.microsoft.com/office/drawing/2014/main" id="{21A32E18-36F1-4A6B-9F27-C668D92A15EC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62" name="Straight Connector 161">
              <a:extLst>
                <a:ext uri="{FF2B5EF4-FFF2-40B4-BE49-F238E27FC236}">
                  <a16:creationId xmlns:a16="http://schemas.microsoft.com/office/drawing/2014/main" id="{787C4236-0495-4EB8-8A88-A3EA4A9B976D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162">
              <a:extLst>
                <a:ext uri="{FF2B5EF4-FFF2-40B4-BE49-F238E27FC236}">
                  <a16:creationId xmlns:a16="http://schemas.microsoft.com/office/drawing/2014/main" id="{92D86E93-FC1F-4727-9149-C5B867CE0F68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4" name="Straight Connector 163">
              <a:extLst>
                <a:ext uri="{FF2B5EF4-FFF2-40B4-BE49-F238E27FC236}">
                  <a16:creationId xmlns:a16="http://schemas.microsoft.com/office/drawing/2014/main" id="{48510598-84FA-49D4-B5ED-3B8952DD37A4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5" name="Straight Connector 164">
              <a:extLst>
                <a:ext uri="{FF2B5EF4-FFF2-40B4-BE49-F238E27FC236}">
                  <a16:creationId xmlns:a16="http://schemas.microsoft.com/office/drawing/2014/main" id="{54D75BB0-4534-4A90-BDE7-ADF4444B55B7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50" name="Straight Connector 149">
            <a:extLst>
              <a:ext uri="{FF2B5EF4-FFF2-40B4-BE49-F238E27FC236}">
                <a16:creationId xmlns:a16="http://schemas.microsoft.com/office/drawing/2014/main" id="{68CD9883-890E-4EF2-A7F0-4D8D3A038B89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B225186B-7FFF-4635-94E4-DA4D8325B7F8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Arrow Connector 151">
            <a:extLst>
              <a:ext uri="{FF2B5EF4-FFF2-40B4-BE49-F238E27FC236}">
                <a16:creationId xmlns:a16="http://schemas.microsoft.com/office/drawing/2014/main" id="{D398D916-CC12-4BE6-A7A4-85715C79BAFC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" name="Straight Arrow Connector 152">
            <a:extLst>
              <a:ext uri="{FF2B5EF4-FFF2-40B4-BE49-F238E27FC236}">
                <a16:creationId xmlns:a16="http://schemas.microsoft.com/office/drawing/2014/main" id="{A7056771-212F-46FD-9868-4F9C9FE6AF0B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54" name="Group 155">
            <a:extLst>
              <a:ext uri="{FF2B5EF4-FFF2-40B4-BE49-F238E27FC236}">
                <a16:creationId xmlns:a16="http://schemas.microsoft.com/office/drawing/2014/main" id="{1739A949-7916-443A-8614-CB40A70A8B73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159" name="Isosceles Triangle 158">
              <a:extLst>
                <a:ext uri="{FF2B5EF4-FFF2-40B4-BE49-F238E27FC236}">
                  <a16:creationId xmlns:a16="http://schemas.microsoft.com/office/drawing/2014/main" id="{820B5EEA-368C-4EB6-B79C-9DB330BF6E5B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60" name="Isosceles Triangle 159">
              <a:extLst>
                <a:ext uri="{FF2B5EF4-FFF2-40B4-BE49-F238E27FC236}">
                  <a16:creationId xmlns:a16="http://schemas.microsoft.com/office/drawing/2014/main" id="{E3B1D78E-63BF-46F1-A186-840535E1D2FC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61" name="Isosceles Triangle 160">
              <a:extLst>
                <a:ext uri="{FF2B5EF4-FFF2-40B4-BE49-F238E27FC236}">
                  <a16:creationId xmlns:a16="http://schemas.microsoft.com/office/drawing/2014/main" id="{BA9CF643-019B-44DA-868A-D322D165945C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55" name="Group 134">
            <a:extLst>
              <a:ext uri="{FF2B5EF4-FFF2-40B4-BE49-F238E27FC236}">
                <a16:creationId xmlns:a16="http://schemas.microsoft.com/office/drawing/2014/main" id="{81BB2085-AF7E-49EB-A18B-595FF7739401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56" name="Isosceles Triangle 155">
              <a:extLst>
                <a:ext uri="{FF2B5EF4-FFF2-40B4-BE49-F238E27FC236}">
                  <a16:creationId xmlns:a16="http://schemas.microsoft.com/office/drawing/2014/main" id="{97CA324B-2277-4D90-AA70-C03C397239A7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7" name="Isosceles Triangle 156">
              <a:extLst>
                <a:ext uri="{FF2B5EF4-FFF2-40B4-BE49-F238E27FC236}">
                  <a16:creationId xmlns:a16="http://schemas.microsoft.com/office/drawing/2014/main" id="{A5CAE80E-9EDB-428F-8320-443F16B484C6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8" name="Isosceles Triangle 157">
              <a:extLst>
                <a:ext uri="{FF2B5EF4-FFF2-40B4-BE49-F238E27FC236}">
                  <a16:creationId xmlns:a16="http://schemas.microsoft.com/office/drawing/2014/main" id="{C6183362-231B-4929-8958-2330B692C9EB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5</xdr:col>
      <xdr:colOff>225137</xdr:colOff>
      <xdr:row>11</xdr:row>
      <xdr:rowOff>70288</xdr:rowOff>
    </xdr:from>
    <xdr:to>
      <xdr:col>7</xdr:col>
      <xdr:colOff>158463</xdr:colOff>
      <xdr:row>16</xdr:row>
      <xdr:rowOff>113702</xdr:rowOff>
    </xdr:to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F731D002-5CD2-4B30-B2A1-D15C860D082A}"/>
            </a:ext>
          </a:extLst>
        </xdr:cNvPr>
        <xdr:cNvSpPr txBox="1"/>
      </xdr:nvSpPr>
      <xdr:spPr>
        <a:xfrm>
          <a:off x="1697182" y="1784788"/>
          <a:ext cx="695326" cy="82273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id-ID" sz="700" b="1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AGR</a:t>
          </a:r>
          <a:r>
            <a:rPr lang="en-US" sz="700" b="1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SISWANTO</a:t>
          </a:r>
        </a:p>
      </xdr:txBody>
    </xdr:sp>
    <xdr:clientData/>
  </xdr:twoCellAnchor>
  <xdr:twoCellAnchor>
    <xdr:from>
      <xdr:col>9</xdr:col>
      <xdr:colOff>25880</xdr:colOff>
      <xdr:row>12</xdr:row>
      <xdr:rowOff>99425</xdr:rowOff>
    </xdr:from>
    <xdr:to>
      <xdr:col>11</xdr:col>
      <xdr:colOff>223776</xdr:colOff>
      <xdr:row>12</xdr:row>
      <xdr:rowOff>109795</xdr:rowOff>
    </xdr:to>
    <xdr:cxnSp macro="">
      <xdr:nvCxnSpPr>
        <xdr:cNvPr id="181" name="Straight Connector 180">
          <a:extLst>
            <a:ext uri="{FF2B5EF4-FFF2-40B4-BE49-F238E27FC236}">
              <a16:creationId xmlns:a16="http://schemas.microsoft.com/office/drawing/2014/main" id="{E392DC72-8DF3-4230-91AC-79B283039166}"/>
            </a:ext>
          </a:extLst>
        </xdr:cNvPr>
        <xdr:cNvCxnSpPr>
          <a:stCxn id="183" idx="2"/>
          <a:endCxn id="189" idx="6"/>
        </xdr:cNvCxnSpPr>
      </xdr:nvCxnSpPr>
      <xdr:spPr>
        <a:xfrm flipH="1">
          <a:off x="3021925" y="1969789"/>
          <a:ext cx="959896" cy="1037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223776</xdr:colOff>
      <xdr:row>12</xdr:row>
      <xdr:rowOff>37752</xdr:rowOff>
    </xdr:from>
    <xdr:to>
      <xdr:col>11</xdr:col>
      <xdr:colOff>342419</xdr:colOff>
      <xdr:row>13</xdr:row>
      <xdr:rowOff>10013</xdr:rowOff>
    </xdr:to>
    <xdr:grpSp>
      <xdr:nvGrpSpPr>
        <xdr:cNvPr id="182" name="Group 181">
          <a:extLst>
            <a:ext uri="{FF2B5EF4-FFF2-40B4-BE49-F238E27FC236}">
              <a16:creationId xmlns:a16="http://schemas.microsoft.com/office/drawing/2014/main" id="{AB97539F-B694-4A97-AC52-AFDF9BE2D3D2}"/>
            </a:ext>
          </a:extLst>
        </xdr:cNvPr>
        <xdr:cNvGrpSpPr/>
      </xdr:nvGrpSpPr>
      <xdr:grpSpPr>
        <a:xfrm>
          <a:off x="3957576" y="1885602"/>
          <a:ext cx="118643" cy="13418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3" name="Oval 182">
            <a:extLst>
              <a:ext uri="{FF2B5EF4-FFF2-40B4-BE49-F238E27FC236}">
                <a16:creationId xmlns:a16="http://schemas.microsoft.com/office/drawing/2014/main" id="{A45FB9D0-C1D7-440B-96FF-3481487D7EF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D49A27C0-AE67-411A-A8F3-671B0B379189}"/>
              </a:ext>
            </a:extLst>
          </xdr:cNvPr>
          <xdr:cNvCxnSpPr>
            <a:stCxn id="183" idx="1"/>
            <a:endCxn id="18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Connector 184">
            <a:extLst>
              <a:ext uri="{FF2B5EF4-FFF2-40B4-BE49-F238E27FC236}">
                <a16:creationId xmlns:a16="http://schemas.microsoft.com/office/drawing/2014/main" id="{B2D1FF5C-3C6D-46D4-9E1C-C54047B10F64}"/>
              </a:ext>
            </a:extLst>
          </xdr:cNvPr>
          <xdr:cNvCxnSpPr>
            <a:stCxn id="183" idx="3"/>
            <a:endCxn id="18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283098</xdr:colOff>
      <xdr:row>13</xdr:row>
      <xdr:rowOff>10013</xdr:rowOff>
    </xdr:from>
    <xdr:to>
      <xdr:col>11</xdr:col>
      <xdr:colOff>297673</xdr:colOff>
      <xdr:row>18</xdr:row>
      <xdr:rowOff>39900</xdr:rowOff>
    </xdr:to>
    <xdr:cxnSp macro="">
      <xdr:nvCxnSpPr>
        <xdr:cNvPr id="186" name="Straight Connector 185">
          <a:extLst>
            <a:ext uri="{FF2B5EF4-FFF2-40B4-BE49-F238E27FC236}">
              <a16:creationId xmlns:a16="http://schemas.microsoft.com/office/drawing/2014/main" id="{68036E39-A2C6-43E4-A16F-5BB4FBC7DACC}"/>
            </a:ext>
          </a:extLst>
        </xdr:cNvPr>
        <xdr:cNvCxnSpPr>
          <a:stCxn id="183" idx="4"/>
        </xdr:cNvCxnSpPr>
      </xdr:nvCxnSpPr>
      <xdr:spPr>
        <a:xfrm>
          <a:off x="4041143" y="2036240"/>
          <a:ext cx="14575" cy="809205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281554</xdr:colOff>
      <xdr:row>9</xdr:row>
      <xdr:rowOff>59681</xdr:rowOff>
    </xdr:from>
    <xdr:to>
      <xdr:col>11</xdr:col>
      <xdr:colOff>283019</xdr:colOff>
      <xdr:row>12</xdr:row>
      <xdr:rowOff>38433</xdr:rowOff>
    </xdr:to>
    <xdr:cxnSp macro="">
      <xdr:nvCxnSpPr>
        <xdr:cNvPr id="187" name="Straight Connector 186">
          <a:extLst>
            <a:ext uri="{FF2B5EF4-FFF2-40B4-BE49-F238E27FC236}">
              <a16:creationId xmlns:a16="http://schemas.microsoft.com/office/drawing/2014/main" id="{B03F99BD-5E4B-4054-94FB-59C5D40D167B}"/>
            </a:ext>
          </a:extLst>
        </xdr:cNvPr>
        <xdr:cNvCxnSpPr/>
      </xdr:nvCxnSpPr>
      <xdr:spPr>
        <a:xfrm flipH="1">
          <a:off x="4039599" y="1462454"/>
          <a:ext cx="1465" cy="446343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296362</xdr:colOff>
      <xdr:row>12</xdr:row>
      <xdr:rowOff>51435</xdr:rowOff>
    </xdr:from>
    <xdr:to>
      <xdr:col>9</xdr:col>
      <xdr:colOff>25880</xdr:colOff>
      <xdr:row>13</xdr:row>
      <xdr:rowOff>17070</xdr:rowOff>
    </xdr:to>
    <xdr:grpSp>
      <xdr:nvGrpSpPr>
        <xdr:cNvPr id="188" name="Group 187">
          <a:extLst>
            <a:ext uri="{FF2B5EF4-FFF2-40B4-BE49-F238E27FC236}">
              <a16:creationId xmlns:a16="http://schemas.microsoft.com/office/drawing/2014/main" id="{120840A8-2783-4E9F-8517-55412743510E}"/>
            </a:ext>
          </a:extLst>
        </xdr:cNvPr>
        <xdr:cNvGrpSpPr/>
      </xdr:nvGrpSpPr>
      <xdr:grpSpPr>
        <a:xfrm>
          <a:off x="2887162" y="1899285"/>
          <a:ext cx="110518" cy="12756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9" name="Oval 188">
            <a:extLst>
              <a:ext uri="{FF2B5EF4-FFF2-40B4-BE49-F238E27FC236}">
                <a16:creationId xmlns:a16="http://schemas.microsoft.com/office/drawing/2014/main" id="{79EA69E6-E4F1-44C8-AEA6-E8674965196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0" name="Straight Connector 189">
            <a:extLst>
              <a:ext uri="{FF2B5EF4-FFF2-40B4-BE49-F238E27FC236}">
                <a16:creationId xmlns:a16="http://schemas.microsoft.com/office/drawing/2014/main" id="{8C8ECF7A-DEA5-4970-9F42-64890B1083D9}"/>
              </a:ext>
            </a:extLst>
          </xdr:cNvPr>
          <xdr:cNvCxnSpPr>
            <a:stCxn id="189" idx="1"/>
            <a:endCxn id="18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Straight Connector 190">
            <a:extLst>
              <a:ext uri="{FF2B5EF4-FFF2-40B4-BE49-F238E27FC236}">
                <a16:creationId xmlns:a16="http://schemas.microsoft.com/office/drawing/2014/main" id="{7FBA6403-FBE6-4CBB-BB9F-00FDFFFFB2C4}"/>
              </a:ext>
            </a:extLst>
          </xdr:cNvPr>
          <xdr:cNvCxnSpPr>
            <a:stCxn id="189" idx="3"/>
            <a:endCxn id="18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318698</xdr:colOff>
      <xdr:row>13</xdr:row>
      <xdr:rowOff>65702</xdr:rowOff>
    </xdr:from>
    <xdr:to>
      <xdr:col>9</xdr:col>
      <xdr:colOff>143808</xdr:colOff>
      <xdr:row>20</xdr:row>
      <xdr:rowOff>108839</xdr:rowOff>
    </xdr:to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316C193C-C7F8-416F-8A24-0BF42D5B3941}"/>
            </a:ext>
          </a:extLst>
        </xdr:cNvPr>
        <xdr:cNvSpPr txBox="1"/>
      </xdr:nvSpPr>
      <xdr:spPr>
        <a:xfrm>
          <a:off x="2552743" y="2091929"/>
          <a:ext cx="587110" cy="113418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KDS 16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K3-168/19/56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/27/25/2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CI2-350 DAN</a:t>
          </a: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CG313</a:t>
          </a: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</a:t>
          </a: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</a:t>
          </a:r>
          <a:endParaRPr lang="id-ID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378017</xdr:colOff>
      <xdr:row>12</xdr:row>
      <xdr:rowOff>50155</xdr:rowOff>
    </xdr:from>
    <xdr:to>
      <xdr:col>13</xdr:col>
      <xdr:colOff>202173</xdr:colOff>
      <xdr:row>17</xdr:row>
      <xdr:rowOff>3264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B2330D50-ECD5-41BC-82B1-289D9507FFFB}"/>
            </a:ext>
          </a:extLst>
        </xdr:cNvPr>
        <xdr:cNvSpPr txBox="1"/>
      </xdr:nvSpPr>
      <xdr:spPr>
        <a:xfrm>
          <a:off x="4136062" y="1920519"/>
          <a:ext cx="586156" cy="73242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KDS 16</a:t>
          </a:r>
        </a:p>
        <a:p>
          <a:pPr algn="ctr"/>
          <a:r>
            <a:rPr lang="en-US" sz="5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K3-168/19/56</a:t>
          </a:r>
        </a:p>
        <a:p>
          <a:pPr algn="ctr"/>
          <a:r>
            <a:rPr lang="en-US" sz="5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/24/25</a:t>
          </a:r>
        </a:p>
        <a:p>
          <a:pPr algn="l"/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C12-200 DAN</a:t>
          </a:r>
        </a:p>
        <a:p>
          <a:pPr algn="l"/>
          <a:r>
            <a:rPr lang="id-ID" sz="5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164123</xdr:colOff>
      <xdr:row>12</xdr:row>
      <xdr:rowOff>42938</xdr:rowOff>
    </xdr:from>
    <xdr:to>
      <xdr:col>8</xdr:col>
      <xdr:colOff>282766</xdr:colOff>
      <xdr:row>13</xdr:row>
      <xdr:rowOff>15199</xdr:rowOff>
    </xdr:to>
    <xdr:grpSp>
      <xdr:nvGrpSpPr>
        <xdr:cNvPr id="194" name="Group 193">
          <a:extLst>
            <a:ext uri="{FF2B5EF4-FFF2-40B4-BE49-F238E27FC236}">
              <a16:creationId xmlns:a16="http://schemas.microsoft.com/office/drawing/2014/main" id="{E6BAEF2D-1406-44B1-84BC-3559B806BAA8}"/>
            </a:ext>
          </a:extLst>
        </xdr:cNvPr>
        <xdr:cNvGrpSpPr/>
      </xdr:nvGrpSpPr>
      <xdr:grpSpPr>
        <a:xfrm>
          <a:off x="2754923" y="1890788"/>
          <a:ext cx="118643" cy="13418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5" name="Oval 194">
            <a:extLst>
              <a:ext uri="{FF2B5EF4-FFF2-40B4-BE49-F238E27FC236}">
                <a16:creationId xmlns:a16="http://schemas.microsoft.com/office/drawing/2014/main" id="{DC070AC2-DDF8-4D18-807B-6D65F39B90D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9" name="Straight Connector 198">
            <a:extLst>
              <a:ext uri="{FF2B5EF4-FFF2-40B4-BE49-F238E27FC236}">
                <a16:creationId xmlns:a16="http://schemas.microsoft.com/office/drawing/2014/main" id="{4C4A6112-8096-4191-A8B5-734695C9F096}"/>
              </a:ext>
            </a:extLst>
          </xdr:cNvPr>
          <xdr:cNvCxnSpPr>
            <a:stCxn id="195" idx="1"/>
            <a:endCxn id="19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7C19F7F0-898B-4CFA-8A9F-17363CF854EA}"/>
              </a:ext>
            </a:extLst>
          </xdr:cNvPr>
          <xdr:cNvCxnSpPr>
            <a:stCxn id="195" idx="3"/>
            <a:endCxn id="19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340680</xdr:colOff>
      <xdr:row>12</xdr:row>
      <xdr:rowOff>103611</xdr:rowOff>
    </xdr:from>
    <xdr:to>
      <xdr:col>8</xdr:col>
      <xdr:colOff>164123</xdr:colOff>
      <xdr:row>12</xdr:row>
      <xdr:rowOff>103612</xdr:rowOff>
    </xdr:to>
    <xdr:cxnSp macro="">
      <xdr:nvCxnSpPr>
        <xdr:cNvPr id="201" name="Straight Arrow Connector 200">
          <a:extLst>
            <a:ext uri="{FF2B5EF4-FFF2-40B4-BE49-F238E27FC236}">
              <a16:creationId xmlns:a16="http://schemas.microsoft.com/office/drawing/2014/main" id="{A7F8AA29-8444-45CA-A691-A8C9EE874D5E}"/>
            </a:ext>
          </a:extLst>
        </xdr:cNvPr>
        <xdr:cNvCxnSpPr>
          <a:stCxn id="195" idx="2"/>
        </xdr:cNvCxnSpPr>
      </xdr:nvCxnSpPr>
      <xdr:spPr>
        <a:xfrm flipH="1" flipV="1">
          <a:off x="2574725" y="1973975"/>
          <a:ext cx="204443" cy="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278106</xdr:colOff>
      <xdr:row>34</xdr:row>
      <xdr:rowOff>53954</xdr:rowOff>
    </xdr:from>
    <xdr:to>
      <xdr:col>20</xdr:col>
      <xdr:colOff>10391</xdr:colOff>
      <xdr:row>51</xdr:row>
      <xdr:rowOff>7854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49DCDEBC-E724-4240-B0B0-44333E3EA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17151" y="5335999"/>
          <a:ext cx="2780285" cy="2690173"/>
        </a:xfrm>
        <a:prstGeom prst="rect">
          <a:avLst/>
        </a:prstGeom>
      </xdr:spPr>
    </xdr:pic>
    <xdr:clientData/>
  </xdr:twoCellAnchor>
  <xdr:twoCellAnchor>
    <xdr:from>
      <xdr:col>27</xdr:col>
      <xdr:colOff>171450</xdr:colOff>
      <xdr:row>50</xdr:row>
      <xdr:rowOff>200025</xdr:rowOff>
    </xdr:from>
    <xdr:to>
      <xdr:col>27</xdr:col>
      <xdr:colOff>247650</xdr:colOff>
      <xdr:row>52</xdr:row>
      <xdr:rowOff>38610</xdr:rowOff>
    </xdr:to>
    <xdr:sp macro="" textlink="">
      <xdr:nvSpPr>
        <xdr:cNvPr id="87" name="Freeform: Shape 86">
          <a:extLst>
            <a:ext uri="{FF2B5EF4-FFF2-40B4-BE49-F238E27FC236}">
              <a16:creationId xmlns:a16="http://schemas.microsoft.com/office/drawing/2014/main" id="{F431E3F6-9DD0-43F9-AD73-45D87B863F16}"/>
            </a:ext>
          </a:extLst>
        </xdr:cNvPr>
        <xdr:cNvSpPr/>
      </xdr:nvSpPr>
      <xdr:spPr>
        <a:xfrm>
          <a:off x="10096500" y="7867650"/>
          <a:ext cx="76200" cy="238635"/>
        </a:xfrm>
        <a:custGeom>
          <a:avLst/>
          <a:gdLst>
            <a:gd name="connsiteX0" fmla="*/ 0 w 104775"/>
            <a:gd name="connsiteY0" fmla="*/ 0 h 123825"/>
            <a:gd name="connsiteX1" fmla="*/ 47625 w 104775"/>
            <a:gd name="connsiteY1" fmla="*/ 104775 h 123825"/>
            <a:gd name="connsiteX2" fmla="*/ 19050 w 104775"/>
            <a:gd name="connsiteY2" fmla="*/ 123825 h 123825"/>
            <a:gd name="connsiteX3" fmla="*/ 9525 w 104775"/>
            <a:gd name="connsiteY3" fmla="*/ 95250 h 123825"/>
            <a:gd name="connsiteX4" fmla="*/ 76200 w 104775"/>
            <a:gd name="connsiteY4" fmla="*/ 38100 h 123825"/>
            <a:gd name="connsiteX5" fmla="*/ 104775 w 104775"/>
            <a:gd name="connsiteY5" fmla="*/ 123825 h 1238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04775" h="123825">
              <a:moveTo>
                <a:pt x="0" y="0"/>
              </a:moveTo>
              <a:cubicBezTo>
                <a:pt x="12779" y="21298"/>
                <a:pt x="51060" y="77294"/>
                <a:pt x="47625" y="104775"/>
              </a:cubicBezTo>
              <a:cubicBezTo>
                <a:pt x="46205" y="116134"/>
                <a:pt x="28575" y="117475"/>
                <a:pt x="19050" y="123825"/>
              </a:cubicBezTo>
              <a:cubicBezTo>
                <a:pt x="15875" y="114300"/>
                <a:pt x="7874" y="105154"/>
                <a:pt x="9525" y="95250"/>
              </a:cubicBezTo>
              <a:cubicBezTo>
                <a:pt x="14412" y="65931"/>
                <a:pt x="58272" y="48857"/>
                <a:pt x="76200" y="38100"/>
              </a:cubicBezTo>
              <a:cubicBezTo>
                <a:pt x="96339" y="118656"/>
                <a:pt x="76737" y="95787"/>
                <a:pt x="104775" y="12382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27</xdr:col>
      <xdr:colOff>361950</xdr:colOff>
      <xdr:row>51</xdr:row>
      <xdr:rowOff>133350</xdr:rowOff>
    </xdr:from>
    <xdr:to>
      <xdr:col>28</xdr:col>
      <xdr:colOff>38100</xdr:colOff>
      <xdr:row>52</xdr:row>
      <xdr:rowOff>150826</xdr:rowOff>
    </xdr:to>
    <xdr:sp macro="" textlink="">
      <xdr:nvSpPr>
        <xdr:cNvPr id="88" name="Freeform: Shape 87">
          <a:extLst>
            <a:ext uri="{FF2B5EF4-FFF2-40B4-BE49-F238E27FC236}">
              <a16:creationId xmlns:a16="http://schemas.microsoft.com/office/drawing/2014/main" id="{3D41913A-E792-4476-B752-882818FD7DAC}"/>
            </a:ext>
          </a:extLst>
        </xdr:cNvPr>
        <xdr:cNvSpPr/>
      </xdr:nvSpPr>
      <xdr:spPr>
        <a:xfrm>
          <a:off x="10287000" y="8048625"/>
          <a:ext cx="57150" cy="169876"/>
        </a:xfrm>
        <a:custGeom>
          <a:avLst/>
          <a:gdLst>
            <a:gd name="connsiteX0" fmla="*/ 57150 w 219075"/>
            <a:gd name="connsiteY0" fmla="*/ 485775 h 485775"/>
            <a:gd name="connsiteX1" fmla="*/ 47625 w 219075"/>
            <a:gd name="connsiteY1" fmla="*/ 95250 h 485775"/>
            <a:gd name="connsiteX2" fmla="*/ 9525 w 219075"/>
            <a:gd name="connsiteY2" fmla="*/ 0 h 485775"/>
            <a:gd name="connsiteX3" fmla="*/ 0 w 219075"/>
            <a:gd name="connsiteY3" fmla="*/ 66675 h 485775"/>
            <a:gd name="connsiteX4" fmla="*/ 9525 w 219075"/>
            <a:gd name="connsiteY4" fmla="*/ 104775 h 485775"/>
            <a:gd name="connsiteX5" fmla="*/ 38100 w 219075"/>
            <a:gd name="connsiteY5" fmla="*/ 161925 h 485775"/>
            <a:gd name="connsiteX6" fmla="*/ 85725 w 219075"/>
            <a:gd name="connsiteY6" fmla="*/ 257175 h 485775"/>
            <a:gd name="connsiteX7" fmla="*/ 152400 w 219075"/>
            <a:gd name="connsiteY7" fmla="*/ 209550 h 485775"/>
            <a:gd name="connsiteX8" fmla="*/ 219075 w 219075"/>
            <a:gd name="connsiteY8" fmla="*/ 247650 h 4857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19075" h="485775">
              <a:moveTo>
                <a:pt x="57150" y="485775"/>
              </a:moveTo>
              <a:cubicBezTo>
                <a:pt x="70872" y="60383"/>
                <a:pt x="84951" y="319206"/>
                <a:pt x="47625" y="95250"/>
              </a:cubicBezTo>
              <a:cubicBezTo>
                <a:pt x="32576" y="4955"/>
                <a:pt x="61234" y="34473"/>
                <a:pt x="9525" y="0"/>
              </a:cubicBezTo>
              <a:cubicBezTo>
                <a:pt x="6350" y="22225"/>
                <a:pt x="0" y="44224"/>
                <a:pt x="0" y="66675"/>
              </a:cubicBezTo>
              <a:cubicBezTo>
                <a:pt x="0" y="79766"/>
                <a:pt x="5929" y="92188"/>
                <a:pt x="9525" y="104775"/>
              </a:cubicBezTo>
              <a:cubicBezTo>
                <a:pt x="19384" y="139281"/>
                <a:pt x="17228" y="130616"/>
                <a:pt x="38100" y="161925"/>
              </a:cubicBezTo>
              <a:cubicBezTo>
                <a:pt x="39584" y="172310"/>
                <a:pt x="36938" y="266045"/>
                <a:pt x="85725" y="257175"/>
              </a:cubicBezTo>
              <a:cubicBezTo>
                <a:pt x="112597" y="252289"/>
                <a:pt x="130175" y="225425"/>
                <a:pt x="152400" y="209550"/>
              </a:cubicBezTo>
              <a:lnTo>
                <a:pt x="219075" y="247650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 editAs="oneCell">
    <xdr:from>
      <xdr:col>6</xdr:col>
      <xdr:colOff>325335</xdr:colOff>
      <xdr:row>16</xdr:row>
      <xdr:rowOff>157101</xdr:rowOff>
    </xdr:from>
    <xdr:to>
      <xdr:col>18</xdr:col>
      <xdr:colOff>480270</xdr:colOff>
      <xdr:row>51</xdr:row>
      <xdr:rowOff>84928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22D738-0750-4201-8125-0CA9FB921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5764" y="2728851"/>
          <a:ext cx="7502792" cy="5642827"/>
        </a:xfrm>
        <a:prstGeom prst="rect">
          <a:avLst/>
        </a:prstGeom>
      </xdr:spPr>
    </xdr:pic>
    <xdr:clientData/>
  </xdr:twoCellAnchor>
  <xdr:twoCellAnchor>
    <xdr:from>
      <xdr:col>10</xdr:col>
      <xdr:colOff>569027</xdr:colOff>
      <xdr:row>36</xdr:row>
      <xdr:rowOff>157101</xdr:rowOff>
    </xdr:from>
    <xdr:to>
      <xdr:col>11</xdr:col>
      <xdr:colOff>216477</xdr:colOff>
      <xdr:row>38</xdr:row>
      <xdr:rowOff>80404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93F13B1-D208-4CE5-9F60-E3C259270B39}"/>
            </a:ext>
          </a:extLst>
        </xdr:cNvPr>
        <xdr:cNvSpPr/>
      </xdr:nvSpPr>
      <xdr:spPr>
        <a:xfrm rot="10800000">
          <a:off x="5358741" y="5994565"/>
          <a:ext cx="259772" cy="24987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11</xdr:col>
      <xdr:colOff>91541</xdr:colOff>
      <xdr:row>33</xdr:row>
      <xdr:rowOff>21029</xdr:rowOff>
    </xdr:from>
    <xdr:to>
      <xdr:col>11</xdr:col>
      <xdr:colOff>100199</xdr:colOff>
      <xdr:row>38</xdr:row>
      <xdr:rowOff>3709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310BF23B-5BF1-4263-A5D1-8AC48D3ED913}"/>
            </a:ext>
          </a:extLst>
        </xdr:cNvPr>
        <xdr:cNvCxnSpPr/>
      </xdr:nvCxnSpPr>
      <xdr:spPr>
        <a:xfrm flipH="1">
          <a:off x="5493577" y="5368636"/>
          <a:ext cx="8658" cy="79910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rbilang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HARGA SATUAN"/>
      <sheetName val="ca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REKAP KONSTRUKSI"/>
      <sheetName val="Sheet2"/>
      <sheetName val="Sheet3"/>
      <sheetName val="Sheet4"/>
      <sheetName val="www.Kelasexcel.web.id"/>
      <sheetName val="DETAIL USULAN"/>
      <sheetName val="NO. PRK"/>
      <sheetName val="DB"/>
      <sheetName val="LOKASI"/>
      <sheetName val="HARGA SATUAN"/>
      <sheetName val="PROGRAM"/>
      <sheetName val="RAB"/>
      <sheetName val="SAMPUL"/>
      <sheetName val="PENGESAHAN"/>
      <sheetName val="DATA"/>
      <sheetName val="KKO"/>
      <sheetName val="KKF"/>
      <sheetName val="KR"/>
      <sheetName val="REKAP USULAN"/>
      <sheetName val="DATA MATERIAL"/>
      <sheetName val="REKAP MDU"/>
      <sheetName val="REKAP TIANG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AVING KWH SUSUT"/>
    </sheetNames>
    <definedNames>
      <definedName name="terbilang"/>
    </definedNames>
    <sheetDataSet>
      <sheetData sheetId="0"/>
      <sheetData sheetId="1" refreshError="1"/>
      <sheetData sheetId="2" refreshError="1"/>
      <sheetData sheetId="3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4" sqref="C24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1" t="s">
        <v>1134</v>
      </c>
      <c r="C4" s="531"/>
      <c r="D4" s="531"/>
      <c r="E4" s="531"/>
      <c r="F4" s="531"/>
      <c r="G4" s="531"/>
      <c r="H4" s="53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2" t="s">
        <v>0</v>
      </c>
      <c r="C7" s="532" t="s">
        <v>1</v>
      </c>
      <c r="D7" s="533" t="s">
        <v>42</v>
      </c>
      <c r="E7" s="533" t="s">
        <v>43</v>
      </c>
      <c r="F7" s="533" t="s">
        <v>1135</v>
      </c>
      <c r="G7" s="534" t="s">
        <v>41</v>
      </c>
      <c r="H7" s="530" t="s">
        <v>1042</v>
      </c>
      <c r="I7" s="530" t="s">
        <v>1137</v>
      </c>
      <c r="J7" s="530" t="s">
        <v>1026</v>
      </c>
      <c r="K7" s="524" t="s">
        <v>1024</v>
      </c>
      <c r="L7" s="525"/>
    </row>
    <row r="8" spans="1:12" ht="15" customHeight="1">
      <c r="B8" s="532"/>
      <c r="C8" s="532"/>
      <c r="D8" s="533"/>
      <c r="E8" s="533"/>
      <c r="F8" s="533"/>
      <c r="G8" s="534"/>
      <c r="H8" s="530"/>
      <c r="I8" s="530"/>
      <c r="J8" s="530"/>
      <c r="K8" s="526"/>
      <c r="L8" s="527"/>
    </row>
    <row r="9" spans="1:12" ht="15" customHeight="1">
      <c r="B9" s="532"/>
      <c r="C9" s="532"/>
      <c r="D9" s="533"/>
      <c r="E9" s="533"/>
      <c r="F9" s="533"/>
      <c r="G9" s="534"/>
      <c r="H9" s="530"/>
      <c r="I9" s="530"/>
      <c r="J9" s="530"/>
      <c r="K9" s="528"/>
      <c r="L9" s="52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105 kVA MCCB 160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14217900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Line Post ) 20 KV Polymer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3</v>
      </c>
      <c r="G17" s="41">
        <f ca="1">IF(ISERROR(OFFSET('HARGA SATUAN'!$I$6,MATCH(C17,'HARGA SATUAN'!$C$7:$C$1492,0),0)),"",OFFSET('HARGA SATUAN'!$I$6,MATCH(C17,'HARGA SATUAN'!$C$7:$C$1492,0),0))</f>
        <v>176900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Tarik ( Suspension Polymer ) 20 KV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Set</v>
      </c>
      <c r="F18" s="138">
        <f t="shared" ca="1" si="2"/>
        <v>3</v>
      </c>
      <c r="G18" s="41">
        <f ca="1">IF(ISERROR(OFFSET('HARGA SATUAN'!$I$6,MATCH(C18,'HARGA SATUAN'!$C$7:$C$1492,0),0)),"",OFFSET('HARGA SATUAN'!$I$6,MATCH(C18,'HARGA SATUAN'!$C$7:$C$1492,0),0))</f>
        <v>205700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249</v>
      </c>
      <c r="G19" s="41">
        <f ca="1">IF(ISERROR(OFFSET('HARGA SATUAN'!$I$6,MATCH(C19,'HARGA SATUAN'!$C$7:$C$1492,0),0)),"",OFFSET('HARGA SATUAN'!$I$6,MATCH(C19,'HARGA SATUAN'!$C$7:$C$1492,0),0))</f>
        <v>14200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NFA2X-T 2 x 70 + N 70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3</v>
      </c>
      <c r="G20" s="41">
        <f ca="1">IF(ISERROR(OFFSET('HARGA SATUAN'!$I$6,MATCH(C20,'HARGA SATUAN'!$C$7:$C$1492,0),0)),"",OFFSET('HARGA SATUAN'!$I$6,MATCH(C20,'HARGA SATUAN'!$C$7:$C$1492,0),0))</f>
        <v>53300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NFA2X-T 3x70+1x70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38">
        <f t="shared" ca="1" si="2"/>
        <v>12</v>
      </c>
      <c r="G21" s="41">
        <f ca="1">IF(ISERROR(OFFSET('HARGA SATUAN'!$I$6,MATCH(C21,'HARGA SATUAN'!$C$7:$C$1492,0),0)),"",OFFSET('HARGA SATUAN'!$I$6,MATCH(C21,'HARGA SATUAN'!$C$7:$C$1492,0),0))</f>
        <v>54500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Modem 3G/4G</v>
      </c>
      <c r="D22" s="101" t="str">
        <f ca="1">IF(ISERROR(OFFSET('HARGA SATUAN'!$D$6,MATCH(C22,'HARGA SATUAN'!$C$7:$C$1492,0),0)),"",OFFSET('HARGA SATUAN'!$D$6,MATCH(C22,'HARGA SATUAN'!$C$7:$C$1492,0),0))</f>
        <v>HDW</v>
      </c>
      <c r="E22" s="101" t="str">
        <f ca="1">IF(B22="+","Unit",IF(ISERROR(OFFSET('HARGA SATUAN'!$E$6,MATCH(C22,'HARGA SATUAN'!$C$7:$C$1492,0),0)),"",OFFSET('HARGA SATUAN'!$E$6,MATCH(C22,'HARGA SATUAN'!$C$7:$C$1492,0),0)))</f>
        <v>Unit</v>
      </c>
      <c r="F22" s="138">
        <f t="shared" ca="1" si="2"/>
        <v>1</v>
      </c>
      <c r="G22" s="41">
        <f ca="1">IF(ISERROR(OFFSET('HARGA SATUAN'!$I$6,MATCH(C22,'HARGA SATUAN'!$C$7:$C$1492,0),0)),"",OFFSET('HARGA SATUAN'!$I$6,MATCH(C22,'HARGA SATUAN'!$C$7:$C$1492,0),0))</f>
        <v>1113900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SUMIFS(RAB!$F$14:$F$153,RAB!$C$14:$C$153,C714)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SUMIFS(RAB!$F$14:$F$153,RAB!$C$14:$C$153,C715)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SUMIFS(RAB!$F$14:$F$153,RAB!$C$14:$C$153,C716)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SUMIFS(RAB!$F$14:$F$153,RAB!$C$14:$C$153,C717)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SUMIFS(RAB!$F$14:$F$153,RAB!$C$14:$C$153,C718)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SUMIFS(RAB!$F$14:$F$153,RAB!$C$14:$C$153,C719)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SUMIFS(RAB!$F$14:$F$153,RAB!$C$14:$C$153,C720)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SUMIFS(RAB!$F$14:$F$153,RAB!$C$14:$C$153,C721)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SUMIFS(RAB!$F$14:$F$153,RAB!$C$14:$C$153,C722)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SUMIFS(RAB!$F$14:$F$153,RAB!$C$14:$C$153,C723)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SUMIFS(RAB!$F$14:$F$153,RAB!$C$14:$C$153,C724)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SUMIFS(RAB!$F$14:$F$153,RAB!$C$14:$C$153,C725)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SUMIFS(RAB!$F$14:$F$153,RAB!$C$14:$C$153,C726)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SUMIFS(RAB!$F$14:$F$153,RAB!$C$14:$C$153,C727)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SUMIFS(RAB!$F$14:$F$153,RAB!$C$14:$C$153,C728)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SUMIFS(RAB!$F$14:$F$153,RAB!$C$14:$C$153,C729)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SUMIFS(RAB!$F$14:$F$153,RAB!$C$14:$C$153,C730)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SUMIFS(RAB!$F$14:$F$153,RAB!$C$14:$C$153,C731)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SUMIFS(RAB!$F$14:$F$153,RAB!$C$14:$C$153,C732)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SUMIFS(RAB!$F$14:$F$153,RAB!$C$14:$C$153,C733)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SUMIFS(RAB!$F$14:$F$153,RAB!$C$14:$C$153,C734)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SUMIFS(RAB!$F$14:$F$153,RAB!$C$14:$C$153,C735)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SUMIFS(RAB!$F$14:$F$153,RAB!$C$14:$C$153,C736)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SUMIFS(RAB!$F$14:$F$153,RAB!$C$14:$C$153,C737)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SUMIFS(RAB!$F$14:$F$153,RAB!$C$14:$C$153,C738)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SUMIFS(RAB!$F$14:$F$153,RAB!$C$14:$C$153,C739)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SUMIFS(RAB!$F$14:$F$153,RAB!$C$14:$C$153,C740)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SUMIFS(RAB!$F$14:$F$153,RAB!$C$14:$C$153,C741)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SUMIFS(RAB!$F$14:$F$153,RAB!$C$14:$C$153,C742)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SUMIFS(RAB!$F$14:$F$153,RAB!$C$14:$C$153,C743)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SUMIFS(RAB!$F$14:$F$153,RAB!$C$14:$C$153,C744)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SUMIFS(RAB!$F$14:$F$153,RAB!$C$14:$C$153,C745)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SUMIFS(RAB!$F$14:$F$153,RAB!$C$14:$C$153,C746)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SUMIFS(RAB!$F$14:$F$153,RAB!$C$14:$C$153,C747)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SUMIFS(RAB!$F$14:$F$153,RAB!$C$14:$C$153,C748)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SUMIFS(RAB!$F$14:$F$153,RAB!$C$14:$C$153,C749)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SUMIFS(RAB!$F$14:$F$153,RAB!$C$14:$C$153,C750)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SUMIFS(RAB!$F$14:$F$153,RAB!$C$14:$C$153,C751)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SUMIFS(RAB!$F$14:$F$153,RAB!$C$14:$C$153,C752)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SUMIFS(RAB!$F$14:$F$153,RAB!$C$14:$C$153,C753)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SUMIFS(RAB!$F$14:$F$153,RAB!$C$14:$C$153,C754)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SUMIFS(RAB!$F$14:$F$153,RAB!$C$14:$C$153,C755)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SUMIFS(RAB!$F$14:$F$153,RAB!$C$14:$C$153,C756)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SUMIFS(RAB!$F$14:$F$153,RAB!$C$14:$C$153,C757)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SUMIFS(RAB!$F$14:$F$153,RAB!$C$14:$C$153,C758)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SUMIFS(RAB!$F$14:$F$153,RAB!$C$14:$C$153,C759)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SUMIFS(RAB!$F$14:$F$153,RAB!$C$14:$C$153,C760)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SUMIFS(RAB!$F$14:$F$153,RAB!$C$14:$C$153,C761)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SUMIFS(RAB!$F$14:$F$153,RAB!$C$14:$C$153,C762)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SUMIFS(RAB!$F$14:$F$153,RAB!$C$14:$C$153,C763)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SUMIFS(RAB!$F$14:$F$153,RAB!$C$14:$C$153,C764)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SUMIFS(RAB!$F$14:$F$153,RAB!$C$14:$C$153,C765)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SUMIFS(RAB!$F$14:$F$153,RAB!$C$14:$C$153,C766)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SUMIFS(RAB!$F$14:$F$153,RAB!$C$14:$C$153,C767)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SUMIFS(RAB!$F$14:$F$153,RAB!$C$14:$C$153,C768)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SUMIFS(RAB!$F$14:$F$153,RAB!$C$14:$C$153,C769)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SUMIFS(RAB!$F$14:$F$153,RAB!$C$14:$C$153,C770)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SUMIFS(RAB!$F$14:$F$153,RAB!$C$14:$C$153,C771)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SUMIFS(RAB!$F$14:$F$153,RAB!$C$14:$C$153,C772)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SUMIFS(RAB!$F$14:$F$153,RAB!$C$14:$C$153,C773)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SUMIFS(RAB!$F$14:$F$153,RAB!$C$14:$C$153,C774)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SUMIFS(RAB!$F$14:$F$153,RAB!$C$14:$C$153,C775)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SUMIFS(RAB!$F$14:$F$153,RAB!$C$14:$C$153,C776)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SUMIFS(RAB!$F$14:$F$153,RAB!$C$14:$C$153,C777)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SUMIFS(RAB!$F$14:$F$153,RAB!$C$14:$C$153,C778)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SUMIFS(RAB!$F$14:$F$153,RAB!$C$14:$C$153,C779)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SUMIFS(RAB!$F$14:$F$153,RAB!$C$14:$C$153,C780)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SUMIFS(RAB!$F$14:$F$153,RAB!$C$14:$C$153,C781)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SUMIFS(RAB!$F$14:$F$153,RAB!$C$14:$C$153,C782)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SUMIFS(RAB!$F$14:$F$153,RAB!$C$14:$C$153,C783)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SUMIFS(RAB!$F$14:$F$153,RAB!$C$14:$C$153,C784)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SUMIFS(RAB!$F$14:$F$153,RAB!$C$14:$C$153,C785)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SUMIFS(RAB!$F$14:$F$153,RAB!$C$14:$C$153,C786)</f>
        <v>1</v>
      </c>
      <c r="E786" s="26">
        <f t="shared" ca="1" si="34"/>
        <v>1</v>
      </c>
      <c r="F786" s="26">
        <f ca="1">IF(D786=0,0,SUM($E$713:E786))</f>
        <v>2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SUMIFS(RAB!$F$14:$F$153,RAB!$C$14:$C$153,C787)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SUMIFS(RAB!$F$14:$F$153,RAB!$C$14:$C$153,C788)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SUMIFS(RAB!$F$14:$F$153,RAB!$C$14:$C$153,C789)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SUMIFS(RAB!$F$14:$F$153,RAB!$C$14:$C$153,C790)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SUMIFS(RAB!$F$14:$F$153,RAB!$C$14:$C$153,C791)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SUMIFS(RAB!$F$14:$F$153,RAB!$C$14:$C$153,C792)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SUMIFS(RAB!$F$14:$F$153,RAB!$C$14:$C$153,C793)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SUMIFS(RAB!$F$14:$F$153,RAB!$C$14:$C$153,C794)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SUMIFS(RAB!$F$14:$F$153,RAB!$C$14:$C$153,C795)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SUMIFS(RAB!$F$14:$F$153,RAB!$C$14:$C$153,C796)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SUMIFS(RAB!$F$14:$F$153,RAB!$C$14:$C$153,C797)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SUMIFS(RAB!$F$14:$F$153,RAB!$C$14:$C$153,C798)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SUMIFS(RAB!$F$14:$F$153,RAB!$C$14:$C$153,C799)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SUMIFS(RAB!$F$14:$F$153,RAB!$C$14:$C$153,C800)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SUMIFS(RAB!$F$14:$F$153,RAB!$C$14:$C$153,C801)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SUMIFS(RAB!$F$14:$F$153,RAB!$C$14:$C$153,C802)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SUMIFS(RAB!$F$14:$F$153,RAB!$C$14:$C$153,C803)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SUMIFS(RAB!$F$14:$F$153,RAB!$C$14:$C$153,C804)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SUMIFS(RAB!$F$14:$F$153,RAB!$C$14:$C$153,C805)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SUMIFS(RAB!$F$14:$F$153,RAB!$C$14:$C$153,C806)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SUMIFS(RAB!$F$14:$F$153,RAB!$C$14:$C$153,C807)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SUMIFS(RAB!$F$14:$F$153,RAB!$C$14:$C$153,C808)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SUMIFS(RAB!$F$14:$F$153,RAB!$C$14:$C$153,C809)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SUMIFS(RAB!$F$14:$F$153,RAB!$C$14:$C$153,C810)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SUMIFS(RAB!$F$14:$F$153,RAB!$C$14:$C$153,C811)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SUMIFS(RAB!$F$14:$F$153,RAB!$C$14:$C$153,C812)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SUMIFS(RAB!$F$14:$F$153,RAB!$C$14:$C$153,C813)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SUMIFS(RAB!$F$14:$F$153,RAB!$C$14:$C$153,C814)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SUMIFS(RAB!$F$14:$F$153,RAB!$C$14:$C$153,C815)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SUMIFS(RAB!$F$14:$F$153,RAB!$C$14:$C$153,C816)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SUMIFS(RAB!$F$14:$F$153,RAB!$C$14:$C$153,C817)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SUMIFS(RAB!$F$14:$F$153,RAB!$C$14:$C$153,C818)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SUMIFS(RAB!$F$14:$F$153,RAB!$C$14:$C$153,C819)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SUMIFS(RAB!$F$14:$F$153,RAB!$C$14:$C$153,C820)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SUMIFS(RAB!$F$14:$F$153,RAB!$C$14:$C$153,C821)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SUMIFS(RAB!$F$14:$F$153,RAB!$C$14:$C$153,C822)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SUMIFS(RAB!$F$14:$F$153,RAB!$C$14:$C$153,C823)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SUMIFS(RAB!$F$14:$F$153,RAB!$C$14:$C$153,C824)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SUMIFS(RAB!$F$14:$F$153,RAB!$C$14:$C$153,C825)</f>
        <v>3</v>
      </c>
      <c r="E825" s="26">
        <f t="shared" ca="1" si="34"/>
        <v>1</v>
      </c>
      <c r="F825" s="26">
        <f ca="1">IF(D825=0,0,SUM($E$713:E825))</f>
        <v>6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SUMIFS(RAB!$F$14:$F$153,RAB!$C$14:$C$153,C826)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SUMIFS(RAB!$F$14:$F$153,RAB!$C$14:$C$153,C827)</f>
        <v>3</v>
      </c>
      <c r="E827" s="26">
        <f t="shared" ca="1" si="34"/>
        <v>1</v>
      </c>
      <c r="F827" s="26">
        <f ca="1">IF(D827=0,0,SUM($E$713:E827))</f>
        <v>7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SUMIFS(RAB!$F$14:$F$153,RAB!$C$14:$C$153,C828)</f>
        <v>249</v>
      </c>
      <c r="E828" s="26">
        <f t="shared" ca="1" si="34"/>
        <v>1</v>
      </c>
      <c r="F828" s="26">
        <f ca="1">IF(D828=0,0,SUM($E$713:E828))</f>
        <v>8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SUMIFS(RAB!$F$14:$F$153,RAB!$C$14:$C$153,C829)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SUMIFS(RAB!$F$14:$F$153,RAB!$C$14:$C$153,C830)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SUMIFS(RAB!$F$14:$F$153,RAB!$C$14:$C$153,C831)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SUMIFS(RAB!$F$14:$F$153,RAB!$C$14:$C$153,C832)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SUMIFS(RAB!$F$14:$F$153,RAB!$C$14:$C$153,C833)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SUMIFS(RAB!$F$14:$F$153,RAB!$C$14:$C$153,C834)</f>
        <v>3</v>
      </c>
      <c r="E834" s="26">
        <f t="shared" ca="1" si="34"/>
        <v>1</v>
      </c>
      <c r="F834" s="26">
        <f ca="1">IF(D834=0,0,SUM($E$713:E834))</f>
        <v>9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SUMIFS(RAB!$F$14:$F$153,RAB!$C$14:$C$153,C835)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SUMIFS(RAB!$F$14:$F$153,RAB!$C$14:$C$153,C836)</f>
        <v>12</v>
      </c>
      <c r="E836" s="26">
        <f t="shared" ca="1" si="34"/>
        <v>1</v>
      </c>
      <c r="F836" s="26">
        <f ca="1">IF(D836=0,0,SUM($E$713:E836))</f>
        <v>10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SUMIFS(RAB!$F$14:$F$153,RAB!$C$14:$C$153,C837)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SUMIFS(RAB!$F$14:$F$153,RAB!$C$14:$C$153,C838)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SUMIFS(RAB!$F$14:$F$153,RAB!$C$14:$C$153,C839)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SUMIFS(RAB!$F$14:$F$153,RAB!$C$14:$C$153,C840)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SUMIFS(RAB!$F$14:$F$153,RAB!$C$14:$C$153,C841)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SUMIFS(RAB!$F$14:$F$153,RAB!$C$14:$C$153,C842)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SUMIFS(RAB!$F$14:$F$153,RAB!$C$14:$C$153,C843)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SUMIFS(RAB!$F$14:$F$153,RAB!$C$14:$C$153,C844)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SUMIFS(RAB!$F$14:$F$153,RAB!$C$14:$C$153,C845)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SUMIFS(RAB!$F$14:$F$153,RAB!$C$14:$C$153,C846)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SUMIFS(RAB!$F$14:$F$153,RAB!$C$14:$C$153,C847)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SUMIFS(RAB!$F$14:$F$153,RAB!$C$14:$C$153,C848)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SUMIFS(RAB!$F$14:$F$153,RAB!$C$14:$C$153,C849)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SUMIFS(RAB!$F$14:$F$153,RAB!$C$14:$C$153,C850)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SUMIFS(RAB!$F$14:$F$153,RAB!$C$14:$C$153,C851)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SUMIFS(RAB!$F$14:$F$153,RAB!$C$14:$C$153,C852)</f>
        <v>1</v>
      </c>
      <c r="E852" s="26">
        <f t="shared" ca="1" si="35"/>
        <v>1</v>
      </c>
      <c r="F852" s="26">
        <f ca="1">IF(D852=0,0,SUM($E$713:E852))</f>
        <v>11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SUMIFS(RAB!$F$14:$F$153,RAB!$C$14:$C$153,C853)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SUMIFS(RAB!$F$14:$F$153,RAB!$C$14:$C$153,C854)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SUMIFS(RAB!$F$14:$F$153,RAB!$C$14:$C$153,C855)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SUMIFS(RAB!$F$14:$F$153,RAB!$C$14:$C$153,C856)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SUMIFS(RAB!$F$14:$F$153,RAB!$C$14:$C$153,C857)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SUMIFS(RAB!$F$14:$F$153,RAB!$C$14:$C$153,C858)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SUMIFS(RAB!$F$14:$F$153,RAB!$C$14:$C$153,C859)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SUMIFS(RAB!$F$14:$F$153,RAB!$C$14:$C$153,C860)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SUMIFS(RAB!$F$14:$F$153,RAB!$C$14:$C$153,C861)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SUMIFS(RAB!$F$14:$F$153,RAB!$C$14:$C$153,C862)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SUMIFS(RAB!$F$14:$F$153,RAB!$C$14:$C$153,C863)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SUMIFS(RAB!$F$14:$F$153,RAB!$C$14:$C$153,C864)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SUMIFS(RAB!$F$14:$F$153,RAB!$C$14:$C$153,C865)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SUMIFS(RAB!$F$14:$F$153,RAB!$C$14:$C$153,C866)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SUMIFS(RAB!$F$14:$F$153,RAB!$C$14:$C$153,C867)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SUMIFS(RAB!$F$14:$F$153,RAB!$C$14:$C$153,C868)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SUMIFS(RAB!$F$14:$F$153,RAB!$C$14:$C$153,C869)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SUMIFS(RAB!$F$14:$F$153,RAB!$C$14:$C$153,C870)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SUMIFS(RAB!$F$14:$F$153,RAB!$C$14:$C$153,C871)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SUMIFS(RAB!$F$14:$F$153,RAB!$C$14:$C$153,C872)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SUMIFS(RAB!$F$14:$F$153,RAB!$C$14:$C$153,C873)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SUMIFS(RAB!$F$14:$F$153,RAB!$C$14:$C$153,C874)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SUMIFS(RAB!$F$14:$F$153,RAB!$C$14:$C$153,C875)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SUMIFS(RAB!$F$14:$F$153,RAB!$C$14:$C$153,C876)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SUMIFS(RAB!$F$14:$F$153,RAB!$C$14:$C$153,C877)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SUMIFS(RAB!$F$14:$F$153,RAB!$C$14:$C$153,C878)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SUMIFS(RAB!$F$14:$F$153,RAB!$C$14:$C$153,C879)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SUMIFS(RAB!$F$14:$F$153,RAB!$C$14:$C$153,C880)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SUMIFS(RAB!$F$14:$F$153,RAB!$C$14:$C$153,C881)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SUMIFS(RAB!$F$14:$F$153,RAB!$C$14:$C$153,C882)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SUMIFS(RAB!$F$14:$F$153,RAB!$C$14:$C$153,C883)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SUMIFS(RAB!$F$14:$F$153,RAB!$C$14:$C$153,C884)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SUMIFS(RAB!$F$14:$F$153,RAB!$C$14:$C$153,C885)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SUMIFS(RAB!$F$14:$F$153,RAB!$C$14:$C$153,C886)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SUMIFS(RAB!$F$14:$F$153,RAB!$C$14:$C$153,C887)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SUMIFS(RAB!$F$14:$F$153,RAB!$C$14:$C$153,C888)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SUMIFS(RAB!$F$14:$F$153,RAB!$C$14:$C$153,C889)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SUMIFS(RAB!$F$14:$F$153,RAB!$C$14:$C$153,C890)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SUMIFS(RAB!$F$14:$F$153,RAB!$C$14:$C$153,C891)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SUMIFS(RAB!$F$14:$F$153,RAB!$C$14:$C$153,C892)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SUMIFS(RAB!$F$14:$F$153,RAB!$C$14:$C$153,C893)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SUMIFS(RAB!$F$14:$F$153,RAB!$C$14:$C$153,C894)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SUMIFS(RAB!$F$14:$F$153,RAB!$C$14:$C$153,C895)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SUMIFS(RAB!$F$14:$F$153,RAB!$C$14:$C$153,C896)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SUMIFS(RAB!$F$14:$F$153,RAB!$C$14:$C$153,C897)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SUMIFS(RAB!$F$14:$F$153,RAB!$C$14:$C$153,C898)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SUMIFS(RAB!$F$14:$F$153,RAB!$C$14:$C$153,C899)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SUMIFS(RAB!$F$14:$F$153,RAB!$C$14:$C$153,C900)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SUMIFS(RAB!$F$14:$F$153,RAB!$C$14:$C$153,C901)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SUMIFS(RAB!$F$14:$F$153,RAB!$C$14:$C$153,C902)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SUMIFS(RAB!$F$14:$F$153,RAB!$C$14:$C$153,C903)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SUMIFS(RAB!$F$14:$F$153,RAB!$C$14:$C$153,C904)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SUMIFS(RAB!$F$14:$F$153,RAB!$C$14:$C$153,C905)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SUMIFS(RAB!$F$14:$F$153,RAB!$C$14:$C$153,C906)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SUMIFS(RAB!$F$14:$F$153,RAB!$C$14:$C$153,C907)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SUMIFS(RAB!$F$14:$F$153,RAB!$C$14:$C$153,C908)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SUMIFS(RAB!$F$14:$F$153,RAB!$C$14:$C$153,C909)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SUMIFS(RAB!$F$14:$F$153,RAB!$C$14:$C$153,C910)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SUMIFS(RAB!$F$14:$F$153,RAB!$C$14:$C$153,C911)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SUMIFS(RAB!$F$14:$F$153,RAB!$C$14:$C$153,C912)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SUMIFS(RAB!$F$14:$F$153,RAB!$C$14:$C$153,C913)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SUMIFS(RAB!$F$14:$F$153,RAB!$C$14:$C$153,C914)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SUMIFS(RAB!$F$14:$F$153,RAB!$C$14:$C$153,C915)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SUMIFS(RAB!$F$14:$F$153,RAB!$C$14:$C$153,C916)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SUMIFS(RAB!$F$14:$F$153,RAB!$C$14:$C$153,C917)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SUMIFS(RAB!$F$14:$F$153,RAB!$C$14:$C$153,C918)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SUMIFS(RAB!$F$14:$F$153,RAB!$C$14:$C$153,C919)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SUMIFS(RAB!$F$14:$F$153,RAB!$C$14:$C$153,C920)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SUMIFS(RAB!$F$14:$F$153,RAB!$C$14:$C$153,C921)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SUMIFS(RAB!$F$14:$F$153,RAB!$C$14:$C$153,C922)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SUMIFS(RAB!$F$14:$F$153,RAB!$C$14:$C$153,C923)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SUMIFS(RAB!$F$14:$F$153,RAB!$C$14:$C$153,C924)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SUMIFS(RAB!$F$14:$F$153,RAB!$C$14:$C$153,C925)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SUMIFS(RAB!$F$14:$F$153,RAB!$C$14:$C$153,C926)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SUMIFS(RAB!$F$14:$F$153,RAB!$C$14:$C$153,C927)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SUMIFS(RAB!$F$14:$F$153,RAB!$C$14:$C$153,C928)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SUMIFS(RAB!$F$14:$F$153,RAB!$C$14:$C$153,C929)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SUMIFS(RAB!$F$14:$F$153,RAB!$C$14:$C$153,C930)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SUMIFS(RAB!$F$14:$F$153,RAB!$C$14:$C$153,C931)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SUMIFS(RAB!$F$14:$F$153,RAB!$C$14:$C$153,C932)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SUMIFS(RAB!$F$14:$F$153,RAB!$C$14:$C$153,C933)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SUMIFS(RAB!$F$14:$F$153,RAB!$C$14:$C$153,C934)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SUMIFS(RAB!$F$14:$F$153,RAB!$C$14:$C$153,C935)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SUMIFS(RAB!$F$14:$F$153,RAB!$C$14:$C$153,C936)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SUMIFS(RAB!$F$14:$F$153,RAB!$C$14:$C$153,C937)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SUMIFS(RAB!$F$14:$F$153,RAB!$C$14:$C$153,C938)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SUMIFS(RAB!$F$14:$F$153,RAB!$C$14:$C$153,C939)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SUMIFS(RAB!$F$14:$F$153,RAB!$C$14:$C$153,C940)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SUMIFS(RAB!$F$14:$F$153,RAB!$C$14:$C$153,C941)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SUMIFS(RAB!$F$14:$F$153,RAB!$C$14:$C$153,C942)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SUMIFS(RAB!$F$14:$F$153,RAB!$C$14:$C$153,C943)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SUMIFS(RAB!$F$14:$F$153,RAB!$C$14:$C$153,C944)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SUMIFS(RAB!$F$14:$F$153,RAB!$C$14:$C$153,C945)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SUMIFS(RAB!$F$14:$F$153,RAB!$C$14:$C$153,C946)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SUMIFS(RAB!$F$14:$F$153,RAB!$C$14:$C$153,C947)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SUMIFS(RAB!$F$14:$F$153,RAB!$C$14:$C$153,C948)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SUMIFS(RAB!$F$14:$F$153,RAB!$C$14:$C$153,C949)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SUMIFS(RAB!$F$14:$F$153,RAB!$C$14:$C$153,C950)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SUMIFS(RAB!$F$14:$F$153,RAB!$C$14:$C$153,C951)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SUMIFS(RAB!$F$14:$F$153,RAB!$C$14:$C$153,C952)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SUMIFS(RAB!$F$14:$F$153,RAB!$C$14:$C$153,C953)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SUMIFS(RAB!$F$14:$F$153,RAB!$C$14:$C$153,C954)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SUMIFS(RAB!$F$14:$F$153,RAB!$C$14:$C$153,C955)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SUMIFS(RAB!$F$14:$F$153,RAB!$C$14:$C$153,C956)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SUMIFS(RAB!$F$14:$F$153,RAB!$C$14:$C$153,C957)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SUMIFS(RAB!$F$14:$F$153,RAB!$C$14:$C$153,C958)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SUMIFS(RAB!$F$14:$F$153,RAB!$C$14:$C$153,C959)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SUMIFS(RAB!$F$14:$F$153,RAB!$C$14:$C$153,C960)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SUMIFS(RAB!$F$14:$F$153,RAB!$C$14:$C$153,C961)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SUMIFS(RAB!$F$14:$F$153,RAB!$C$14:$C$153,C962)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SUMIFS(RAB!$F$14:$F$153,RAB!$C$14:$C$153,C963)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SUMIFS(RAB!$F$14:$F$153,RAB!$C$14:$C$153,C964)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SUMIFS(RAB!$F$14:$F$153,RAB!$C$14:$C$153,C965)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SUMIFS(RAB!$F$14:$F$153,RAB!$C$14:$C$153,C966)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SUMIFS(RAB!$F$14:$F$153,RAB!$C$14:$C$153,C967)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SUMIFS(RAB!$F$14:$F$153,RAB!$C$14:$C$153,C968)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SUMIFS(RAB!$F$14:$F$153,RAB!$C$14:$C$153,C969)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SUMIFS(RAB!$F$14:$F$153,RAB!$C$14:$C$153,C970)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SUMIFS(RAB!$F$14:$F$153,RAB!$C$14:$C$153,C971)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SUMIFS(RAB!$F$14:$F$153,RAB!$C$14:$C$153,C972)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SUMIFS(RAB!$F$14:$F$153,RAB!$C$14:$C$153,C973)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SUMIFS(RAB!$F$14:$F$153,RAB!$C$14:$C$153,C974)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SUMIFS(RAB!$F$14:$F$153,RAB!$C$14:$C$153,C975)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SUMIFS(RAB!$F$14:$F$153,RAB!$C$14:$C$153,C976)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SUMIFS(RAB!$F$14:$F$153,RAB!$C$14:$C$153,C977)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SUMIFS(RAB!$F$14:$F$153,RAB!$C$14:$C$153,C978)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SUMIFS(RAB!$F$14:$F$153,RAB!$C$14:$C$153,C979)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SUMIFS(RAB!$F$14:$F$153,RAB!$C$14:$C$153,C980)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SUMIFS(RAB!$F$14:$F$153,RAB!$C$14:$C$153,C981)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SUMIFS(RAB!$F$14:$F$153,RAB!$C$14:$C$153,C982)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SUMIFS(RAB!$F$14:$F$153,RAB!$C$14:$C$153,C983)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SUMIFS(RAB!$F$14:$F$153,RAB!$C$14:$C$153,C984)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SUMIFS(RAB!$F$14:$F$153,RAB!$C$14:$C$153,C985)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SUMIFS(RAB!$F$14:$F$153,RAB!$C$14:$C$153,C986)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SUMIFS(RAB!$F$14:$F$153,RAB!$C$14:$C$153,C987)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SUMIFS(RAB!$F$14:$F$153,RAB!$C$14:$C$153,C988)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SUMIFS(RAB!$F$14:$F$153,RAB!$C$14:$C$153,C989)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SUMIFS(RAB!$F$14:$F$153,RAB!$C$14:$C$153,C990)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SUMIFS(RAB!$F$14:$F$153,RAB!$C$14:$C$153,C991)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SUMIFS(RAB!$F$14:$F$153,RAB!$C$14:$C$153,C992)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SUMIFS(RAB!$F$14:$F$153,RAB!$C$14:$C$153,C993)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SUMIFS(RAB!$F$14:$F$153,RAB!$C$14:$C$153,C994)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SUMIFS(RAB!$F$14:$F$153,RAB!$C$14:$C$153,C995)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SUMIFS(RAB!$F$14:$F$153,RAB!$C$14:$C$153,C996)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SUMIFS(RAB!$F$14:$F$153,RAB!$C$14:$C$153,C997)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SUMIFS(RAB!$F$14:$F$153,RAB!$C$14:$C$153,C998)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SUMIFS(RAB!$F$14:$F$153,RAB!$C$14:$C$153,C999)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SUMIFS(RAB!$F$14:$F$153,RAB!$C$14:$C$153,C1000)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SUMIFS(RAB!$F$14:$F$153,RAB!$C$14:$C$153,C1001)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SUMIFS(RAB!$F$14:$F$153,RAB!$C$14:$C$153,C1002)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SUMIFS(RAB!$F$14:$F$153,RAB!$C$14:$C$153,C1003)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SUMIFS(RAB!$F$14:$F$153,RAB!$C$14:$C$153,C1004)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SUMIFS(RAB!$F$14:$F$153,RAB!$C$14:$C$153,C1005)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SUMIFS(RAB!$F$14:$F$153,RAB!$C$14:$C$153,C1006)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SUMIFS(RAB!$F$14:$F$153,RAB!$C$14:$C$153,C1007)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SUMIFS(RAB!$F$14:$F$153,RAB!$C$14:$C$153,C1008)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SUMIFS(RAB!$F$14:$F$153,RAB!$C$14:$C$153,C1009)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SUMIFS(RAB!$F$14:$F$153,RAB!$C$14:$C$153,C1010)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SUMIFS(RAB!$F$14:$F$153,RAB!$C$14:$C$153,C1011)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SUMIFS(RAB!$F$14:$F$153,RAB!$C$14:$C$153,C1012)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SUMIFS(RAB!$F$14:$F$153,RAB!$C$14:$C$153,C1013)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SUMIFS(RAB!$F$14:$F$153,RAB!$C$14:$C$153,C1014)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SUMIFS(RAB!$F$14:$F$153,RAB!$C$14:$C$153,C1015)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SUMIFS(RAB!$F$14:$F$153,RAB!$C$14:$C$153,C1016)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SUMIFS(RAB!$F$14:$F$153,RAB!$C$14:$C$153,C1017)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SUMIFS(RAB!$F$14:$F$153,RAB!$C$14:$C$153,C1018)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SUMIFS(RAB!$F$14:$F$153,RAB!$C$14:$C$153,C1019)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SUMIFS(RAB!$F$14:$F$153,RAB!$C$14:$C$153,C1020)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SUMIFS(RAB!$F$14:$F$153,RAB!$C$14:$C$153,C1021)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SUMIFS(RAB!$F$14:$F$153,RAB!$C$14:$C$153,C1022)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SUMIFS(RAB!$F$14:$F$153,RAB!$C$14:$C$153,C1023)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SUMIFS(RAB!$F$14:$F$153,RAB!$C$14:$C$153,C1024)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SUMIFS(RAB!$F$14:$F$153,RAB!$C$14:$C$153,C1025)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SUMIFS(RAB!$F$14:$F$153,RAB!$C$14:$C$153,C1026)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SUMIFS(RAB!$F$14:$F$153,RAB!$C$14:$C$153,C1027)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SUMIFS(RAB!$F$14:$F$153,RAB!$C$14:$C$153,C1028)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SUMIFS(RAB!$F$14:$F$153,RAB!$C$14:$C$153,C1029)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SUMIFS(RAB!$F$14:$F$153,RAB!$C$14:$C$153,C1030)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SUMIFS(RAB!$F$14:$F$153,RAB!$C$14:$C$153,C1031)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SUMIFS(RAB!$F$14:$F$153,RAB!$C$14:$C$153,C1032)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SUMIFS(RAB!$F$14:$F$153,RAB!$C$14:$C$153,C1033)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SUMIFS(RAB!$F$14:$F$153,RAB!$C$14:$C$153,C1034)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SUMIFS(RAB!$F$14:$F$153,RAB!$C$14:$C$153,C1035)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SUMIFS(RAB!$F$14:$F$153,RAB!$C$14:$C$153,C1036)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SUMIFS(RAB!$F$14:$F$153,RAB!$C$14:$C$153,C1037)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SUMIFS(RAB!$F$14:$F$153,RAB!$C$14:$C$153,C1038)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SUMIFS(RAB!$F$14:$F$153,RAB!$C$14:$C$153,C1039)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SUMIFS(RAB!$F$14:$F$153,RAB!$C$14:$C$153,C1040)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SUMIFS(RAB!$F$14:$F$153,RAB!$C$14:$C$153,C1041)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SUMIFS(RAB!$F$14:$F$153,RAB!$C$14:$C$153,C1042)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SUMIFS(RAB!$F$14:$F$153,RAB!$C$14:$C$153,C1043)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SUMIFS(RAB!$F$14:$F$153,RAB!$C$14:$C$153,C1044)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SUMIFS(RAB!$F$14:$F$153,RAB!$C$14:$C$153,C1045)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SUMIFS(RAB!$F$14:$F$153,RAB!$C$14:$C$153,C1046)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SUMIFS(RAB!$F$14:$F$153,RAB!$C$14:$C$153,C1047)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SUMIFS(RAB!$F$14:$F$153,RAB!$C$14:$C$153,C1048)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SUMIFS(RAB!$F$14:$F$153,RAB!$C$14:$C$153,C1049)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SUMIFS(RAB!$F$14:$F$153,RAB!$C$14:$C$153,C1050)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SUMIFS(RAB!$F$14:$F$153,RAB!$C$14:$C$153,C1051)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SUMIFS(RAB!$F$14:$F$153,RAB!$C$14:$C$153,C1052)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SUMIFS(RAB!$F$14:$F$153,RAB!$C$14:$C$153,C1053)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SUMIFS(RAB!$F$14:$F$153,RAB!$C$14:$C$153,C1054)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SUMIFS(RAB!$F$14:$F$153,RAB!$C$14:$C$153,C1055)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SUMIFS(RAB!$F$14:$F$153,RAB!$C$14:$C$153,C1056)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SUMIFS(RAB!$F$14:$F$153,RAB!$C$14:$C$153,C1057)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SUMIFS(RAB!$F$14:$F$153,RAB!$C$14:$C$153,C1058)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SUMIFS(RAB!$F$14:$F$153,RAB!$C$14:$C$153,C1059)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SUMIFS(RAB!$F$14:$F$153,RAB!$C$14:$C$153,C1060)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SUMIFS(RAB!$F$14:$F$153,RAB!$C$14:$C$153,C1061)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SUMIFS(RAB!$F$14:$F$153,RAB!$C$14:$C$153,C1062)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SUMIFS(RAB!$F$14:$F$153,RAB!$C$14:$C$153,C1063)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SUMIFS(RAB!$F$14:$F$153,RAB!$C$14:$C$153,C1064)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SUMIFS(RAB!$F$14:$F$153,RAB!$C$14:$C$153,C1065)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SUMIFS(RAB!$F$14:$F$153,RAB!$C$14:$C$153,C1066)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SUMIFS(RAB!$F$14:$F$153,RAB!$C$14:$C$153,C1067)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SUMIFS(RAB!$F$14:$F$153,RAB!$C$14:$C$153,C1068)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SUMIFS(RAB!$F$14:$F$153,RAB!$C$14:$C$153,C1069)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SUMIFS(RAB!$F$14:$F$153,RAB!$C$14:$C$153,C1070)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SUMIFS(RAB!$F$14:$F$153,RAB!$C$14:$C$153,C1071)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SUMIFS(RAB!$F$14:$F$153,RAB!$C$14:$C$153,C1072)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SUMIFS(RAB!$F$14:$F$153,RAB!$C$14:$C$153,C1073)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SUMIFS(RAB!$F$14:$F$153,RAB!$C$14:$C$153,C1074)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SUMIFS(RAB!$F$14:$F$153,RAB!$C$14:$C$153,C1075)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SUMIFS(RAB!$F$14:$F$153,RAB!$C$14:$C$153,C1076)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SUMIFS(RAB!$F$14:$F$153,RAB!$C$14:$C$153,C1077)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SUMIFS(RAB!$F$14:$F$153,RAB!$C$14:$C$153,C1078)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SUMIFS(RAB!$F$14:$F$153,RAB!$C$14:$C$153,C1079)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SUMIFS(RAB!$F$14:$F$153,RAB!$C$14:$C$153,C1080)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SUMIFS(RAB!$F$14:$F$153,RAB!$C$14:$C$153,C1081)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SUMIFS(RAB!$F$14:$F$153,RAB!$C$14:$C$153,C1082)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SUMIFS(RAB!$F$14:$F$153,RAB!$C$14:$C$153,C1083)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SUMIFS(RAB!$F$14:$F$153,RAB!$C$14:$C$153,C1084)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SUMIFS(RAB!$F$14:$F$153,RAB!$C$14:$C$153,C1085)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SUMIFS(RAB!$F$14:$F$153,RAB!$C$14:$C$153,C1086)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SUMIFS(RAB!$F$14:$F$153,RAB!$C$14:$C$153,C1087)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SUMIFS(RAB!$F$14:$F$153,RAB!$C$14:$C$153,C1088)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SUMIFS(RAB!$F$14:$F$153,RAB!$C$14:$C$153,C1089)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SUMIFS(RAB!$F$14:$F$153,RAB!$C$14:$C$153,C1090)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SUMIFS(RAB!$F$14:$F$153,RAB!$C$14:$C$153,C1091)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SUMIFS(RAB!$F$14:$F$153,RAB!$C$14:$C$153,C1092)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SUMIFS(RAB!$F$14:$F$153,RAB!$C$14:$C$153,C1093)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SUMIFS(RAB!$F$14:$F$153,RAB!$C$14:$C$153,C1094)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SUMIFS(RAB!$F$14:$F$153,RAB!$C$14:$C$153,C1095)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SUMIFS(RAB!$F$14:$F$153,RAB!$C$14:$C$153,C1096)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SUMIFS(RAB!$F$14:$F$153,RAB!$C$14:$C$153,C1097)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SUMIFS(RAB!$F$14:$F$153,RAB!$C$14:$C$153,C1098)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SUMIFS(RAB!$F$14:$F$153,RAB!$C$14:$C$153,C1099)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SUMIFS(RAB!$F$14:$F$153,RAB!$C$14:$C$153,C1100)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SUMIFS(RAB!$F$14:$F$153,RAB!$C$14:$C$153,C1101)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SUMIFS(RAB!$F$14:$F$153,RAB!$C$14:$C$153,C1102)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SUMIFS(RAB!$F$14:$F$153,RAB!$C$14:$C$153,C1103)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SUMIFS(RAB!$F$14:$F$153,RAB!$C$14:$C$153,C1104)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SUMIFS(RAB!$F$14:$F$153,RAB!$C$14:$C$153,C1105)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SUMIFS(RAB!$F$14:$F$153,RAB!$C$14:$C$153,C1106)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SUMIFS(RAB!$F$14:$F$153,RAB!$C$14:$C$153,C1107)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SUMIFS(RAB!$F$14:$F$153,RAB!$C$14:$C$153,C1108)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SUMIFS(RAB!$F$14:$F$153,RAB!$C$14:$C$153,C1109)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SUMIFS(RAB!$F$14:$F$153,RAB!$C$14:$C$153,C1110)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SUMIFS(RAB!$F$14:$F$153,RAB!$C$14:$C$153,C1111)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SUMIFS(RAB!$F$14:$F$153,RAB!$C$14:$C$153,C1112)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SUMIFS(RAB!$F$14:$F$153,RAB!$C$14:$C$153,C1113)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SUMIFS(RAB!$F$14:$F$153,RAB!$C$14:$C$153,C1114)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SUMIFS(RAB!$F$14:$F$153,RAB!$C$14:$C$153,C1115)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SUMIFS(RAB!$F$14:$F$153,RAB!$C$14:$C$153,C1116)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SUMIFS(RAB!$F$14:$F$153,RAB!$C$14:$C$153,C1117)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SUMIFS(RAB!$F$14:$F$153,RAB!$C$14:$C$153,C1118)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SUMIFS(RAB!$F$14:$F$153,RAB!$C$14:$C$153,C1119)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SUMIFS(RAB!$F$14:$F$153,RAB!$C$14:$C$153,C1120)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SUMIFS(RAB!$F$14:$F$153,RAB!$C$14:$C$153,C1121)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SUMIFS(RAB!$F$14:$F$153,RAB!$C$14:$C$153,C1122)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SUMIFS(RAB!$F$14:$F$153,RAB!$C$14:$C$153,C1123)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SUMIFS(RAB!$F$14:$F$153,RAB!$C$14:$C$153,C1124)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SUMIFS(RAB!$F$14:$F$153,RAB!$C$14:$C$153,C1125)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SUMIFS(RAB!$F$14:$F$153,RAB!$C$14:$C$153,C1126)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SUMIFS(RAB!$F$14:$F$153,RAB!$C$14:$C$153,C1127)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SUMIFS(RAB!$F$14:$F$153,RAB!$C$14:$C$153,C1128)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SUMIFS(RAB!$F$14:$F$153,RAB!$C$14:$C$153,C1129)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SUMIFS(RAB!$F$14:$F$153,RAB!$C$14:$C$153,C1130)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SUMIFS(RAB!$F$14:$F$153,RAB!$C$14:$C$153,C1131)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SUMIFS(RAB!$F$14:$F$153,RAB!$C$14:$C$153,C1132)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SUMIFS(RAB!$F$14:$F$153,RAB!$C$14:$C$153,C1133)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SUMIFS(RAB!$F$14:$F$153,RAB!$C$14:$C$153,C1134)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SUMIFS(RAB!$F$14:$F$153,RAB!$C$14:$C$153,C1135)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SUMIFS(RAB!$F$14:$F$153,RAB!$C$14:$C$153,C1136)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SUMIFS(RAB!$F$14:$F$153,RAB!$C$14:$C$153,C1137)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SUMIFS(RAB!$F$14:$F$153,RAB!$C$14:$C$153,C1138)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SUMIFS(RAB!$F$14:$F$153,RAB!$C$14:$C$153,C1139)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SUMIFS(RAB!$F$14:$F$153,RAB!$C$14:$C$153,C1140)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SUMIFS(RAB!$F$14:$F$153,RAB!$C$14:$C$153,C1141)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SUMIFS(RAB!$F$14:$F$153,RAB!$C$14:$C$153,C1142)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SUMIFS(RAB!$F$14:$F$153,RAB!$C$14:$C$153,C1143)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SUMIFS(RAB!$F$14:$F$153,RAB!$C$14:$C$153,C1144)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SUMIFS(RAB!$F$14:$F$153,RAB!$C$14:$C$153,C1145)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SUMIFS(RAB!$F$14:$F$153,RAB!$C$14:$C$153,C1146)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SUMIFS(RAB!$F$14:$F$153,RAB!$C$14:$C$153,C1147)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SUMIFS(RAB!$F$14:$F$153,RAB!$C$14:$C$153,C1148)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SUMIFS(RAB!$F$14:$F$153,RAB!$C$14:$C$153,C1149)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SUMIFS(RAB!$F$14:$F$153,RAB!$C$14:$C$153,C1150)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SUMIFS(RAB!$F$14:$F$153,RAB!$C$14:$C$153,C1151)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SUMIFS(RAB!$F$14:$F$153,RAB!$C$14:$C$153,C1152)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SUMIFS(RAB!$F$14:$F$153,RAB!$C$14:$C$153,C1153)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SUMIFS(RAB!$F$14:$F$153,RAB!$C$14:$C$153,C1154)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SUMIFS(RAB!$F$14:$F$153,RAB!$C$14:$C$153,C1155)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SUMIFS(RAB!$F$14:$F$153,RAB!$C$14:$C$153,C1156)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SUMIFS(RAB!$F$14:$F$153,RAB!$C$14:$C$153,C1157)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SUMIFS(RAB!$F$14:$F$153,RAB!$C$14:$C$153,C1158)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SUMIFS(RAB!$F$14:$F$153,RAB!$C$14:$C$153,C1159)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SUMIFS(RAB!$F$14:$F$153,RAB!$C$14:$C$153,C1160)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SUMIFS(RAB!$F$14:$F$153,RAB!$C$14:$C$153,C1161)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SUMIFS(RAB!$F$14:$F$153,RAB!$C$14:$C$153,C1162)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SUMIFS(RAB!$F$14:$F$153,RAB!$C$14:$C$153,C1163)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SUMIFS(RAB!$F$14:$F$153,RAB!$C$14:$C$153,C1164)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SUMIFS(RAB!$F$14:$F$153,RAB!$C$14:$C$153,C1165)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SUMIFS(RAB!$F$14:$F$153,RAB!$C$14:$C$153,C1166)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SUMIFS(RAB!$F$14:$F$153,RAB!$C$14:$C$153,C1167)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SUMIFS(RAB!$F$14:$F$153,RAB!$C$14:$C$153,C1168)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SUMIFS(RAB!$F$14:$F$153,RAB!$C$14:$C$153,C1169)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SUMIFS(RAB!$F$14:$F$153,RAB!$C$14:$C$153,C1170)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SUMIFS(RAB!$F$14:$F$153,RAB!$C$14:$C$153,C1171)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SUMIFS(RAB!$F$14:$F$153,RAB!$C$14:$C$153,C1172)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SUMIFS(RAB!$F$14:$F$153,RAB!$C$14:$C$153,C1173)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SUMIFS(RAB!$F$14:$F$153,RAB!$C$14:$C$153,C1174)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SUMIFS(RAB!$F$14:$F$153,RAB!$C$14:$C$153,C1175)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SUMIFS(RAB!$F$14:$F$153,RAB!$C$14:$C$153,C1176)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SUMIFS(RAB!$F$14:$F$153,RAB!$C$14:$C$153,C1177)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SUMIFS(RAB!$F$14:$F$153,RAB!$C$14:$C$153,C1178)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SUMIFS(RAB!$F$14:$F$153,RAB!$C$14:$C$153,C1179)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SUMIFS(RAB!$F$14:$F$153,RAB!$C$14:$C$153,C1180)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SUMIFS(RAB!$F$14:$F$153,RAB!$C$14:$C$153,C1181)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SUMIFS(RAB!$F$14:$F$153,RAB!$C$14:$C$153,C1182)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SUMIFS(RAB!$F$14:$F$153,RAB!$C$14:$C$153,C1183)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SUMIFS(RAB!$F$14:$F$153,RAB!$C$14:$C$153,C1184)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SUMIFS(RAB!$F$14:$F$153,RAB!$C$14:$C$153,C1185)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SUMIFS(RAB!$F$14:$F$153,RAB!$C$14:$C$153,C1186)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SUMIFS(RAB!$F$14:$F$153,RAB!$C$14:$C$153,C1187)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SUMIFS(RAB!$F$14:$F$153,RAB!$C$14:$C$153,C1188)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SUMIFS(RAB!$F$14:$F$153,RAB!$C$14:$C$153,C1189)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SUMIFS(RAB!$F$14:$F$153,RAB!$C$14:$C$153,C1190)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SUMIFS(RAB!$F$14:$F$153,RAB!$C$14:$C$153,C1191)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SUMIFS(RAB!$F$14:$F$153,RAB!$C$14:$C$153,C1192)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SUMIFS(RAB!$F$14:$F$153,RAB!$C$14:$C$153,C1193)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SUMIFS(RAB!$F$14:$F$153,RAB!$C$14:$C$153,C1194)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SUMIFS(RAB!$F$14:$F$153,RAB!$C$14:$C$153,C1195)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SUMIFS(RAB!$F$14:$F$153,RAB!$C$14:$C$153,C1196)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SUMIFS(RAB!$F$14:$F$153,RAB!$C$14:$C$153,C1197)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SUMIFS(RAB!$F$14:$F$153,RAB!$C$14:$C$153,C1198)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SUMIFS(RAB!$F$14:$F$153,RAB!$C$14:$C$153,C1199)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SUMIFS(RAB!$F$14:$F$153,RAB!$C$14:$C$153,C1200)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SUMIFS(RAB!$F$14:$F$153,RAB!$C$14:$C$153,C1201)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SUMIFS(RAB!$F$14:$F$153,RAB!$C$14:$C$153,C1202)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SUMIFS(RAB!$F$14:$F$153,RAB!$C$14:$C$153,C1203)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SUMIFS(RAB!$F$14:$F$153,RAB!$C$14:$C$153,C1204)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SUMIFS(RAB!$F$14:$F$153,RAB!$C$14:$C$153,C1205)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SUMIFS(RAB!$F$14:$F$153,RAB!$C$14:$C$153,C1206)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SUMIFS(RAB!$F$14:$F$153,RAB!$C$14:$C$153,C1207)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SUMIFS(RAB!$F$14:$F$153,RAB!$C$14:$C$153,C1208)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SUMIFS(RAB!$F$14:$F$153,RAB!$C$14:$C$153,C1209)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SUMIFS(RAB!$F$14:$F$153,RAB!$C$14:$C$153,C1210)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SUMIFS(RAB!$F$14:$F$153,RAB!$C$14:$C$153,C1211)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SUMIFS(RAB!$F$14:$F$153,RAB!$C$14:$C$153,C1212)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SUMIFS(RAB!$F$14:$F$153,RAB!$C$14:$C$153,C1213)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SUMIFS(RAB!$F$14:$F$153,RAB!$C$14:$C$153,C1214)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SUMIFS(RAB!$F$14:$F$153,RAB!$C$14:$C$153,C1215)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SUMIFS(RAB!$F$14:$F$153,RAB!$C$14:$C$153,C1216)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SUMIFS(RAB!$F$14:$F$153,RAB!$C$14:$C$153,C1217)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SUMIFS(RAB!$F$14:$F$153,RAB!$C$14:$C$153,C1218)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SUMIFS(RAB!$F$14:$F$153,RAB!$C$14:$C$153,C1219)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SUMIFS(RAB!$F$14:$F$153,RAB!$C$14:$C$153,C1220)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SUMIFS(RAB!$F$14:$F$153,RAB!$C$14:$C$153,C1221)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SUMIFS(RAB!$F$14:$F$153,RAB!$C$14:$C$153,C1222)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SUMIFS(RAB!$F$14:$F$153,RAB!$C$14:$C$153,C1223)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SUMIFS(RAB!$F$14:$F$153,RAB!$C$14:$C$153,C1224)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SUMIFS(RAB!$F$14:$F$153,RAB!$C$14:$C$153,C1225)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SUMIFS(RAB!$F$14:$F$153,RAB!$C$14:$C$153,C1226)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SUMIFS(RAB!$F$14:$F$153,RAB!$C$14:$C$153,C1227)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SUMIFS(RAB!$F$14:$F$153,RAB!$C$14:$C$153,C1228)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SUMIFS(RAB!$F$14:$F$153,RAB!$C$14:$C$153,C1229)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SUMIFS(RAB!$F$14:$F$153,RAB!$C$14:$C$153,C1230)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SUMIFS(RAB!$F$14:$F$153,RAB!$C$14:$C$153,C1231)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SUMIFS(RAB!$F$14:$F$153,RAB!$C$14:$C$153,C1232)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SUMIFS(RAB!$F$14:$F$153,RAB!$C$14:$C$153,C1233)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SUMIFS(RAB!$F$14:$F$153,RAB!$C$14:$C$153,C1234)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SUMIFS(RAB!$F$14:$F$153,RAB!$C$14:$C$153,C1235)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SUMIFS(RAB!$F$14:$F$153,RAB!$C$14:$C$153,C1236)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SUMIFS(RAB!$F$14:$F$153,RAB!$C$14:$C$153,C1237)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SUMIFS(RAB!$F$14:$F$153,RAB!$C$14:$C$153,C1238)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SUMIFS(RAB!$F$14:$F$153,RAB!$C$14:$C$153,C1239)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SUMIFS(RAB!$F$14:$F$153,RAB!$C$14:$C$153,C1240)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SUMIFS(RAB!$F$14:$F$153,RAB!$C$14:$C$153,C1241)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SUMIFS(RAB!$F$14:$F$153,RAB!$C$14:$C$153,C1242)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SUMIFS(RAB!$F$14:$F$153,RAB!$C$14:$C$153,C1243)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SUMIFS(RAB!$F$14:$F$153,RAB!$C$14:$C$153,C1244)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SUMIFS(RAB!$F$14:$F$153,RAB!$C$14:$C$153,C1245)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SUMIFS(RAB!$F$14:$F$153,RAB!$C$14:$C$153,C1246)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SUMIFS(RAB!$F$14:$F$153,RAB!$C$14:$C$153,C1247)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SUMIFS(RAB!$F$14:$F$153,RAB!$C$14:$C$153,C1248)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SUMIFS(RAB!$F$14:$F$153,RAB!$C$14:$C$153,C1249)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SUMIFS(RAB!$F$14:$F$153,RAB!$C$14:$C$153,C1250)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SUMIFS(RAB!$F$14:$F$153,RAB!$C$14:$C$153,C1251)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SUMIFS(RAB!$F$14:$F$153,RAB!$C$14:$C$153,C1252)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SUMIFS(RAB!$F$14:$F$153,RAB!$C$14:$C$153,C1253)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SUMIFS(RAB!$F$14:$F$153,RAB!$C$14:$C$153,C1254)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SUMIFS(RAB!$F$14:$F$153,RAB!$C$14:$C$153,C1255)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SUMIFS(RAB!$F$14:$F$153,RAB!$C$14:$C$153,C1256)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SUMIFS(RAB!$F$14:$F$153,RAB!$C$14:$C$153,C1257)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SUMIFS(RAB!$F$14:$F$153,RAB!$C$14:$C$153,C1258)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SUMIFS(RAB!$F$14:$F$153,RAB!$C$14:$C$153,C1259)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SUMIFS(RAB!$F$14:$F$153,RAB!$C$14:$C$153,C1260)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SUMIFS(RAB!$F$14:$F$153,RAB!$C$14:$C$153,C1261)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SUMIFS(RAB!$F$14:$F$153,RAB!$C$14:$C$153,C1262)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SUMIFS(RAB!$F$14:$F$153,RAB!$C$14:$C$153,C1263)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SUMIFS(RAB!$F$14:$F$153,RAB!$C$14:$C$153,C1264)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SUMIFS(RAB!$F$14:$F$153,RAB!$C$14:$C$153,C1265)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SUMIFS(RAB!$F$14:$F$153,RAB!$C$14:$C$153,C1266)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SUMIFS(RAB!$F$14:$F$153,RAB!$C$14:$C$153,C1267)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SUMIFS(RAB!$F$14:$F$153,RAB!$C$14:$C$153,C1268)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SUMIFS(RAB!$F$14:$F$153,RAB!$C$14:$C$153,C1269)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SUMIFS(RAB!$F$14:$F$153,RAB!$C$14:$C$153,C1270)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SUMIFS(RAB!$F$14:$F$153,RAB!$C$14:$C$153,C1271)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SUMIFS(RAB!$F$14:$F$153,RAB!$C$14:$C$153,C1272)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SUMIFS(RAB!$F$14:$F$153,RAB!$C$14:$C$153,C1273)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SUMIFS(RAB!$F$14:$F$153,RAB!$C$14:$C$153,C1274)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SUMIFS(RAB!$F$14:$F$153,RAB!$C$14:$C$153,C1275)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SUMIFS(RAB!$F$14:$F$153,RAB!$C$14:$C$153,C1276)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SUMIFS(RAB!$F$14:$F$153,RAB!$C$14:$C$153,C1277)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SUMIFS(RAB!$F$14:$F$153,RAB!$C$14:$C$153,C1278)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SUMIFS(RAB!$F$14:$F$153,RAB!$C$14:$C$153,C1279)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SUMIFS(RAB!$F$14:$F$153,RAB!$C$14:$C$153,C1280)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SUMIFS(RAB!$F$14:$F$153,RAB!$C$14:$C$153,C1281)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SUMIFS(RAB!$F$14:$F$153,RAB!$C$14:$C$153,C1282)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SUMIFS(RAB!$F$14:$F$153,RAB!$C$14:$C$153,C1283)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SUMIFS(RAB!$F$14:$F$153,RAB!$C$14:$C$153,C1284)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SUMIFS(RAB!$F$14:$F$153,RAB!$C$14:$C$153,C1285)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SUMIFS(RAB!$F$14:$F$153,RAB!$C$14:$C$153,C1286)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SUMIFS(RAB!$F$14:$F$153,RAB!$C$14:$C$153,C1287)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SUMIFS(RAB!$F$14:$F$153,RAB!$C$14:$C$153,C1288)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SUMIFS(RAB!$F$14:$F$153,RAB!$C$14:$C$153,C1289)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SUMIFS(RAB!$F$14:$F$153,RAB!$C$14:$C$153,C1290)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SUMIFS(RAB!$F$14:$F$153,RAB!$C$14:$C$153,C1291)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SUMIFS(RAB!$F$14:$F$153,RAB!$C$14:$C$153,C1292)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SUMIFS(RAB!$F$14:$F$153,RAB!$C$14:$C$153,C1293)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SUMIFS(RAB!$F$14:$F$153,RAB!$C$14:$C$153,C1294)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SUMIFS(RAB!$F$14:$F$153,RAB!$C$14:$C$153,C1295)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SUMIFS(RAB!$F$14:$F$153,RAB!$C$14:$C$153,C1296)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SUMIFS(RAB!$F$14:$F$153,RAB!$C$14:$C$153,C1297)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SUMIFS(RAB!$F$14:$F$153,RAB!$C$14:$C$153,C1298)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SUMIFS(RAB!$F$14:$F$153,RAB!$C$14:$C$153,C1299)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SUMIFS(RAB!$F$14:$F$153,RAB!$C$14:$C$153,C1300)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SUMIFS(RAB!$F$14:$F$153,RAB!$C$14:$C$153,C1301)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SUMIFS(RAB!$F$14:$F$153,RAB!$C$14:$C$153,C1302)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SUMIFS(RAB!$F$14:$F$153,RAB!$C$14:$C$153,C1303)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SUMIFS(RAB!$F$14:$F$153,RAB!$C$14:$C$153,C1304)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SUMIFS(RAB!$F$14:$F$153,RAB!$C$14:$C$153,C1305)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SUMIFS(RAB!$F$14:$F$153,RAB!$C$14:$C$153,C1306)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SUMIFS(RAB!$F$14:$F$153,RAB!$C$14:$C$153,C1307)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SUMIFS(RAB!$F$14:$F$153,RAB!$C$14:$C$153,C1308)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SUMIFS(RAB!$F$14:$F$153,RAB!$C$14:$C$153,C1309)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SUMIFS(RAB!$F$14:$F$153,RAB!$C$14:$C$153,C1310)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SUMIFS(RAB!$F$14:$F$153,RAB!$C$14:$C$153,C1311)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SUMIFS(RAB!$F$14:$F$153,RAB!$C$14:$C$153,C1312)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SUMIFS(RAB!$F$14:$F$153,RAB!$C$14:$C$153,C1313)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SUMIFS(RAB!$F$14:$F$153,RAB!$C$14:$C$153,C1314)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SUMIFS(RAB!$F$14:$F$153,RAB!$C$14:$C$153,C1315)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SUMIFS(RAB!$F$14:$F$153,RAB!$C$14:$C$153,C1316)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SUMIFS(RAB!$F$14:$F$153,RAB!$C$14:$C$153,C1317)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SUMIFS(RAB!$F$14:$F$153,RAB!$C$14:$C$153,C1318)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SUMIFS(RAB!$F$14:$F$153,RAB!$C$14:$C$153,C1319)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SUMIFS(RAB!$F$14:$F$153,RAB!$C$14:$C$153,C1320)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7" priority="5" operator="equal">
      <formula>0</formula>
    </cfRule>
  </conditionalFormatting>
  <conditionalFormatting sqref="A10:L65536">
    <cfRule type="cellIs" dxfId="56" priority="1" operator="equal">
      <formula>0</formula>
    </cfRule>
  </conditionalFormatting>
  <conditionalFormatting sqref="C12:C711">
    <cfRule type="cellIs" dxfId="55" priority="66" stopIfTrue="1" operator="equal">
      <formula>0</formula>
    </cfRule>
  </conditionalFormatting>
  <conditionalFormatting sqref="E712:E65536">
    <cfRule type="cellIs" dxfId="54" priority="16" stopIfTrue="1" operator="equal">
      <formula>0</formula>
    </cfRule>
  </conditionalFormatting>
  <conditionalFormatting sqref="G1:G11 E6:E11 E1:E3 H7 H10:H11 F10:F711 G712:G65536">
    <cfRule type="cellIs" dxfId="53" priority="69" stopIfTrue="1" operator="equal">
      <formula>0</formula>
    </cfRule>
  </conditionalFormatting>
  <conditionalFormatting sqref="G12:H711">
    <cfRule type="cellIs" dxfId="52" priority="12" stopIfTrue="1" operator="equal">
      <formula>0</formula>
    </cfRule>
  </conditionalFormatting>
  <conditionalFormatting sqref="I7:K7">
    <cfRule type="cellIs" dxfId="51" priority="4" stopIfTrue="1" operator="equal">
      <formula>0</formula>
    </cfRule>
  </conditionalFormatting>
  <conditionalFormatting sqref="I10:L711">
    <cfRule type="cellIs" dxfId="50" priority="2" stopIfTrue="1" operator="equal">
      <formula>0</formula>
    </cfRule>
  </conditionalFormatting>
  <conditionalFormatting sqref="L1:L6">
    <cfRule type="cellIs" dxfId="49" priority="10" operator="equal">
      <formula>0</formula>
    </cfRule>
  </conditionalFormatting>
  <conditionalFormatting sqref="M1:IV1048576 A8:G9">
    <cfRule type="cellIs" dxfId="48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1" t="s">
        <v>1127</v>
      </c>
      <c r="C4" s="551"/>
      <c r="D4" s="551"/>
      <c r="E4" s="551"/>
      <c r="F4" s="551"/>
      <c r="G4" s="551"/>
      <c r="H4" s="551"/>
      <c r="I4" s="551"/>
      <c r="J4" s="551"/>
      <c r="K4" s="55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4" t="str">
        <f>RAB!G6</f>
        <v>AGR SISWANTO</v>
      </c>
      <c r="H6" s="544"/>
      <c r="I6" s="544"/>
      <c r="J6" s="544"/>
      <c r="K6" s="54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HARJO WINANGUN KEC. DEMPET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52" t="s">
        <v>0</v>
      </c>
      <c r="C11" s="554" t="s">
        <v>1</v>
      </c>
      <c r="D11" s="557" t="s">
        <v>42</v>
      </c>
      <c r="E11" s="557" t="s">
        <v>43</v>
      </c>
      <c r="F11" s="557" t="s">
        <v>2</v>
      </c>
      <c r="G11" s="558" t="s">
        <v>41</v>
      </c>
      <c r="H11" s="557" t="s">
        <v>3</v>
      </c>
      <c r="I11" s="557"/>
      <c r="J11" s="557"/>
      <c r="K11" s="561"/>
      <c r="M11" s="33"/>
      <c r="N11" s="33"/>
      <c r="O11" s="33"/>
      <c r="P11" s="33"/>
      <c r="R11" s="34"/>
      <c r="S11" s="74"/>
      <c r="T11" s="74"/>
    </row>
    <row r="12" spans="1:21" ht="15" customHeight="1">
      <c r="B12" s="553"/>
      <c r="C12" s="555"/>
      <c r="D12" s="547"/>
      <c r="E12" s="547"/>
      <c r="F12" s="547"/>
      <c r="G12" s="559"/>
      <c r="H12" s="549" t="s">
        <v>46</v>
      </c>
      <c r="I12" s="549" t="s">
        <v>5</v>
      </c>
      <c r="J12" s="547" t="s">
        <v>47</v>
      </c>
      <c r="K12" s="54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3"/>
      <c r="C13" s="556"/>
      <c r="D13" s="547"/>
      <c r="E13" s="547"/>
      <c r="F13" s="547"/>
      <c r="G13" s="560"/>
      <c r="H13" s="550"/>
      <c r="I13" s="550"/>
      <c r="J13" s="547"/>
      <c r="K13" s="54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12M-350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2</v>
      </c>
      <c r="G16" s="41">
        <f ca="1">IF(ISERROR(OFFSET('HARGA SATUAN'!$I$6,MATCH(C16,'HARGA SATUAN'!$C$7:$C$1492,0),0)),"",OFFSET('HARGA SATUAN'!$I$6,MATCH(C16,'HARGA SATUAN'!$C$7:$C$1492,0),0))</f>
        <v>6074400</v>
      </c>
      <c r="H16" s="42">
        <f t="shared" ca="1" si="1"/>
        <v>0</v>
      </c>
      <c r="I16" s="42">
        <f t="shared" ca="1" si="2"/>
        <v>12148800</v>
      </c>
      <c r="J16" s="42">
        <f t="shared" ca="1" si="3"/>
        <v>0</v>
      </c>
      <c r="K16" s="43">
        <f t="shared" ca="1" si="0"/>
        <v>12148800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5" t="s">
        <v>1008</v>
      </c>
      <c r="D38" s="545"/>
      <c r="E38" s="545"/>
      <c r="F38" s="545"/>
      <c r="G38" s="77" t="s">
        <v>9</v>
      </c>
      <c r="H38" s="55">
        <f ca="1">SUM(H14:H37)</f>
        <v>0</v>
      </c>
      <c r="I38" s="55">
        <f ca="1">SUM(I14:I37)</f>
        <v>12148800</v>
      </c>
      <c r="J38" s="55">
        <f ca="1">SUM(J14:J37)</f>
        <v>0</v>
      </c>
      <c r="K38" s="55">
        <f ca="1">SUM(K14:K37)</f>
        <v>12148800</v>
      </c>
      <c r="L38" s="44"/>
      <c r="R38" s="99"/>
      <c r="S38" s="99"/>
      <c r="T38" s="99"/>
    </row>
    <row r="39" spans="1:20" s="36" customFormat="1">
      <c r="A39" s="30"/>
      <c r="B39" s="56"/>
      <c r="C39" s="546" t="s">
        <v>462</v>
      </c>
      <c r="D39" s="546"/>
      <c r="E39" s="546"/>
      <c r="F39" s="546"/>
      <c r="G39" s="59" t="s">
        <v>9</v>
      </c>
      <c r="H39" s="60">
        <f ca="1">H38*0.1</f>
        <v>0</v>
      </c>
      <c r="I39" s="60">
        <f ca="1">I38*0.1</f>
        <v>1214880</v>
      </c>
      <c r="J39" s="60">
        <f ca="1">J38*0.1</f>
        <v>0</v>
      </c>
      <c r="K39" s="60">
        <f ca="1">K38*0.1</f>
        <v>1214880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5" t="s">
        <v>463</v>
      </c>
      <c r="D40" s="535"/>
      <c r="E40" s="535"/>
      <c r="F40" s="535"/>
      <c r="G40" s="61" t="s">
        <v>9</v>
      </c>
      <c r="H40" s="78">
        <f ca="1">SUM(H38:H39)</f>
        <v>0</v>
      </c>
      <c r="I40" s="78">
        <f ca="1">SUM(I38:I39)</f>
        <v>13363680</v>
      </c>
      <c r="J40" s="61">
        <f ca="1">SUM(J38:J39)</f>
        <v>0</v>
      </c>
      <c r="K40" s="61">
        <f ca="1">SUM(K38:K39)</f>
        <v>13363680</v>
      </c>
      <c r="L40" s="44"/>
      <c r="R40" s="99"/>
      <c r="S40" s="99"/>
      <c r="T40" s="99"/>
    </row>
    <row r="41" spans="1:20" s="36" customFormat="1">
      <c r="A41" s="30"/>
      <c r="B41" s="538" t="e">
        <f ca="1">"Terbilang : ( "&amp;L42&amp;" Rupiah )"</f>
        <v>#NAME?</v>
      </c>
      <c r="C41" s="539"/>
      <c r="D41" s="539"/>
      <c r="E41" s="539"/>
      <c r="F41" s="539"/>
      <c r="G41" s="539"/>
      <c r="H41" s="539"/>
      <c r="I41" s="539"/>
      <c r="J41" s="539"/>
      <c r="K41" s="540"/>
      <c r="L41" s="44"/>
      <c r="R41" s="58"/>
      <c r="S41" s="58"/>
      <c r="T41" s="58"/>
    </row>
    <row r="42" spans="1:20" s="36" customFormat="1">
      <c r="A42" s="30"/>
      <c r="B42" s="541"/>
      <c r="C42" s="542"/>
      <c r="D42" s="542"/>
      <c r="E42" s="542"/>
      <c r="F42" s="542"/>
      <c r="G42" s="542"/>
      <c r="H42" s="542"/>
      <c r="I42" s="542"/>
      <c r="J42" s="542"/>
      <c r="K42" s="543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6"/>
      <c r="I45" s="536"/>
      <c r="J45" s="537"/>
      <c r="K45" s="537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6"/>
      <c r="I46" s="536"/>
      <c r="J46" s="537"/>
      <c r="K46" s="537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6"/>
      <c r="I47" s="536"/>
      <c r="J47" s="537"/>
      <c r="K47" s="537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6"/>
      <c r="I52" s="536"/>
      <c r="J52" s="537"/>
      <c r="K52" s="537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SUMIFS(RAB!$F$14:$F$153,RAB!$C$14:$C$153,'REKAP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SUMIFS(RAB!$F$14:$F$153,RAB!$C$14:$C$153,'REKAP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SUMIFS(RAB!$F$14:$F$153,RAB!$C$14:$C$153,'REKAP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SUMIFS(RAB!$F$14:$F$153,RAB!$C$14:$C$153,'REKAP TIANG'!C60)</f>
        <v>2</v>
      </c>
      <c r="E60" s="24">
        <f t="shared" ca="1" si="12"/>
        <v>1</v>
      </c>
      <c r="F60" s="24">
        <f ca="1">IF(D60=0,0,SUM($E$56:E60))</f>
        <v>1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SUMIFS(RAB!$F$14:$F$153,RAB!$C$14:$C$153,'REKAP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SUMIFS(RAB!$F$14:$F$153,RAB!$C$14:$C$153,'REKAP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SUMIFS(RAB!$F$14:$F$153,RAB!$C$14:$C$153,'REKAP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SUMIFS(RAB!$F$14:$F$153,RAB!$C$14:$C$153,'REKAP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SUMIFS(RAB!$F$14:$F$153,RAB!$C$14:$C$153,'REKAP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SUMIFS(RAB!$F$14:$F$153,RAB!$C$14:$C$153,'REKAP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SUMIFS(RAB!$F$14:$F$153,RAB!$C$14:$C$153,'REKAP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SUMIFS(RAB!$F$14:$F$153,RAB!$C$14:$C$153,'REKAP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SUMIFS(RAB!$F$14:$F$153,RAB!$C$14:$C$153,'REKAP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SUMIFS(RAB!$F$14:$F$153,RAB!$C$14:$C$153,'REKAP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SUMIFS(RAB!$F$14:$F$153,RAB!$C$14:$C$153,'REKAP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SUMIFS(RAB!$F$14:$F$153,RAB!$C$14:$C$153,'REKAP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SUMIFS(RAB!$F$14:$F$153,RAB!$C$14:$C$153,'REKAP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SUMIFS(RAB!$F$14:$F$153,RAB!$C$14:$C$153,'REKAP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SUMIFS(RAB!$F$14:$F$153,RAB!$C$14:$C$153,'REKAP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SUMIFS(RAB!$F$14:$F$153,RAB!$C$14:$C$153,'REKAP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7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6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1" t="s">
        <v>1034</v>
      </c>
      <c r="C4" s="551"/>
      <c r="D4" s="551"/>
      <c r="E4" s="551"/>
      <c r="F4" s="551"/>
      <c r="G4" s="551"/>
      <c r="H4" s="551"/>
      <c r="I4" s="551"/>
      <c r="J4" s="551"/>
      <c r="K4" s="55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4" t="str">
        <f>RAB!G6</f>
        <v>AGR SISWANTO</v>
      </c>
      <c r="H6" s="544"/>
      <c r="I6" s="544"/>
      <c r="J6" s="544"/>
      <c r="K6" s="54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HARJO WINANGUN KEC. DEMPET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52" t="s">
        <v>0</v>
      </c>
      <c r="C11" s="554" t="s">
        <v>1</v>
      </c>
      <c r="D11" s="557" t="s">
        <v>42</v>
      </c>
      <c r="E11" s="557" t="s">
        <v>43</v>
      </c>
      <c r="F11" s="557" t="s">
        <v>2</v>
      </c>
      <c r="G11" s="558" t="s">
        <v>41</v>
      </c>
      <c r="H11" s="557" t="s">
        <v>3</v>
      </c>
      <c r="I11" s="557"/>
      <c r="J11" s="557"/>
      <c r="K11" s="561"/>
      <c r="M11" s="33"/>
      <c r="N11" s="33"/>
      <c r="O11" s="33"/>
      <c r="P11" s="33"/>
      <c r="R11" s="34"/>
      <c r="S11" s="74"/>
      <c r="T11" s="74"/>
    </row>
    <row r="12" spans="1:21" ht="15" customHeight="1">
      <c r="B12" s="553"/>
      <c r="C12" s="555"/>
      <c r="D12" s="547"/>
      <c r="E12" s="547"/>
      <c r="F12" s="547"/>
      <c r="G12" s="559"/>
      <c r="H12" s="549" t="s">
        <v>46</v>
      </c>
      <c r="I12" s="549" t="s">
        <v>5</v>
      </c>
      <c r="J12" s="547" t="s">
        <v>47</v>
      </c>
      <c r="K12" s="54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3"/>
      <c r="C13" s="556"/>
      <c r="D13" s="547"/>
      <c r="E13" s="547"/>
      <c r="F13" s="547"/>
      <c r="G13" s="560"/>
      <c r="H13" s="550"/>
      <c r="I13" s="550"/>
      <c r="J13" s="547"/>
      <c r="K13" s="54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105 kVA MCCB 160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14217900</v>
      </c>
      <c r="H17" s="42">
        <f t="shared" ca="1" si="1"/>
        <v>14217900</v>
      </c>
      <c r="I17" s="42">
        <f t="shared" ca="1" si="2"/>
        <v>0</v>
      </c>
      <c r="J17" s="42">
        <f t="shared" ca="1" si="3"/>
        <v>0</v>
      </c>
      <c r="K17" s="43">
        <f t="shared" ca="1" si="0"/>
        <v>14217900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Line Post ) 20 KV Polymer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3</v>
      </c>
      <c r="G21" s="41">
        <f ca="1">IF(ISERROR(OFFSET('HARGA SATUAN'!$I$6,MATCH(C21,'HARGA SATUAN'!$C$7:$C$1492,0),0)),"",OFFSET('HARGA SATUAN'!$I$6,MATCH(C21,'HARGA SATUAN'!$C$7:$C$1492,0),0))</f>
        <v>176900</v>
      </c>
      <c r="H21" s="42">
        <f t="shared" ca="1" si="1"/>
        <v>530700</v>
      </c>
      <c r="I21" s="42">
        <f t="shared" ca="1" si="2"/>
        <v>0</v>
      </c>
      <c r="J21" s="42">
        <f t="shared" ca="1" si="3"/>
        <v>0</v>
      </c>
      <c r="K21" s="43">
        <f t="shared" ca="1" si="0"/>
        <v>530700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Tarik ( Suspension Polymer ) 20 KV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Set</v>
      </c>
      <c r="F22" s="101">
        <f t="shared" ca="1" si="6"/>
        <v>3</v>
      </c>
      <c r="G22" s="41">
        <f ca="1">IF(ISERROR(OFFSET('HARGA SATUAN'!$I$6,MATCH(C22,'HARGA SATUAN'!$C$7:$C$1492,0),0)),"",OFFSET('HARGA SATUAN'!$I$6,MATCH(C22,'HARGA SATUAN'!$C$7:$C$1492,0),0))</f>
        <v>205700</v>
      </c>
      <c r="H22" s="42">
        <f t="shared" ca="1" si="1"/>
        <v>617100</v>
      </c>
      <c r="I22" s="42">
        <f t="shared" ca="1" si="2"/>
        <v>0</v>
      </c>
      <c r="J22" s="42">
        <f t="shared" ca="1" si="3"/>
        <v>0</v>
      </c>
      <c r="K22" s="43">
        <f t="shared" ca="1" si="0"/>
        <v>617100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249</v>
      </c>
      <c r="G23" s="41">
        <f ca="1">IF(ISERROR(OFFSET('HARGA SATUAN'!$I$6,MATCH(C23,'HARGA SATUAN'!$C$7:$C$1492,0),0)),"",OFFSET('HARGA SATUAN'!$I$6,MATCH(C23,'HARGA SATUAN'!$C$7:$C$1492,0),0))</f>
        <v>14200</v>
      </c>
      <c r="H23" s="42">
        <f t="shared" ca="1" si="1"/>
        <v>3535800</v>
      </c>
      <c r="I23" s="42">
        <f t="shared" ca="1" si="2"/>
        <v>0</v>
      </c>
      <c r="J23" s="42">
        <f t="shared" ca="1" si="3"/>
        <v>0</v>
      </c>
      <c r="K23" s="43">
        <f t="shared" ca="1" si="0"/>
        <v>3535800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NFA2X-T 2 x 70 + N 70 mm²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3</v>
      </c>
      <c r="G24" s="41">
        <f ca="1">IF(ISERROR(OFFSET('HARGA SATUAN'!$I$6,MATCH(C24,'HARGA SATUAN'!$C$7:$C$1492,0),0)),"",OFFSET('HARGA SATUAN'!$I$6,MATCH(C24,'HARGA SATUAN'!$C$7:$C$1492,0),0))</f>
        <v>53300</v>
      </c>
      <c r="H24" s="42">
        <f t="shared" ca="1" si="1"/>
        <v>159900</v>
      </c>
      <c r="I24" s="42">
        <f t="shared" ca="1" si="2"/>
        <v>0</v>
      </c>
      <c r="J24" s="42">
        <f t="shared" ca="1" si="3"/>
        <v>0</v>
      </c>
      <c r="K24" s="43">
        <f t="shared" ca="1" si="0"/>
        <v>159900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NFA2X-T 3x70+1x70</v>
      </c>
      <c r="D25" s="101" t="str">
        <f ca="1">IF(ISERROR(OFFSET('HARGA SATUAN'!$D$6,MATCH(C25,'HARGA SATUAN'!$C$7:$C$1492,0),0)),"",OFFSET('HARGA SATUAN'!$D$6,MATCH(C25,'HARGA SATUAN'!$C$7:$C$1492,0),0))</f>
        <v>MDU-KD</v>
      </c>
      <c r="E25" s="101" t="str">
        <f ca="1">IF(B25="+","Unit",IF(ISERROR(OFFSET('HARGA SATUAN'!$E$6,MATCH(C25,'HARGA SATUAN'!$C$7:$C$1492,0),0)),"",OFFSET('HARGA SATUAN'!$E$6,MATCH(C25,'HARGA SATUAN'!$C$7:$C$1492,0),0)))</f>
        <v>Mtr</v>
      </c>
      <c r="F25" s="101">
        <f t="shared" ca="1" si="6"/>
        <v>12</v>
      </c>
      <c r="G25" s="41">
        <f ca="1">IF(ISERROR(OFFSET('HARGA SATUAN'!$I$6,MATCH(C25,'HARGA SATUAN'!$C$7:$C$1492,0),0)),"",OFFSET('HARGA SATUAN'!$I$6,MATCH(C25,'HARGA SATUAN'!$C$7:$C$1492,0),0))</f>
        <v>54500</v>
      </c>
      <c r="H25" s="42">
        <f t="shared" ca="1" si="1"/>
        <v>654000</v>
      </c>
      <c r="I25" s="42">
        <f t="shared" ca="1" si="2"/>
        <v>0</v>
      </c>
      <c r="J25" s="42">
        <f t="shared" ca="1" si="3"/>
        <v>0</v>
      </c>
      <c r="K25" s="43">
        <f t="shared" ca="1" si="0"/>
        <v>654000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5" t="s">
        <v>1008</v>
      </c>
      <c r="D168" s="545"/>
      <c r="E168" s="545"/>
      <c r="F168" s="545"/>
      <c r="G168" s="77" t="s">
        <v>9</v>
      </c>
      <c r="H168" s="55">
        <f ca="1">SUM(H14:H167)</f>
        <v>82780650</v>
      </c>
      <c r="I168" s="55">
        <f ca="1">SUM(I14:I167)</f>
        <v>0</v>
      </c>
      <c r="J168" s="55">
        <f ca="1">SUM(J14:J167)</f>
        <v>0</v>
      </c>
      <c r="K168" s="55">
        <f ca="1">SUM(K14:K167)</f>
        <v>82780650</v>
      </c>
      <c r="L168" s="44"/>
      <c r="R168" s="99"/>
      <c r="S168" s="99"/>
      <c r="T168" s="99"/>
    </row>
    <row r="169" spans="1:20" s="36" customFormat="1">
      <c r="A169" s="30"/>
      <c r="B169" s="56"/>
      <c r="C169" s="546" t="s">
        <v>462</v>
      </c>
      <c r="D169" s="546"/>
      <c r="E169" s="546"/>
      <c r="F169" s="546"/>
      <c r="G169" s="59" t="s">
        <v>9</v>
      </c>
      <c r="H169" s="60">
        <f ca="1">H168*0.1</f>
        <v>8278065</v>
      </c>
      <c r="I169" s="60">
        <f ca="1">I168*0.1</f>
        <v>0</v>
      </c>
      <c r="J169" s="60">
        <f ca="1">J168*0.1</f>
        <v>0</v>
      </c>
      <c r="K169" s="60">
        <f ca="1">K168*0.1</f>
        <v>8278065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5" t="s">
        <v>463</v>
      </c>
      <c r="D170" s="535"/>
      <c r="E170" s="535"/>
      <c r="F170" s="535"/>
      <c r="G170" s="61" t="s">
        <v>9</v>
      </c>
      <c r="H170" s="78">
        <f ca="1">SUM(H168:H169)</f>
        <v>91058715</v>
      </c>
      <c r="I170" s="78">
        <f ca="1">SUM(I168:I169)</f>
        <v>0</v>
      </c>
      <c r="J170" s="61">
        <f ca="1">SUM(J168:J169)</f>
        <v>0</v>
      </c>
      <c r="K170" s="61">
        <f ca="1">SUM(K168:K169)</f>
        <v>91058715</v>
      </c>
      <c r="L170" s="44"/>
      <c r="R170" s="99"/>
      <c r="S170" s="99"/>
      <c r="T170" s="99"/>
    </row>
    <row r="171" spans="1:20" s="36" customFormat="1">
      <c r="A171" s="30"/>
      <c r="B171" s="538" t="e">
        <f ca="1">"Terbilang : ( "&amp;L172&amp;" Rupiah )"</f>
        <v>#NAME?</v>
      </c>
      <c r="C171" s="539"/>
      <c r="D171" s="539"/>
      <c r="E171" s="539"/>
      <c r="F171" s="539"/>
      <c r="G171" s="539"/>
      <c r="H171" s="539"/>
      <c r="I171" s="539"/>
      <c r="J171" s="539"/>
      <c r="K171" s="540"/>
      <c r="L171" s="44"/>
      <c r="R171" s="58"/>
      <c r="S171" s="58"/>
      <c r="T171" s="58"/>
    </row>
    <row r="172" spans="1:20" s="36" customFormat="1">
      <c r="A172" s="30"/>
      <c r="B172" s="541"/>
      <c r="C172" s="542"/>
      <c r="D172" s="542"/>
      <c r="E172" s="542"/>
      <c r="F172" s="542"/>
      <c r="G172" s="542"/>
      <c r="H172" s="542"/>
      <c r="I172" s="542"/>
      <c r="J172" s="542"/>
      <c r="K172" s="543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6"/>
      <c r="I175" s="536"/>
      <c r="J175" s="537"/>
      <c r="K175" s="537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6"/>
      <c r="I176" s="536"/>
      <c r="J176" s="537"/>
      <c r="K176" s="537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6"/>
      <c r="I177" s="536"/>
      <c r="J177" s="537"/>
      <c r="K177" s="537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6"/>
      <c r="I182" s="536"/>
      <c r="J182" s="537"/>
      <c r="K182" s="537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SUMIFS(RAB!$F$14:$F$153,RAB!$C$14:$C$153,C224)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SUMIFS(RAB!$F$14:$F$153,RAB!$C$14:$C$153,C225)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SUMIFS(RAB!$F$14:$F$153,RAB!$C$14:$C$153,C226)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SUMIFS(RAB!$F$14:$F$153,RAB!$C$14:$C$153,C227)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SUMIFS(RAB!$F$14:$F$153,RAB!$C$14:$C$153,C228)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SUMIFS(RAB!$F$14:$F$153,RAB!$C$14:$C$153,C229)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SUMIFS(RAB!$F$14:$F$153,RAB!$C$14:$C$153,C230)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SUMIFS(RAB!$F$14:$F$153,RAB!$C$14:$C$153,C231)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SUMIFS(RAB!$F$14:$F$153,RAB!$C$14:$C$153,C232)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SUMIFS(RAB!$F$14:$F$153,RAB!$C$14:$C$153,C233)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SUMIFS(RAB!$F$14:$F$153,RAB!$C$14:$C$153,C234)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SUMIFS(RAB!$F$14:$F$153,RAB!$C$14:$C$153,C235)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SUMIFS(RAB!$F$14:$F$153,RAB!$C$14:$C$153,C236)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SUMIFS(RAB!$F$14:$F$153,RAB!$C$14:$C$153,C237)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SUMIFS(RAB!$F$14:$F$153,RAB!$C$14:$C$153,C238)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SUMIFS(RAB!$F$14:$F$153,RAB!$C$14:$C$153,C239)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SUMIFS(RAB!$F$14:$F$153,RAB!$C$14:$C$153,C240)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SUMIFS(RAB!$F$14:$F$153,RAB!$C$14:$C$153,C241)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SUMIFS(RAB!$F$14:$F$153,RAB!$C$14:$C$153,C242)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SUMIFS(RAB!$F$14:$F$153,RAB!$C$14:$C$153,C243)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SUMIFS(RAB!$F$14:$F$153,RAB!$C$14:$C$153,C244)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SUMIFS(RAB!$F$14:$F$153,RAB!$C$14:$C$153,C245)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SUMIFS(RAB!$F$14:$F$153,RAB!$C$14:$C$153,C246)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SUMIFS(RAB!$F$14:$F$153,RAB!$C$14:$C$153,C247)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SUMIFS(RAB!$F$14:$F$153,RAB!$C$14:$C$153,C248)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SUMIFS(RAB!$F$14:$F$153,RAB!$C$14:$C$153,C249)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SUMIFS(RAB!$F$14:$F$153,RAB!$C$14:$C$153,C250)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SUMIFS(RAB!$F$14:$F$153,RAB!$C$14:$C$153,C251)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SUMIFS(RAB!$F$14:$F$153,RAB!$C$14:$C$153,C252)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SUMIFS(RAB!$F$14:$F$153,RAB!$C$14:$C$153,C253)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SUMIFS(RAB!$F$14:$F$153,RAB!$C$14:$C$153,C254)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SUMIFS(RAB!$F$14:$F$153,RAB!$C$14:$C$153,C255)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SUMIFS(RAB!$F$14:$F$153,RAB!$C$14:$C$153,C256)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SUMIFS(RAB!$F$14:$F$153,RAB!$C$14:$C$153,C257)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SUMIFS(RAB!$F$14:$F$153,RAB!$C$14:$C$153,C258)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SUMIFS(RAB!$F$14:$F$153,RAB!$C$14:$C$153,C259)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SUMIFS(RAB!$F$14:$F$153,RAB!$C$14:$C$153,C260)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SUMIFS(RAB!$F$14:$F$153,RAB!$C$14:$C$153,C261)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SUMIFS(RAB!$F$14:$F$153,RAB!$C$14:$C$153,C262)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SUMIFS(RAB!$F$14:$F$153,RAB!$C$14:$C$153,C263)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SUMIFS(RAB!$F$14:$F$153,RAB!$C$14:$C$153,C264)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SUMIFS(RAB!$F$14:$F$153,RAB!$C$14:$C$153,C265)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SUMIFS(RAB!$F$14:$F$153,RAB!$C$14:$C$153,C266)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SUMIFS(RAB!$F$14:$F$153,RAB!$C$14:$C$153,C267)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SUMIFS(RAB!$F$14:$F$153,RAB!$C$14:$C$153,C268)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SUMIFS(RAB!$F$14:$F$153,RAB!$C$14:$C$153,C269)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SUMIFS(RAB!$F$14:$F$153,RAB!$C$14:$C$153,C270)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SUMIFS(RAB!$F$14:$F$153,RAB!$C$14:$C$153,C271)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SUMIFS(RAB!$F$14:$F$153,RAB!$C$14:$C$153,C272)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SUMIFS(RAB!$F$14:$F$153,RAB!$C$14:$C$153,C273)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SUMIFS(RAB!$F$14:$F$153,RAB!$C$14:$C$153,C274)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SUMIFS(RAB!$F$14:$F$153,RAB!$C$14:$C$153,C275)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SUMIFS(RAB!$F$14:$F$153,RAB!$C$14:$C$153,C276)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SUMIFS(RAB!$F$14:$F$153,RAB!$C$14:$C$153,C277)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SUMIFS(RAB!$F$14:$F$153,RAB!$C$14:$C$153,C278)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SUMIFS(RAB!$F$14:$F$153,RAB!$C$14:$C$153,C279)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SUMIFS(RAB!$F$14:$F$153,RAB!$C$14:$C$153,C280)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SUMIFS(RAB!$F$14:$F$153,RAB!$C$14:$C$153,C281)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SUMIFS(RAB!$F$14:$F$153,RAB!$C$14:$C$153,C282)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SUMIFS(RAB!$F$14:$F$153,RAB!$C$14:$C$153,C283)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SUMIFS(RAB!$F$14:$F$153,RAB!$C$14:$C$153,C284)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SUMIFS(RAB!$F$14:$F$153,RAB!$C$14:$C$153,C285)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SUMIFS(RAB!$F$14:$F$153,RAB!$C$14:$C$153,C286)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SUMIFS(RAB!$F$14:$F$153,RAB!$C$14:$C$153,C287)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SUMIFS(RAB!$F$14:$F$153,RAB!$C$14:$C$153,C288)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SUMIFS(RAB!$F$14:$F$153,RAB!$C$14:$C$153,C289)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SUMIFS(RAB!$F$14:$F$153,RAB!$C$14:$C$153,C290)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SUMIFS(RAB!$F$14:$F$153,RAB!$C$14:$C$153,C291)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SUMIFS(RAB!$F$14:$F$153,RAB!$C$14:$C$153,C292)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SUMIFS(RAB!$F$14:$F$153,RAB!$C$14:$C$153,C293)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SUMIFS(RAB!$F$14:$F$153,RAB!$C$14:$C$153,C294)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SUMIFS(RAB!$F$14:$F$153,RAB!$C$14:$C$153,C295)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SUMIFS(RAB!$F$14:$F$153,RAB!$C$14:$C$153,C296)</f>
        <v>1</v>
      </c>
      <c r="E296" s="24">
        <f t="shared" ca="1" si="22"/>
        <v>1</v>
      </c>
      <c r="F296" s="24">
        <f ca="1">IF(D296=0,0,SUM($E$223:E296))</f>
        <v>2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SUMIFS(RAB!$F$14:$F$153,RAB!$C$14:$C$153,C297)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SUMIFS(RAB!$F$14:$F$153,RAB!$C$14:$C$153,C298)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SUMIFS(RAB!$F$14:$F$153,RAB!$C$14:$C$153,C299)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SUMIFS(RAB!$F$14:$F$153,RAB!$C$14:$C$153,C300)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SUMIFS(RAB!$F$14:$F$153,RAB!$C$14:$C$153,C301)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SUMIFS(RAB!$F$14:$F$153,RAB!$C$14:$C$153,C302)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SUMIFS(RAB!$F$14:$F$153,RAB!$C$14:$C$153,C303)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SUMIFS(RAB!$F$14:$F$153,RAB!$C$14:$C$153,C304)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SUMIFS(RAB!$F$14:$F$153,RAB!$C$14:$C$153,C305)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SUMIFS(RAB!$F$14:$F$153,RAB!$C$14:$C$153,C306)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SUMIFS(RAB!$F$14:$F$153,RAB!$C$14:$C$153,C307)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SUMIFS(RAB!$F$14:$F$153,RAB!$C$14:$C$153,C308)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SUMIFS(RAB!$F$14:$F$153,RAB!$C$14:$C$153,C309)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SUMIFS(RAB!$F$14:$F$153,RAB!$C$14:$C$153,C310)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SUMIFS(RAB!$F$14:$F$153,RAB!$C$14:$C$153,C311)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SUMIFS(RAB!$F$14:$F$153,RAB!$C$14:$C$153,C312)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SUMIFS(RAB!$F$14:$F$153,RAB!$C$14:$C$153,C313)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SUMIFS(RAB!$F$14:$F$153,RAB!$C$14:$C$153,C314)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SUMIFS(RAB!$F$14:$F$153,RAB!$C$14:$C$153,C315)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SUMIFS(RAB!$F$14:$F$153,RAB!$C$14:$C$153,C316)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SUMIFS(RAB!$F$14:$F$153,RAB!$C$14:$C$153,C317)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SUMIFS(RAB!$F$14:$F$153,RAB!$C$14:$C$153,C318)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SUMIFS(RAB!$F$14:$F$153,RAB!$C$14:$C$153,C319)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SUMIFS(RAB!$F$14:$F$153,RAB!$C$14:$C$153,C320)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SUMIFS(RAB!$F$14:$F$153,RAB!$C$14:$C$153,C321)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SUMIFS(RAB!$F$14:$F$153,RAB!$C$14:$C$153,C322)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SUMIFS(RAB!$F$14:$F$153,RAB!$C$14:$C$153,C323)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SUMIFS(RAB!$F$14:$F$153,RAB!$C$14:$C$153,C324)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SUMIFS(RAB!$F$14:$F$153,RAB!$C$14:$C$153,C325)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SUMIFS(RAB!$F$14:$F$153,RAB!$C$14:$C$153,C326)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SUMIFS(RAB!$F$14:$F$153,RAB!$C$14:$C$153,C327)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SUMIFS(RAB!$F$14:$F$153,RAB!$C$14:$C$153,C328)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SUMIFS(RAB!$F$14:$F$153,RAB!$C$14:$C$153,C329)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SUMIFS(RAB!$F$14:$F$153,RAB!$C$14:$C$153,C330)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SUMIFS(RAB!$F$14:$F$153,RAB!$C$14:$C$153,C331)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SUMIFS(RAB!$F$14:$F$153,RAB!$C$14:$C$153,C332)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SUMIFS(RAB!$F$14:$F$153,RAB!$C$14:$C$153,C333)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SUMIFS(RAB!$F$14:$F$153,RAB!$C$14:$C$153,C334)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SUMIFS(RAB!$F$14:$F$153,RAB!$C$14:$C$153,C335)</f>
        <v>3</v>
      </c>
      <c r="E335" s="24">
        <f t="shared" ca="1" si="22"/>
        <v>1</v>
      </c>
      <c r="F335" s="24">
        <f ca="1">IF(D335=0,0,SUM($E$223:E335))</f>
        <v>6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SUMIFS(RAB!$F$14:$F$153,RAB!$C$14:$C$153,C336)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SUMIFS(RAB!$F$14:$F$153,RAB!$C$14:$C$153,C337)</f>
        <v>3</v>
      </c>
      <c r="E337" s="24">
        <f t="shared" ca="1" si="22"/>
        <v>1</v>
      </c>
      <c r="F337" s="24">
        <f ca="1">IF(D337=0,0,SUM($E$223:E337))</f>
        <v>7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SUMIFS(RAB!$F$14:$F$153,RAB!$C$14:$C$153,C338)</f>
        <v>249</v>
      </c>
      <c r="E338" s="24">
        <f t="shared" ca="1" si="22"/>
        <v>1</v>
      </c>
      <c r="F338" s="24">
        <f ca="1">IF(D338=0,0,SUM($E$223:E338))</f>
        <v>8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SUMIFS(RAB!$F$14:$F$153,RAB!$C$14:$C$153,C339)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SUMIFS(RAB!$F$14:$F$153,RAB!$C$14:$C$153,C340)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SUMIFS(RAB!$F$14:$F$153,RAB!$C$14:$C$153,C341)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SUMIFS(RAB!$F$14:$F$153,RAB!$C$14:$C$153,C342)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SUMIFS(RAB!$F$14:$F$153,RAB!$C$14:$C$153,C343)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SUMIFS(RAB!$F$14:$F$153,RAB!$C$14:$C$153,C344)</f>
        <v>3</v>
      </c>
      <c r="E344" s="24">
        <f t="shared" ca="1" si="22"/>
        <v>1</v>
      </c>
      <c r="F344" s="24">
        <f ca="1">IF(D344=0,0,SUM($E$223:E344))</f>
        <v>9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SUMIFS(RAB!$F$14:$F$153,RAB!$C$14:$C$153,C345)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SUMIFS(RAB!$F$14:$F$153,RAB!$C$14:$C$153,C346)</f>
        <v>12</v>
      </c>
      <c r="E346" s="24">
        <f t="shared" ca="1" si="22"/>
        <v>1</v>
      </c>
      <c r="F346" s="24">
        <f ca="1">IF(D346=0,0,SUM($E$223:E346))</f>
        <v>10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SUMIFS(RAB!$F$14:$F$153,RAB!$C$14:$C$153,C347)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SUMIFS(RAB!$F$14:$F$153,RAB!$C$14:$C$153,C348)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SUMIFS(RAB!$F$14:$F$153,RAB!$C$14:$C$153,C349)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SUMIFS(RAB!$F$14:$F$153,RAB!$C$14:$C$153,C350)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SUMIFS(RAB!$F$14:$F$153,RAB!$C$14:$C$153,C351)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SUMIFS(RAB!$F$14:$F$153,RAB!$C$14:$C$153,C352)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SUMIFS(RAB!$F$14:$F$153,RAB!$C$14:$C$153,C353)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SUMIFS(RAB!$F$14:$F$153,RAB!$C$14:$C$153,C354)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SUMIFS(RAB!$F$14:$F$153,RAB!$C$14:$C$153,C355)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SUMIFS(RAB!$F$14:$F$153,RAB!$C$14:$C$153,C356)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SUMIFS(RAB!$F$14:$F$153,RAB!$C$14:$C$153,C357)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SUMIFS(RAB!$F$14:$F$153,RAB!$C$14:$C$153,C358)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SUMIFS(RAB!$F$14:$F$153,RAB!$C$14:$C$153,C359)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SUMIFS(RAB!$F$14:$F$153,RAB!$C$14:$C$153,C360)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SUMIFS(RAB!$F$14:$F$153,RAB!$C$14:$C$153,C361)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SUMIFS(RAB!$F$14:$F$153,RAB!$C$14:$C$153,C362)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SUMIFS(RAB!$F$14:$F$153,RAB!$C$14:$C$153,C363)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SUMIFS(RAB!$F$14:$F$153,RAB!$C$14:$C$153,C364)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SUMIFS(RAB!$F$14:$F$153,RAB!$C$14:$C$153,C365)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SUMIFS(RAB!$F$14:$F$153,RAB!$C$14:$C$153,C366)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SUMIFS(RAB!$F$14:$F$153,RAB!$C$14:$C$153,C367)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SUMIFS(RAB!$F$14:$F$153,RAB!$C$14:$C$153,C368)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SUMIFS(RAB!$F$14:$F$153,RAB!$C$14:$C$153,C369)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SUMIFS(RAB!$F$14:$F$153,RAB!$C$14:$C$153,C370)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SUMIFS(RAB!$F$14:$F$153,RAB!$C$14:$C$153,C371)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SUMIFS(RAB!$F$14:$F$153,RAB!$C$14:$C$153,C372)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SUMIFS(RAB!$F$14:$F$153,RAB!$C$14:$C$153,C373)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5" priority="5" operator="equal">
      <formula>0</formula>
    </cfRule>
  </conditionalFormatting>
  <conditionalFormatting sqref="C16:C165">
    <cfRule type="cellIs" dxfId="44" priority="4" stopIfTrue="1" operator="equal">
      <formula>0</formula>
    </cfRule>
  </conditionalFormatting>
  <conditionalFormatting sqref="C16:E165">
    <cfRule type="cellIs" dxfId="43" priority="1" operator="equal">
      <formula>0</formula>
    </cfRule>
  </conditionalFormatting>
  <conditionalFormatting sqref="D224:F373">
    <cfRule type="cellIs" dxfId="42" priority="8" operator="equal">
      <formula>0</formula>
    </cfRule>
  </conditionalFormatting>
  <conditionalFormatting sqref="E1:E3 G1:G115 E6:E15 H12:I12 N13 F14:F15 H14:K115 E166:K166 G166:G223 E167:F167 H167:K167">
    <cfRule type="cellIs" dxfId="41" priority="43" stopIfTrue="1" operator="equal">
      <formula>0</formula>
    </cfRule>
  </conditionalFormatting>
  <conditionalFormatting sqref="E171:E65536">
    <cfRule type="cellIs" dxfId="40" priority="9" stopIfTrue="1" operator="equal">
      <formula>0</formula>
    </cfRule>
  </conditionalFormatting>
  <conditionalFormatting sqref="G224">
    <cfRule type="cellIs" dxfId="39" priority="10" operator="equal">
      <formula>0</formula>
    </cfRule>
  </conditionalFormatting>
  <conditionalFormatting sqref="G225:G65536">
    <cfRule type="cellIs" dxfId="38" priority="14" stopIfTrue="1" operator="equal">
      <formula>0</formula>
    </cfRule>
  </conditionalFormatting>
  <conditionalFormatting sqref="R14:T166 G116:K165">
    <cfRule type="cellIs" dxfId="37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4"/>
    </row>
    <row r="4" spans="4:4" ht="57" customHeight="1">
      <c r="D4" s="464">
        <v>3</v>
      </c>
    </row>
    <row r="5" spans="4:4" ht="57" customHeight="1">
      <c r="D5" s="464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33" activePane="bottomRight" state="frozen"/>
      <selection activeCell="D209" sqref="D209"/>
      <selection pane="topRight" activeCell="D209" sqref="D209"/>
      <selection pane="bottomLeft" activeCell="D209" sqref="D209"/>
      <selection pane="bottomRight" activeCell="C136" sqref="C136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3" t="s">
        <v>41</v>
      </c>
      <c r="C2" s="563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4" t="s">
        <v>23</v>
      </c>
      <c r="C4" s="565" t="s">
        <v>1012</v>
      </c>
      <c r="D4" s="565" t="s">
        <v>42</v>
      </c>
      <c r="E4" s="564" t="s">
        <v>43</v>
      </c>
      <c r="F4" s="108" t="s">
        <v>1609</v>
      </c>
      <c r="G4" s="108" t="s">
        <v>1608</v>
      </c>
      <c r="H4" s="562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4"/>
      <c r="C5" s="565"/>
      <c r="D5" s="565"/>
      <c r="E5" s="564"/>
      <c r="F5" s="93"/>
      <c r="G5" s="93"/>
      <c r="H5" s="562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1461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1462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1463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1464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1465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1466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1467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1468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1469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1470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90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90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1471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1472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1473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1474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1475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1476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1477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1478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1479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1480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1481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1482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1483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1484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1485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1486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1487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1488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1489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1490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1491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1492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1493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1494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1495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1496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1497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1498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1499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1500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1501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1502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1503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1504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1505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1506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1507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1508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1509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1510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1511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1512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1513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1514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1515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1516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1517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1518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1519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1521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1520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1522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1523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1524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1525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1526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1527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1528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1529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91">
        <v>2740</v>
      </c>
      <c r="G1433" s="491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92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92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92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92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92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6" priority="138" operator="equal">
      <formula>0</formula>
    </cfRule>
  </conditionalFormatting>
  <conditionalFormatting sqref="B8:C135">
    <cfRule type="cellIs" dxfId="35" priority="51" operator="equal">
      <formula>0</formula>
    </cfRule>
  </conditionalFormatting>
  <conditionalFormatting sqref="B150:G1493">
    <cfRule type="cellIs" dxfId="34" priority="1" operator="equal">
      <formula>0</formula>
    </cfRule>
  </conditionalFormatting>
  <conditionalFormatting sqref="C143:G149">
    <cfRule type="cellIs" dxfId="33" priority="5" operator="equal">
      <formula>0</formula>
    </cfRule>
  </conditionalFormatting>
  <conditionalFormatting sqref="D9:G142">
    <cfRule type="cellIs" dxfId="32" priority="11" operator="equal">
      <formula>0</formula>
    </cfRule>
  </conditionalFormatting>
  <conditionalFormatting sqref="D1:IV5 A1:C7 D6:K6 H1455:IV1457 H1458:XFD1485 H1486:H1493 I1486:XFD1494 A1494:H1494 A1495:XFD65536">
    <cfRule type="cellIs" dxfId="31" priority="163" operator="equal">
      <formula>0</formula>
    </cfRule>
  </conditionalFormatting>
  <conditionalFormatting sqref="D7:IV8 C136:C142 B136:B149">
    <cfRule type="cellIs" dxfId="30" priority="62" operator="equal">
      <formula>0</formula>
    </cfRule>
  </conditionalFormatting>
  <conditionalFormatting sqref="H9:H1418">
    <cfRule type="cellIs" dxfId="29" priority="129" operator="equal">
      <formula>0</formula>
    </cfRule>
  </conditionalFormatting>
  <conditionalFormatting sqref="H1419:I1454">
    <cfRule type="cellIs" dxfId="28" priority="128" operator="equal">
      <formula>0</formula>
    </cfRule>
  </conditionalFormatting>
  <conditionalFormatting sqref="I108:I1418">
    <cfRule type="cellIs" dxfId="27" priority="125" operator="equal">
      <formula>0</formula>
    </cfRule>
  </conditionalFormatting>
  <conditionalFormatting sqref="J108:IV1454">
    <cfRule type="cellIs" dxfId="26" priority="139" operator="equal">
      <formula>0</formula>
    </cfRule>
  </conditionalFormatting>
  <conditionalFormatting sqref="M6:IV6">
    <cfRule type="cellIs" dxfId="25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7" zoomScale="70" zoomScaleNormal="70" zoomScaleSheetLayoutView="85" workbookViewId="0">
      <selection activeCell="O24" sqref="O24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70" t="s">
        <v>1454</v>
      </c>
      <c r="C2" s="570"/>
      <c r="D2" s="570"/>
      <c r="E2" s="570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75" t="s">
        <v>1535</v>
      </c>
      <c r="C4" s="576"/>
      <c r="D4" s="576"/>
      <c r="E4" s="577"/>
      <c r="F4" s="446"/>
      <c r="G4" s="446"/>
      <c r="H4" s="447"/>
      <c r="I4" s="602" t="s">
        <v>1536</v>
      </c>
      <c r="J4" s="603"/>
      <c r="K4" s="603"/>
      <c r="L4" s="604"/>
    </row>
    <row r="5" spans="1:12" ht="34.5" customHeight="1">
      <c r="A5" s="204"/>
      <c r="B5" s="449" t="s">
        <v>1379</v>
      </c>
      <c r="C5" s="277" t="s">
        <v>9</v>
      </c>
      <c r="D5" s="571" t="str">
        <f>DATA!D14</f>
        <v>AGR SISWANTO</v>
      </c>
      <c r="E5" s="572"/>
      <c r="F5" s="208"/>
      <c r="G5" s="208"/>
      <c r="I5" s="450" t="s">
        <v>1379</v>
      </c>
      <c r="J5" s="277" t="s">
        <v>9</v>
      </c>
      <c r="K5" s="605" t="str">
        <f>D5</f>
        <v>AGR SISWANTO</v>
      </c>
      <c r="L5" s="606"/>
    </row>
    <row r="6" spans="1:12" ht="31.5" customHeight="1">
      <c r="A6" s="204"/>
      <c r="B6" s="449" t="s">
        <v>1532</v>
      </c>
      <c r="C6" s="277" t="s">
        <v>9</v>
      </c>
      <c r="D6" s="580">
        <f>DATA!D17*1000</f>
        <v>0</v>
      </c>
      <c r="E6" s="581"/>
      <c r="F6" s="208"/>
      <c r="G6" s="208"/>
      <c r="I6" s="450" t="s">
        <v>1533</v>
      </c>
      <c r="J6" s="277" t="s">
        <v>9</v>
      </c>
      <c r="K6" s="607">
        <f>DATA!D20*1000</f>
        <v>105000</v>
      </c>
      <c r="L6" s="608"/>
    </row>
    <row r="7" spans="1:12" ht="30.75" customHeight="1">
      <c r="A7" s="204"/>
      <c r="B7" s="449" t="s">
        <v>1441</v>
      </c>
      <c r="C7" s="277" t="s">
        <v>9</v>
      </c>
      <c r="D7" s="578">
        <f>DATA!D18</f>
        <v>1</v>
      </c>
      <c r="E7" s="579"/>
      <c r="F7" s="448" t="s">
        <v>1453</v>
      </c>
      <c r="I7" s="450" t="s">
        <v>1441</v>
      </c>
      <c r="J7" s="277" t="s">
        <v>9</v>
      </c>
      <c r="K7" s="609">
        <f>DATA!D21</f>
        <v>3</v>
      </c>
      <c r="L7" s="610"/>
    </row>
    <row r="8" spans="1:12" ht="51" customHeight="1">
      <c r="A8" s="204"/>
      <c r="B8" s="449" t="s">
        <v>1442</v>
      </c>
      <c r="C8" s="277" t="s">
        <v>9</v>
      </c>
      <c r="D8" s="578">
        <f>DATA!D19</f>
        <v>220</v>
      </c>
      <c r="E8" s="579"/>
      <c r="F8" s="448" t="s">
        <v>1453</v>
      </c>
      <c r="G8" s="443">
        <v>220</v>
      </c>
      <c r="I8" s="450" t="s">
        <v>1442</v>
      </c>
      <c r="J8" s="277" t="s">
        <v>9</v>
      </c>
      <c r="K8" s="609">
        <f>DATA!D22</f>
        <v>380</v>
      </c>
      <c r="L8" s="610"/>
    </row>
    <row r="9" spans="1:12" ht="30" customHeight="1" thickBot="1">
      <c r="A9" s="204"/>
      <c r="B9" s="455" t="s">
        <v>1544</v>
      </c>
      <c r="C9" s="445" t="s">
        <v>9</v>
      </c>
      <c r="D9" s="573">
        <f>IF(D7=1,D6/(380/3^0.5),(D6/(380*3^0.5)))</f>
        <v>0</v>
      </c>
      <c r="E9" s="574"/>
      <c r="F9" s="207"/>
      <c r="G9" s="444">
        <v>380</v>
      </c>
      <c r="I9" s="456" t="s">
        <v>1544</v>
      </c>
      <c r="J9" s="445" t="s">
        <v>9</v>
      </c>
      <c r="K9" s="611">
        <f>IF(K7=1,K6/(380/3^0.5),(K6/(380*3^0.5)))</f>
        <v>159.53099543397556</v>
      </c>
      <c r="L9" s="612"/>
    </row>
    <row r="10" spans="1:12" ht="24.75" customHeight="1">
      <c r="B10" s="457"/>
      <c r="C10" s="454"/>
      <c r="D10" s="458"/>
      <c r="E10" s="458"/>
      <c r="F10" s="207"/>
      <c r="G10" s="444"/>
      <c r="I10" s="457"/>
      <c r="J10" s="454"/>
      <c r="K10" s="458"/>
      <c r="L10" s="458"/>
    </row>
    <row r="11" spans="1:12" ht="16.5" thickBot="1">
      <c r="B11" s="451" t="s">
        <v>1545</v>
      </c>
      <c r="I11" s="451" t="s">
        <v>1539</v>
      </c>
    </row>
    <row r="12" spans="1:12" ht="34.5" customHeight="1">
      <c r="A12" s="204"/>
      <c r="B12" s="479" t="s">
        <v>1537</v>
      </c>
      <c r="C12" s="473" t="s">
        <v>9</v>
      </c>
      <c r="D12" s="582" t="s">
        <v>1616</v>
      </c>
      <c r="E12" s="583"/>
      <c r="F12" s="208"/>
      <c r="G12" s="208"/>
      <c r="I12" s="472" t="s">
        <v>1537</v>
      </c>
      <c r="J12" s="473" t="s">
        <v>9</v>
      </c>
      <c r="K12" s="582" t="s">
        <v>1616</v>
      </c>
      <c r="L12" s="583"/>
    </row>
    <row r="13" spans="1:12" ht="31.5" customHeight="1">
      <c r="A13" s="204"/>
      <c r="B13" s="480" t="s">
        <v>1380</v>
      </c>
      <c r="C13" s="460" t="s">
        <v>9</v>
      </c>
      <c r="D13" s="586" t="s">
        <v>1617</v>
      </c>
      <c r="E13" s="587"/>
      <c r="F13" s="208"/>
      <c r="G13" s="208"/>
      <c r="I13" s="474" t="s">
        <v>1380</v>
      </c>
      <c r="J13" s="460" t="s">
        <v>9</v>
      </c>
      <c r="K13" s="586" t="s">
        <v>1617</v>
      </c>
      <c r="L13" s="587"/>
    </row>
    <row r="14" spans="1:12" ht="30.75" customHeight="1">
      <c r="A14" s="204"/>
      <c r="B14" s="480" t="s">
        <v>1538</v>
      </c>
      <c r="C14" s="460" t="s">
        <v>9</v>
      </c>
      <c r="D14" s="594"/>
      <c r="E14" s="595"/>
      <c r="F14" s="448" t="s">
        <v>1453</v>
      </c>
      <c r="G14" s="452">
        <v>50</v>
      </c>
      <c r="I14" s="474" t="s">
        <v>1538</v>
      </c>
      <c r="J14" s="460" t="s">
        <v>9</v>
      </c>
      <c r="K14" s="596">
        <v>50</v>
      </c>
      <c r="L14" s="597"/>
    </row>
    <row r="15" spans="1:12" ht="57" customHeight="1">
      <c r="A15" s="204"/>
      <c r="B15" s="480" t="s">
        <v>1441</v>
      </c>
      <c r="C15" s="460" t="s">
        <v>9</v>
      </c>
      <c r="D15" s="466"/>
      <c r="E15" s="475"/>
      <c r="F15" s="448" t="s">
        <v>1453</v>
      </c>
      <c r="G15" s="452">
        <v>100</v>
      </c>
      <c r="I15" s="474" t="s">
        <v>1441</v>
      </c>
      <c r="J15" s="460" t="s">
        <v>9</v>
      </c>
      <c r="K15" s="466">
        <v>1</v>
      </c>
      <c r="L15" s="475"/>
    </row>
    <row r="16" spans="1:12" ht="44.25" customHeight="1">
      <c r="A16" s="204"/>
      <c r="B16" s="480" t="s">
        <v>1548</v>
      </c>
      <c r="C16" s="460"/>
      <c r="D16" s="598">
        <f>50</f>
        <v>50</v>
      </c>
      <c r="E16" s="599"/>
      <c r="F16" s="448"/>
      <c r="G16" s="452">
        <v>160</v>
      </c>
      <c r="I16" s="474" t="s">
        <v>1540</v>
      </c>
      <c r="J16" s="460" t="s">
        <v>9</v>
      </c>
      <c r="K16" s="600">
        <f>K9</f>
        <v>159.53099543397556</v>
      </c>
      <c r="L16" s="601"/>
    </row>
    <row r="17" spans="1:12" ht="34.5" customHeight="1">
      <c r="A17" s="204"/>
      <c r="B17" s="480" t="s">
        <v>1541</v>
      </c>
      <c r="C17" s="460" t="s">
        <v>9</v>
      </c>
      <c r="D17" s="588">
        <f>IF(D15=1,D14/(20/3^0.5),(D14/(20*3^0.5)))</f>
        <v>0</v>
      </c>
      <c r="E17" s="589"/>
      <c r="F17" s="448" t="s">
        <v>1453</v>
      </c>
      <c r="G17" s="453">
        <v>200</v>
      </c>
      <c r="I17" s="474" t="s">
        <v>1541</v>
      </c>
      <c r="J17" s="460" t="s">
        <v>9</v>
      </c>
      <c r="K17" s="592">
        <f>IF(K15=1,K14/(20/3^0.5),(K14/(20*3^0.5)))</f>
        <v>4.3301270189221928</v>
      </c>
      <c r="L17" s="593"/>
    </row>
    <row r="18" spans="1:12" ht="34.5" customHeight="1">
      <c r="A18" s="204"/>
      <c r="B18" s="480" t="s">
        <v>1542</v>
      </c>
      <c r="C18" s="460" t="s">
        <v>9</v>
      </c>
      <c r="D18" s="588">
        <f>IF(D15=1,D14/(380/3^0.5),(D14/(380*3^0.5)))*1000</f>
        <v>0</v>
      </c>
      <c r="E18" s="589"/>
      <c r="F18" s="448" t="s">
        <v>1453</v>
      </c>
      <c r="G18" s="453">
        <v>250</v>
      </c>
      <c r="I18" s="474" t="s">
        <v>1542</v>
      </c>
      <c r="J18" s="460" t="s">
        <v>9</v>
      </c>
      <c r="K18" s="592">
        <f>IF(K15=1,K14/(380/3^0.5),(K14/(380*3^0.5)))*1000</f>
        <v>227.90142204853646</v>
      </c>
      <c r="L18" s="593"/>
    </row>
    <row r="19" spans="1:12" ht="30" customHeight="1">
      <c r="A19" s="204"/>
      <c r="B19" s="481" t="s">
        <v>1534</v>
      </c>
      <c r="C19" s="459" t="s">
        <v>9</v>
      </c>
      <c r="D19" s="588">
        <f>IF(D15=1,D14/(380/3^0.5),(D14/(380*3^0.5)))</f>
        <v>0</v>
      </c>
      <c r="E19" s="589"/>
      <c r="F19" s="207"/>
      <c r="G19" s="444"/>
      <c r="I19" s="476" t="s">
        <v>1534</v>
      </c>
      <c r="J19" s="459" t="s">
        <v>9</v>
      </c>
      <c r="K19" s="592">
        <f>IF(K15=1,K14/(380/3^0.5),(K14/(380*3^0.5)))</f>
        <v>0.22790142204853647</v>
      </c>
      <c r="L19" s="593"/>
    </row>
    <row r="20" spans="1:12" ht="30" customHeight="1" thickBot="1">
      <c r="A20" s="204"/>
      <c r="B20" s="482" t="s">
        <v>1543</v>
      </c>
      <c r="C20" s="478" t="s">
        <v>9</v>
      </c>
      <c r="D20" s="584" t="e">
        <f>D16/D18</f>
        <v>#DIV/0!</v>
      </c>
      <c r="E20" s="585"/>
      <c r="F20" s="207"/>
      <c r="G20" s="444"/>
      <c r="I20" s="477" t="s">
        <v>1534</v>
      </c>
      <c r="J20" s="478" t="s">
        <v>9</v>
      </c>
      <c r="K20" s="590">
        <f>K16/K18</f>
        <v>0.70000000000000018</v>
      </c>
      <c r="L20" s="591"/>
    </row>
    <row r="21" spans="1:12" ht="9.75" customHeight="1">
      <c r="A21" s="204"/>
      <c r="B21" s="467" t="s">
        <v>1543</v>
      </c>
      <c r="C21" s="468" t="s">
        <v>9</v>
      </c>
      <c r="D21" s="569">
        <v>1</v>
      </c>
      <c r="E21" s="569"/>
      <c r="F21" s="469"/>
      <c r="G21" s="470"/>
      <c r="H21" s="471"/>
      <c r="I21" s="467" t="s">
        <v>1534</v>
      </c>
      <c r="J21" s="468" t="s">
        <v>9</v>
      </c>
      <c r="K21" s="569">
        <v>1</v>
      </c>
      <c r="L21" s="569"/>
    </row>
    <row r="22" spans="1:12" ht="6.75" customHeight="1">
      <c r="B22" s="457"/>
      <c r="C22" s="454"/>
      <c r="D22" s="465"/>
      <c r="E22" s="465"/>
      <c r="F22" s="207"/>
      <c r="G22" s="444"/>
      <c r="J22" s="454"/>
      <c r="K22" s="465"/>
      <c r="L22" s="465"/>
    </row>
    <row r="23" spans="1:12" ht="15.75" thickBot="1"/>
    <row r="24" spans="1:12" ht="200.25" customHeight="1" thickBot="1">
      <c r="B24" s="566"/>
      <c r="C24" s="567"/>
      <c r="D24" s="567"/>
      <c r="E24" s="568"/>
      <c r="I24" s="566"/>
      <c r="J24" s="567"/>
      <c r="K24" s="567"/>
      <c r="L24" s="568"/>
    </row>
    <row r="26" spans="1:12">
      <c r="D26" s="462"/>
    </row>
    <row r="27" spans="1:12">
      <c r="D27" s="463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4" priority="5" stopIfTrue="1" operator="greaterThan">
      <formula>0.89</formula>
    </cfRule>
    <cfRule type="cellIs" dxfId="2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1" zoomScale="85" zoomScaleNormal="85" workbookViewId="0">
      <selection activeCell="Q27" sqref="Q27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3"/>
      <c r="C1" s="613"/>
      <c r="D1" s="613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4">
        <v>1084.1250458865841</v>
      </c>
      <c r="F5" s="489" t="s">
        <v>1610</v>
      </c>
      <c r="K5" s="488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9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105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81375000</v>
      </c>
    </row>
    <row r="10" spans="2:11" ht="20.100000000000001" customHeight="1">
      <c r="B10" s="291" t="s">
        <v>1446</v>
      </c>
      <c r="C10" s="292" t="s">
        <v>9</v>
      </c>
      <c r="D10" s="298">
        <f ca="1">RAB!K159</f>
        <v>129490051.50105001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2589801.0300210002</v>
      </c>
    </row>
    <row r="12" spans="2:11" ht="9" customHeight="1">
      <c r="B12" s="614"/>
      <c r="C12" s="614"/>
      <c r="D12" s="614"/>
    </row>
    <row r="13" spans="2:11" ht="15.75" customHeight="1">
      <c r="B13" s="299"/>
      <c r="C13" s="299"/>
      <c r="D13" s="299"/>
    </row>
    <row r="14" spans="2:11" ht="33.75" customHeight="1">
      <c r="B14" s="419" t="s">
        <v>1379</v>
      </c>
      <c r="C14" s="420" t="s">
        <v>9</v>
      </c>
      <c r="D14" s="425" t="s">
        <v>1635</v>
      </c>
      <c r="E14" s="300" t="s">
        <v>1453</v>
      </c>
    </row>
    <row r="15" spans="2:11" ht="20.100000000000001" customHeight="1">
      <c r="B15" s="421" t="s">
        <v>1447</v>
      </c>
      <c r="C15" s="422" t="s">
        <v>9</v>
      </c>
      <c r="D15" s="426" t="s">
        <v>1618</v>
      </c>
      <c r="E15" s="300" t="s">
        <v>1453</v>
      </c>
    </row>
    <row r="16" spans="2:11" ht="20.100000000000001" customHeight="1">
      <c r="B16" s="421" t="s">
        <v>1448</v>
      </c>
      <c r="C16" s="422" t="s">
        <v>9</v>
      </c>
      <c r="D16" s="426" t="s">
        <v>1451</v>
      </c>
      <c r="E16" s="300" t="s">
        <v>1453</v>
      </c>
    </row>
    <row r="17" spans="2:5" ht="20.100000000000001" customHeight="1">
      <c r="B17" s="421" t="s">
        <v>1449</v>
      </c>
      <c r="C17" s="422" t="s">
        <v>9</v>
      </c>
      <c r="D17" s="427">
        <v>0</v>
      </c>
      <c r="E17" s="300" t="s">
        <v>1453</v>
      </c>
    </row>
    <row r="18" spans="2:5" ht="20.100000000000001" hidden="1" customHeight="1">
      <c r="B18" s="421" t="s">
        <v>1546</v>
      </c>
      <c r="C18" s="422"/>
      <c r="D18" s="427">
        <f>IF((D17&lt;=11),1,3)</f>
        <v>1</v>
      </c>
      <c r="E18" s="300"/>
    </row>
    <row r="19" spans="2:5" ht="20.100000000000001" hidden="1" customHeight="1">
      <c r="B19" s="421" t="s">
        <v>1547</v>
      </c>
      <c r="C19" s="422"/>
      <c r="D19" s="427">
        <f>IF((D17&lt;=11),220,380)</f>
        <v>220</v>
      </c>
      <c r="E19" s="300"/>
    </row>
    <row r="20" spans="2:5" ht="20.100000000000001" customHeight="1">
      <c r="B20" s="421" t="s">
        <v>1450</v>
      </c>
      <c r="C20" s="422" t="s">
        <v>9</v>
      </c>
      <c r="D20" s="427">
        <v>105</v>
      </c>
      <c r="E20" s="300" t="s">
        <v>1453</v>
      </c>
    </row>
    <row r="21" spans="2:5" ht="20.100000000000001" customHeight="1">
      <c r="B21" s="421" t="s">
        <v>1546</v>
      </c>
      <c r="C21" s="422"/>
      <c r="D21" s="427">
        <f>IF((D20&lt;=11),1,3)</f>
        <v>3</v>
      </c>
      <c r="E21" s="300"/>
    </row>
    <row r="22" spans="2:5" ht="20.100000000000001" customHeight="1">
      <c r="B22" s="421" t="s">
        <v>1547</v>
      </c>
      <c r="C22" s="422"/>
      <c r="D22" s="427">
        <f>IF((D20&lt;=11),220,380)</f>
        <v>380</v>
      </c>
      <c r="E22" s="300"/>
    </row>
    <row r="23" spans="2:5" ht="20.100000000000001" customHeight="1">
      <c r="B23" s="421" t="s">
        <v>1353</v>
      </c>
      <c r="C23" s="422" t="s">
        <v>9</v>
      </c>
      <c r="D23" s="426">
        <v>1444.7</v>
      </c>
      <c r="E23" s="300" t="s">
        <v>1453</v>
      </c>
    </row>
    <row r="24" spans="2:5" ht="20.100000000000001" customHeight="1">
      <c r="B24" s="421" t="s">
        <v>1354</v>
      </c>
      <c r="C24" s="422" t="s">
        <v>9</v>
      </c>
      <c r="D24" s="426">
        <v>1444.7</v>
      </c>
      <c r="E24" s="300" t="s">
        <v>1453</v>
      </c>
    </row>
    <row r="25" spans="2:5" ht="20.100000000000001" customHeight="1">
      <c r="B25" s="421" t="s">
        <v>1452</v>
      </c>
      <c r="C25" s="422" t="s">
        <v>9</v>
      </c>
      <c r="D25" s="427">
        <v>775</v>
      </c>
      <c r="E25" s="300" t="s">
        <v>1453</v>
      </c>
    </row>
    <row r="26" spans="2:5" ht="20.100000000000001" customHeight="1">
      <c r="B26" s="423" t="s">
        <v>1355</v>
      </c>
      <c r="C26" s="424" t="s">
        <v>9</v>
      </c>
      <c r="D26" s="428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22" activePane="bottomLeft" state="frozen"/>
      <selection activeCell="H1093" sqref="H1093"/>
      <selection pane="bottomLeft" activeCell="T39" sqref="T39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5" t="s">
        <v>1357</v>
      </c>
      <c r="C3" s="615"/>
      <c r="D3" s="615"/>
      <c r="E3" s="615"/>
      <c r="F3" s="305" t="str">
        <f>DATA!D14</f>
        <v>AGR SISWANTO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6" t="s">
        <v>1349</v>
      </c>
      <c r="C5" s="616" t="s">
        <v>1358</v>
      </c>
      <c r="D5" s="617" t="s">
        <v>1359</v>
      </c>
      <c r="E5" s="617" t="s">
        <v>1360</v>
      </c>
      <c r="F5" s="616" t="s">
        <v>1361</v>
      </c>
      <c r="G5" s="616"/>
      <c r="H5" s="616"/>
      <c r="I5" s="616"/>
      <c r="J5" s="616"/>
      <c r="K5" s="616" t="s">
        <v>1362</v>
      </c>
      <c r="L5" s="616"/>
      <c r="M5" s="307"/>
      <c r="N5" s="620" t="s">
        <v>1363</v>
      </c>
      <c r="O5" s="617" t="s">
        <v>1364</v>
      </c>
      <c r="P5" s="617" t="s">
        <v>1365</v>
      </c>
      <c r="Q5" s="617" t="s">
        <v>1366</v>
      </c>
      <c r="R5" s="308"/>
      <c r="S5" s="309"/>
      <c r="T5" s="618" t="s">
        <v>1367</v>
      </c>
      <c r="U5" s="310"/>
    </row>
    <row r="6" spans="1:21" ht="20.100000000000001" customHeight="1">
      <c r="B6" s="616"/>
      <c r="C6" s="616"/>
      <c r="D6" s="616"/>
      <c r="E6" s="616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21"/>
      <c r="O6" s="616"/>
      <c r="P6" s="616"/>
      <c r="Q6" s="616"/>
      <c r="R6" s="308"/>
      <c r="S6" s="309"/>
      <c r="T6" s="616"/>
      <c r="U6" s="312"/>
    </row>
    <row r="7" spans="1:21" ht="20.100000000000001" customHeight="1">
      <c r="A7" s="313">
        <v>0</v>
      </c>
      <c r="B7" s="314">
        <v>2023</v>
      </c>
      <c r="C7" s="483">
        <f>DATA!D8*DATA!D26*1</f>
        <v>4200</v>
      </c>
      <c r="D7" s="316">
        <f>C7*4/24</f>
        <v>700</v>
      </c>
      <c r="E7" s="316">
        <f>C7-D7</f>
        <v>3500</v>
      </c>
      <c r="F7" s="317">
        <f ca="1">DATA!D10/1000000</f>
        <v>129.49005150105</v>
      </c>
      <c r="G7" s="318">
        <f ca="1">DATA!$D$11/1000000</f>
        <v>2.5898010300210004</v>
      </c>
      <c r="H7" s="318">
        <f>C7*DATA!$D$5/1000000</f>
        <v>4.5533251927236531</v>
      </c>
      <c r="I7" s="318">
        <f>(C7*DATA!$D$5*DATA!$D$7)/1000000</f>
        <v>0.1024498168362822</v>
      </c>
      <c r="J7" s="316">
        <f ca="1">SUM(F7:I7)</f>
        <v>136.73562754063093</v>
      </c>
      <c r="K7" s="319">
        <f>DATA!D9/1000000</f>
        <v>81.375</v>
      </c>
      <c r="L7" s="316">
        <f>((D7*DATA!$D$23)/1000000)+((E7*DATA!$D$24)/1000000)</f>
        <v>6.0677399999999997</v>
      </c>
      <c r="M7" s="316">
        <f>K7+L7</f>
        <v>87.442740000000001</v>
      </c>
      <c r="N7" s="316">
        <f ca="1">M7-J7</f>
        <v>-49.292887540630929</v>
      </c>
      <c r="O7" s="314">
        <v>1</v>
      </c>
      <c r="P7" s="316">
        <f ca="1">O7*N7</f>
        <v>-49.292887540630929</v>
      </c>
      <c r="Q7" s="316">
        <f ca="1">P7</f>
        <v>-49.292887540630929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50400</v>
      </c>
      <c r="D8" s="316">
        <f>C8*4/24</f>
        <v>8400</v>
      </c>
      <c r="E8" s="316">
        <f t="shared" ref="E8:E32" si="0">C8-D8</f>
        <v>42000</v>
      </c>
      <c r="F8" s="314"/>
      <c r="G8" s="318">
        <f ca="1">DATA!$D$11/1000000</f>
        <v>2.5898010300210004</v>
      </c>
      <c r="H8" s="318">
        <f>C8*DATA!$D$5/1000000</f>
        <v>54.639902312683837</v>
      </c>
      <c r="I8" s="318">
        <f>(C8*DATA!$D$5*DATA!$D$7)/1000000</f>
        <v>1.2293978020353862</v>
      </c>
      <c r="J8" s="316">
        <f t="shared" ref="J8:J32" ca="1" si="1">SUM(F8:I8)</f>
        <v>58.459101144740224</v>
      </c>
      <c r="K8" s="321"/>
      <c r="L8" s="316">
        <f>((D8*DATA!$D$23)/1000000)+((E8*DATA!$D$24)/1000000)</f>
        <v>72.812879999999993</v>
      </c>
      <c r="M8" s="316">
        <f t="shared" ref="M8:M32" si="2">K8+L8</f>
        <v>72.812879999999993</v>
      </c>
      <c r="N8" s="316">
        <f ca="1">M8-J8</f>
        <v>14.353778855259769</v>
      </c>
      <c r="O8" s="315">
        <f>1/(1+'[93]Asumsi I'!$C$3)^(KKF!A8)</f>
        <v>0.89285714285714279</v>
      </c>
      <c r="P8" s="316">
        <f ca="1">O8*N8</f>
        <v>12.815873977910506</v>
      </c>
      <c r="Q8" s="316">
        <f ca="1">Q7+P8</f>
        <v>-36.477013562720423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50400</v>
      </c>
      <c r="D9" s="316">
        <f t="shared" ref="D9:D32" si="5">C9*4/24</f>
        <v>8400</v>
      </c>
      <c r="E9" s="316">
        <f t="shared" si="0"/>
        <v>42000</v>
      </c>
      <c r="F9" s="314"/>
      <c r="G9" s="318">
        <f ca="1">DATA!$D$11/1000000</f>
        <v>2.5898010300210004</v>
      </c>
      <c r="H9" s="318">
        <f>C9*DATA!$D$5/1000000</f>
        <v>54.639902312683837</v>
      </c>
      <c r="I9" s="318">
        <f>(C9*DATA!$D$5*DATA!$D$7)/1000000</f>
        <v>1.2293978020353862</v>
      </c>
      <c r="J9" s="316">
        <f t="shared" ca="1" si="1"/>
        <v>58.459101144740224</v>
      </c>
      <c r="K9" s="316"/>
      <c r="L9" s="316">
        <f>((D9*DATA!$D$23)/1000000)+((E9*DATA!$D$24)/1000000)</f>
        <v>72.812879999999993</v>
      </c>
      <c r="M9" s="316">
        <f t="shared" si="2"/>
        <v>72.812879999999993</v>
      </c>
      <c r="N9" s="316">
        <f t="shared" ref="N9:N32" ca="1" si="6">M9-J9</f>
        <v>14.353778855259769</v>
      </c>
      <c r="O9" s="322">
        <f>1/(1+'[93]Asumsi I'!$C$3)^(KKF!A9)</f>
        <v>0.79719387755102034</v>
      </c>
      <c r="P9" s="316">
        <f t="shared" ref="P9:P32" ca="1" si="7">O9*N9</f>
        <v>11.442744623134381</v>
      </c>
      <c r="Q9" s="316">
        <f ca="1">Q8+P9</f>
        <v>-25.034268939586042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50400</v>
      </c>
      <c r="D10" s="316">
        <f t="shared" si="5"/>
        <v>8400</v>
      </c>
      <c r="E10" s="316">
        <f t="shared" si="0"/>
        <v>42000</v>
      </c>
      <c r="F10" s="314"/>
      <c r="G10" s="318">
        <f ca="1">DATA!$D$11/1000000</f>
        <v>2.5898010300210004</v>
      </c>
      <c r="H10" s="318">
        <f>C10*DATA!$D$5/1000000</f>
        <v>54.639902312683837</v>
      </c>
      <c r="I10" s="318">
        <f>(C10*DATA!$D$5*DATA!$D$7)/1000000</f>
        <v>1.2293978020353862</v>
      </c>
      <c r="J10" s="316">
        <f t="shared" ca="1" si="1"/>
        <v>58.459101144740224</v>
      </c>
      <c r="K10" s="314"/>
      <c r="L10" s="316">
        <f>((D10*DATA!$D$23)/1000000)+((E10*DATA!$D$24)/1000000)</f>
        <v>72.812879999999993</v>
      </c>
      <c r="M10" s="316">
        <f t="shared" si="2"/>
        <v>72.812879999999993</v>
      </c>
      <c r="N10" s="316">
        <f t="shared" ca="1" si="6"/>
        <v>14.353778855259769</v>
      </c>
      <c r="O10" s="315">
        <f>1/(1+'[93]Asumsi I'!$C$3)^(KKF!A10)</f>
        <v>0.71178024781341087</v>
      </c>
      <c r="P10" s="316">
        <f t="shared" ca="1" si="7"/>
        <v>10.216736270655696</v>
      </c>
      <c r="Q10" s="316">
        <f t="shared" ref="Q10:Q30" ca="1" si="9">Q9+P10</f>
        <v>-14.817532668930346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50400</v>
      </c>
      <c r="D11" s="316">
        <f t="shared" si="5"/>
        <v>8400</v>
      </c>
      <c r="E11" s="316">
        <f t="shared" si="0"/>
        <v>42000</v>
      </c>
      <c r="F11" s="314"/>
      <c r="G11" s="318">
        <f ca="1">DATA!$D$11/1000000</f>
        <v>2.5898010300210004</v>
      </c>
      <c r="H11" s="318">
        <f>C11*DATA!$D$5/1000000</f>
        <v>54.639902312683837</v>
      </c>
      <c r="I11" s="318">
        <f>(C11*DATA!$D$5*DATA!$D$7)/1000000</f>
        <v>1.2293978020353862</v>
      </c>
      <c r="J11" s="316">
        <f t="shared" ca="1" si="1"/>
        <v>58.459101144740224</v>
      </c>
      <c r="K11" s="314"/>
      <c r="L11" s="316">
        <f>((D11*DATA!$D$23)/1000000)+((E11*DATA!$D$24)/1000000)</f>
        <v>72.812879999999993</v>
      </c>
      <c r="M11" s="316">
        <f t="shared" si="2"/>
        <v>72.812879999999993</v>
      </c>
      <c r="N11" s="316">
        <f t="shared" ca="1" si="6"/>
        <v>14.353778855259769</v>
      </c>
      <c r="O11" s="315">
        <f>1/(1+'[93]Asumsi I'!$C$3)^(KKF!A11)</f>
        <v>0.63551807840483121</v>
      </c>
      <c r="P11" s="316">
        <f t="shared" ca="1" si="7"/>
        <v>9.1220859559425858</v>
      </c>
      <c r="Q11" s="316">
        <f t="shared" ca="1" si="9"/>
        <v>-5.69544671298776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50400</v>
      </c>
      <c r="D12" s="316">
        <f t="shared" si="5"/>
        <v>8400</v>
      </c>
      <c r="E12" s="316">
        <f t="shared" si="0"/>
        <v>42000</v>
      </c>
      <c r="F12" s="314"/>
      <c r="G12" s="318">
        <f ca="1">DATA!$D$11/1000000</f>
        <v>2.5898010300210004</v>
      </c>
      <c r="H12" s="318">
        <f>C12*DATA!$D$5/1000000</f>
        <v>54.639902312683837</v>
      </c>
      <c r="I12" s="318">
        <f>(C12*DATA!$D$5*DATA!$D$7)/1000000</f>
        <v>1.2293978020353862</v>
      </c>
      <c r="J12" s="316">
        <f t="shared" ca="1" si="1"/>
        <v>58.459101144740224</v>
      </c>
      <c r="K12" s="314"/>
      <c r="L12" s="316">
        <f>((D12*DATA!$D$23)/1000000)+((E12*DATA!$D$24)/1000000)</f>
        <v>72.812879999999993</v>
      </c>
      <c r="M12" s="316">
        <f t="shared" si="2"/>
        <v>72.812879999999993</v>
      </c>
      <c r="N12" s="316">
        <f t="shared" ca="1" si="6"/>
        <v>14.353778855259769</v>
      </c>
      <c r="O12" s="315">
        <f>1/(1+'[93]Asumsi I'!$C$3)^(KKF!A12)</f>
        <v>0.56742685571859919</v>
      </c>
      <c r="P12" s="316">
        <f t="shared" ca="1" si="7"/>
        <v>8.1447196035201639</v>
      </c>
      <c r="Q12" s="316">
        <f t="shared" ca="1" si="9"/>
        <v>2.4492728905324039</v>
      </c>
      <c r="S12" s="304" t="str">
        <f t="shared" ca="1" si="3"/>
        <v/>
      </c>
      <c r="T12" s="320">
        <f t="shared" ca="1" si="10"/>
        <v>4.8293638967668153</v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50400</v>
      </c>
      <c r="D13" s="316">
        <f t="shared" si="5"/>
        <v>8400</v>
      </c>
      <c r="E13" s="316">
        <f t="shared" si="0"/>
        <v>42000</v>
      </c>
      <c r="F13" s="314"/>
      <c r="G13" s="318">
        <f ca="1">DATA!$D$11/1000000</f>
        <v>2.5898010300210004</v>
      </c>
      <c r="H13" s="318">
        <f>C13*DATA!$D$5/1000000</f>
        <v>54.639902312683837</v>
      </c>
      <c r="I13" s="318">
        <f>(C13*DATA!$D$5*DATA!$D$7)/1000000</f>
        <v>1.2293978020353862</v>
      </c>
      <c r="J13" s="316">
        <f t="shared" ca="1" si="1"/>
        <v>58.459101144740224</v>
      </c>
      <c r="K13" s="314"/>
      <c r="L13" s="316">
        <f>((D13*DATA!$D$23)/1000000)+((E13*DATA!$D$24)/1000000)</f>
        <v>72.812879999999993</v>
      </c>
      <c r="M13" s="316">
        <f t="shared" si="2"/>
        <v>72.812879999999993</v>
      </c>
      <c r="N13" s="316">
        <f t="shared" ca="1" si="6"/>
        <v>14.353778855259769</v>
      </c>
      <c r="O13" s="315">
        <f>1/(1+'[93]Asumsi I'!$C$3)^(KKF!A13)</f>
        <v>0.50663112117732068</v>
      </c>
      <c r="P13" s="316">
        <f t="shared" ca="1" si="7"/>
        <v>7.2720710745715751</v>
      </c>
      <c r="Q13" s="316">
        <f t="shared" ca="1" si="9"/>
        <v>9.7213439651039799</v>
      </c>
      <c r="S13" s="304" t="str">
        <f t="shared" ca="1" si="3"/>
        <v/>
      </c>
      <c r="T13" s="320">
        <f t="shared" ca="1" si="10"/>
        <v>5.3227327755894951</v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50400</v>
      </c>
      <c r="D14" s="316">
        <f t="shared" si="5"/>
        <v>8400</v>
      </c>
      <c r="E14" s="316">
        <f t="shared" si="0"/>
        <v>42000</v>
      </c>
      <c r="F14" s="314"/>
      <c r="G14" s="318">
        <f ca="1">DATA!$D$11/1000000</f>
        <v>2.5898010300210004</v>
      </c>
      <c r="H14" s="318">
        <f>C14*DATA!$D$5/1000000</f>
        <v>54.639902312683837</v>
      </c>
      <c r="I14" s="318">
        <f>(C14*DATA!$D$5*DATA!$D$7)/1000000</f>
        <v>1.2293978020353862</v>
      </c>
      <c r="J14" s="316">
        <f t="shared" ca="1" si="1"/>
        <v>58.459101144740224</v>
      </c>
      <c r="K14" s="314"/>
      <c r="L14" s="316">
        <f>((D14*DATA!$D$23)/1000000)+((E14*DATA!$D$24)/1000000)</f>
        <v>72.812879999999993</v>
      </c>
      <c r="M14" s="316">
        <f t="shared" si="2"/>
        <v>72.812879999999993</v>
      </c>
      <c r="N14" s="316">
        <f t="shared" ca="1" si="6"/>
        <v>14.353778855259769</v>
      </c>
      <c r="O14" s="315">
        <f>1/(1+'[93]Asumsi I'!$C$3)^(KKF!A14)</f>
        <v>0.45234921533689343</v>
      </c>
      <c r="P14" s="316">
        <f t="shared" ca="1" si="7"/>
        <v>6.4929206022960493</v>
      </c>
      <c r="Q14" s="316">
        <f t="shared" ca="1" si="9"/>
        <v>16.214264567400029</v>
      </c>
      <c r="S14" s="304" t="str">
        <f t="shared" ca="1" si="3"/>
        <v/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50400</v>
      </c>
      <c r="D15" s="316">
        <f t="shared" si="5"/>
        <v>8400</v>
      </c>
      <c r="E15" s="316">
        <f t="shared" si="0"/>
        <v>42000</v>
      </c>
      <c r="F15" s="314"/>
      <c r="G15" s="318">
        <f ca="1">DATA!$D$11/1000000</f>
        <v>2.5898010300210004</v>
      </c>
      <c r="H15" s="318">
        <f>C15*DATA!$D$5/1000000</f>
        <v>54.639902312683837</v>
      </c>
      <c r="I15" s="318">
        <f>(C15*DATA!$D$5*DATA!$D$7)/1000000</f>
        <v>1.2293978020353862</v>
      </c>
      <c r="J15" s="316">
        <f t="shared" ca="1" si="1"/>
        <v>58.459101144740224</v>
      </c>
      <c r="K15" s="314"/>
      <c r="L15" s="316">
        <f>((D15*DATA!$D$23)/1000000)+((E15*DATA!$D$24)/1000000)</f>
        <v>72.812879999999993</v>
      </c>
      <c r="M15" s="316">
        <f t="shared" si="2"/>
        <v>72.812879999999993</v>
      </c>
      <c r="N15" s="316">
        <f t="shared" ca="1" si="6"/>
        <v>14.353778855259769</v>
      </c>
      <c r="O15" s="315">
        <f>1/(1+'[93]Asumsi I'!$C$3)^(KKF!A15)</f>
        <v>0.4038832279793691</v>
      </c>
      <c r="P15" s="316">
        <f t="shared" ca="1" si="7"/>
        <v>5.7972505377643291</v>
      </c>
      <c r="Q15" s="316">
        <f t="shared" ca="1" si="9"/>
        <v>22.011515105164356</v>
      </c>
      <c r="S15" s="304" t="str">
        <f t="shared" ca="1" si="3"/>
        <v/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50400</v>
      </c>
      <c r="D16" s="316">
        <f t="shared" si="5"/>
        <v>8400</v>
      </c>
      <c r="E16" s="316">
        <f t="shared" si="0"/>
        <v>42000</v>
      </c>
      <c r="F16" s="314"/>
      <c r="G16" s="318">
        <f ca="1">DATA!$D$11/1000000</f>
        <v>2.5898010300210004</v>
      </c>
      <c r="H16" s="318">
        <f>C16*DATA!$D$5/1000000</f>
        <v>54.639902312683837</v>
      </c>
      <c r="I16" s="318">
        <f>(C16*DATA!$D$5*DATA!$D$7)/1000000</f>
        <v>1.2293978020353862</v>
      </c>
      <c r="J16" s="316">
        <f t="shared" ca="1" si="1"/>
        <v>58.459101144740224</v>
      </c>
      <c r="K16" s="314"/>
      <c r="L16" s="316">
        <f>((D16*DATA!$D$23)/1000000)+((E16*DATA!$D$24)/1000000)</f>
        <v>72.812879999999993</v>
      </c>
      <c r="M16" s="316">
        <f t="shared" si="2"/>
        <v>72.812879999999993</v>
      </c>
      <c r="N16" s="316">
        <f t="shared" ca="1" si="6"/>
        <v>14.353778855259769</v>
      </c>
      <c r="O16" s="315">
        <f>1/(1+'[93]Asumsi I'!$C$3)^(KKF!A16)</f>
        <v>0.36061002498157957</v>
      </c>
      <c r="P16" s="316">
        <f t="shared" ca="1" si="7"/>
        <v>5.1761165515752943</v>
      </c>
      <c r="Q16" s="316">
        <f t="shared" ca="1" si="9"/>
        <v>27.187631656739651</v>
      </c>
      <c r="S16" s="304" t="str">
        <f t="shared" ca="1" si="3"/>
        <v/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50400</v>
      </c>
      <c r="D17" s="316">
        <f t="shared" si="5"/>
        <v>8400</v>
      </c>
      <c r="E17" s="316">
        <f t="shared" si="0"/>
        <v>42000</v>
      </c>
      <c r="F17" s="314"/>
      <c r="G17" s="318">
        <f ca="1">DATA!$D$11/1000000</f>
        <v>2.5898010300210004</v>
      </c>
      <c r="H17" s="318">
        <f>C17*DATA!$D$5/1000000</f>
        <v>54.639902312683837</v>
      </c>
      <c r="I17" s="318">
        <f>(C17*DATA!$D$5*DATA!$D$7)/1000000</f>
        <v>1.2293978020353862</v>
      </c>
      <c r="J17" s="316">
        <f t="shared" ca="1" si="1"/>
        <v>58.459101144740224</v>
      </c>
      <c r="K17" s="314"/>
      <c r="L17" s="316">
        <f>((D17*DATA!$D$23)/1000000)+((E17*DATA!$D$24)/1000000)</f>
        <v>72.812879999999993</v>
      </c>
      <c r="M17" s="316">
        <f t="shared" si="2"/>
        <v>72.812879999999993</v>
      </c>
      <c r="N17" s="316">
        <f t="shared" ca="1" si="6"/>
        <v>14.353778855259769</v>
      </c>
      <c r="O17" s="315">
        <f>1/(1+'[93]Asumsi I'!$C$3)^(KKF!A17)</f>
        <v>0.32197323659069599</v>
      </c>
      <c r="P17" s="316">
        <f t="shared" ca="1" si="7"/>
        <v>4.6215326353350834</v>
      </c>
      <c r="Q17" s="316">
        <f t="shared" ca="1" si="9"/>
        <v>31.809164292074733</v>
      </c>
      <c r="S17" s="304" t="str">
        <f t="shared" ca="1" si="3"/>
        <v/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50400</v>
      </c>
      <c r="D18" s="316">
        <f t="shared" si="5"/>
        <v>8400</v>
      </c>
      <c r="E18" s="316">
        <f t="shared" si="0"/>
        <v>42000</v>
      </c>
      <c r="F18" s="314"/>
      <c r="G18" s="318">
        <f ca="1">DATA!$D$11/1000000</f>
        <v>2.5898010300210004</v>
      </c>
      <c r="H18" s="318">
        <f>C18*DATA!$D$5/1000000</f>
        <v>54.639902312683837</v>
      </c>
      <c r="I18" s="318">
        <f>(C18*DATA!$D$5*DATA!$D$7)/1000000</f>
        <v>1.2293978020353862</v>
      </c>
      <c r="J18" s="316">
        <f t="shared" ca="1" si="1"/>
        <v>58.459101144740224</v>
      </c>
      <c r="K18" s="314"/>
      <c r="L18" s="316">
        <f>((D18*DATA!$D$23)/1000000)+((E18*DATA!$D$24)/1000000)</f>
        <v>72.812879999999993</v>
      </c>
      <c r="M18" s="316">
        <f t="shared" si="2"/>
        <v>72.812879999999993</v>
      </c>
      <c r="N18" s="316">
        <f t="shared" ca="1" si="6"/>
        <v>14.353778855259769</v>
      </c>
      <c r="O18" s="315">
        <f>1/(1+'[93]Asumsi I'!$C$3)^(KKF!A18)</f>
        <v>0.28747610409883567</v>
      </c>
      <c r="P18" s="316">
        <f t="shared" ca="1" si="7"/>
        <v>4.1263684244063237</v>
      </c>
      <c r="Q18" s="316">
        <f t="shared" ca="1" si="9"/>
        <v>35.935532716481056</v>
      </c>
      <c r="S18" s="304" t="str">
        <f t="shared" ca="1" si="3"/>
        <v/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50400</v>
      </c>
      <c r="D19" s="316">
        <f t="shared" si="5"/>
        <v>8400</v>
      </c>
      <c r="E19" s="316">
        <f t="shared" si="0"/>
        <v>42000</v>
      </c>
      <c r="F19" s="314"/>
      <c r="G19" s="318">
        <f ca="1">DATA!$D$11/1000000</f>
        <v>2.5898010300210004</v>
      </c>
      <c r="H19" s="318">
        <f>C19*DATA!$D$5/1000000</f>
        <v>54.639902312683837</v>
      </c>
      <c r="I19" s="318">
        <f>(C19*DATA!$D$5*DATA!$D$7)/1000000</f>
        <v>1.2293978020353862</v>
      </c>
      <c r="J19" s="316">
        <f t="shared" ca="1" si="1"/>
        <v>58.459101144740224</v>
      </c>
      <c r="K19" s="314"/>
      <c r="L19" s="316">
        <f>((D19*DATA!$D$23)/1000000)+((E19*DATA!$D$24)/1000000)</f>
        <v>72.812879999999993</v>
      </c>
      <c r="M19" s="316">
        <f t="shared" si="2"/>
        <v>72.812879999999993</v>
      </c>
      <c r="N19" s="316">
        <f t="shared" ca="1" si="6"/>
        <v>14.353778855259769</v>
      </c>
      <c r="O19" s="315">
        <f>1/(1+'[93]Asumsi I'!$C$3)^(KKF!A19)</f>
        <v>0.25667509294538904</v>
      </c>
      <c r="P19" s="316">
        <f t="shared" ca="1" si="7"/>
        <v>3.6842575217913609</v>
      </c>
      <c r="Q19" s="316">
        <f t="shared" ca="1" si="9"/>
        <v>39.619790238272415</v>
      </c>
      <c r="S19" s="304" t="str">
        <f t="shared" ca="1" si="3"/>
        <v/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50400</v>
      </c>
      <c r="D20" s="316">
        <f t="shared" si="5"/>
        <v>8400</v>
      </c>
      <c r="E20" s="316">
        <f t="shared" si="0"/>
        <v>42000</v>
      </c>
      <c r="F20" s="314"/>
      <c r="G20" s="318">
        <f ca="1">DATA!$D$11/1000000</f>
        <v>2.5898010300210004</v>
      </c>
      <c r="H20" s="318">
        <f>C20*DATA!$D$5/1000000</f>
        <v>54.639902312683837</v>
      </c>
      <c r="I20" s="318">
        <f>(C20*DATA!$D$5*DATA!$D$7)/1000000</f>
        <v>1.2293978020353862</v>
      </c>
      <c r="J20" s="316">
        <f t="shared" ca="1" si="1"/>
        <v>58.459101144740224</v>
      </c>
      <c r="K20" s="314"/>
      <c r="L20" s="316">
        <f>((D20*DATA!$D$23)/1000000)+((E20*DATA!$D$24)/1000000)</f>
        <v>72.812879999999993</v>
      </c>
      <c r="M20" s="316">
        <f t="shared" si="2"/>
        <v>72.812879999999993</v>
      </c>
      <c r="N20" s="316">
        <f t="shared" ca="1" si="6"/>
        <v>14.353778855259769</v>
      </c>
      <c r="O20" s="315">
        <f>1/(1+'[93]Asumsi I'!$C$3)^(KKF!A20)</f>
        <v>0.22917419012981158</v>
      </c>
      <c r="P20" s="316">
        <f t="shared" ca="1" si="7"/>
        <v>3.2895156444565714</v>
      </c>
      <c r="Q20" s="316">
        <f t="shared" ca="1" si="9"/>
        <v>42.909305882728987</v>
      </c>
      <c r="S20" s="304" t="str">
        <f t="shared" ca="1" si="3"/>
        <v/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50400</v>
      </c>
      <c r="D21" s="316">
        <f t="shared" si="5"/>
        <v>8400</v>
      </c>
      <c r="E21" s="316">
        <f t="shared" si="0"/>
        <v>42000</v>
      </c>
      <c r="F21" s="314"/>
      <c r="G21" s="318">
        <f ca="1">DATA!$D$11/1000000</f>
        <v>2.5898010300210004</v>
      </c>
      <c r="H21" s="318">
        <f>C21*DATA!$D$5/1000000</f>
        <v>54.639902312683837</v>
      </c>
      <c r="I21" s="318">
        <f>(C21*DATA!$D$5*DATA!$D$7)/1000000</f>
        <v>1.2293978020353862</v>
      </c>
      <c r="J21" s="316">
        <f t="shared" ca="1" si="1"/>
        <v>58.459101144740224</v>
      </c>
      <c r="K21" s="314"/>
      <c r="L21" s="316">
        <f>((D21*DATA!$D$23)/1000000)+((E21*DATA!$D$24)/1000000)</f>
        <v>72.812879999999993</v>
      </c>
      <c r="M21" s="316">
        <f t="shared" si="2"/>
        <v>72.812879999999993</v>
      </c>
      <c r="N21" s="316">
        <f t="shared" ca="1" si="6"/>
        <v>14.353778855259769</v>
      </c>
      <c r="O21" s="315">
        <f>1/(1+'[93]Asumsi I'!$C$3)^(KKF!A21)</f>
        <v>0.20461981261590317</v>
      </c>
      <c r="P21" s="316">
        <f t="shared" ca="1" si="7"/>
        <v>2.9370675396933672</v>
      </c>
      <c r="Q21" s="316">
        <f t="shared" ca="1" si="9"/>
        <v>45.846373422422353</v>
      </c>
      <c r="S21" s="304" t="str">
        <f t="shared" ca="1" si="3"/>
        <v/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50400</v>
      </c>
      <c r="D22" s="316">
        <f t="shared" si="5"/>
        <v>8400</v>
      </c>
      <c r="E22" s="316">
        <f t="shared" si="0"/>
        <v>42000</v>
      </c>
      <c r="F22" s="314"/>
      <c r="G22" s="318">
        <f ca="1">DATA!$D$11/1000000</f>
        <v>2.5898010300210004</v>
      </c>
      <c r="H22" s="318">
        <f>C22*DATA!$D$5/1000000</f>
        <v>54.639902312683837</v>
      </c>
      <c r="I22" s="318">
        <f>(C22*DATA!$D$5*DATA!$D$7)/1000000</f>
        <v>1.2293978020353862</v>
      </c>
      <c r="J22" s="316">
        <f t="shared" ca="1" si="1"/>
        <v>58.459101144740224</v>
      </c>
      <c r="K22" s="314"/>
      <c r="L22" s="316">
        <f>((D22*DATA!$D$23)/1000000)+((E22*DATA!$D$24)/1000000)</f>
        <v>72.812879999999993</v>
      </c>
      <c r="M22" s="316">
        <f t="shared" si="2"/>
        <v>72.812879999999993</v>
      </c>
      <c r="N22" s="316">
        <f t="shared" ca="1" si="6"/>
        <v>14.353778855259769</v>
      </c>
      <c r="O22" s="315">
        <f>1/(1+'[93]Asumsi I'!$C$3)^(KKF!A22)</f>
        <v>0.18269626126419927</v>
      </c>
      <c r="P22" s="316">
        <f t="shared" ca="1" si="7"/>
        <v>2.6223817318690781</v>
      </c>
      <c r="Q22" s="316">
        <f t="shared" ca="1" si="9"/>
        <v>48.468755154291429</v>
      </c>
      <c r="S22" s="304" t="str">
        <f t="shared" ca="1" si="3"/>
        <v/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50400</v>
      </c>
      <c r="D23" s="316">
        <f t="shared" si="5"/>
        <v>8400</v>
      </c>
      <c r="E23" s="316">
        <f t="shared" si="0"/>
        <v>42000</v>
      </c>
      <c r="F23" s="314"/>
      <c r="G23" s="318">
        <f ca="1">DATA!$D$11/1000000</f>
        <v>2.5898010300210004</v>
      </c>
      <c r="H23" s="318">
        <f>C23*DATA!$D$5/1000000</f>
        <v>54.639902312683837</v>
      </c>
      <c r="I23" s="318">
        <f>(C23*DATA!$D$5*DATA!$D$7)/1000000</f>
        <v>1.2293978020353862</v>
      </c>
      <c r="J23" s="316">
        <f t="shared" ca="1" si="1"/>
        <v>58.459101144740224</v>
      </c>
      <c r="K23" s="314"/>
      <c r="L23" s="316">
        <f>((D23*DATA!$D$23)/1000000)+((E23*DATA!$D$24)/1000000)</f>
        <v>72.812879999999993</v>
      </c>
      <c r="M23" s="316">
        <f t="shared" si="2"/>
        <v>72.812879999999993</v>
      </c>
      <c r="N23" s="316">
        <f t="shared" ca="1" si="6"/>
        <v>14.353778855259769</v>
      </c>
      <c r="O23" s="315">
        <f>1/(1+'[93]Asumsi I'!$C$3)^(KKF!A23)</f>
        <v>0.16312166184303503</v>
      </c>
      <c r="P23" s="316">
        <f t="shared" ca="1" si="7"/>
        <v>2.3414122605973904</v>
      </c>
      <c r="Q23" s="316">
        <f t="shared" ca="1" si="9"/>
        <v>50.810167414888816</v>
      </c>
      <c r="S23" s="304" t="str">
        <f t="shared" ca="1" si="3"/>
        <v/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50400</v>
      </c>
      <c r="D24" s="316">
        <f t="shared" si="5"/>
        <v>8400</v>
      </c>
      <c r="E24" s="316">
        <f t="shared" si="0"/>
        <v>42000</v>
      </c>
      <c r="F24" s="314"/>
      <c r="G24" s="318">
        <f ca="1">DATA!$D$11/1000000</f>
        <v>2.5898010300210004</v>
      </c>
      <c r="H24" s="318">
        <f>C24*DATA!$D$5/1000000</f>
        <v>54.639902312683837</v>
      </c>
      <c r="I24" s="318">
        <f>(C24*DATA!$D$5*DATA!$D$7)/1000000</f>
        <v>1.2293978020353862</v>
      </c>
      <c r="J24" s="316">
        <f t="shared" ca="1" si="1"/>
        <v>58.459101144740224</v>
      </c>
      <c r="K24" s="314"/>
      <c r="L24" s="316">
        <f>((D24*DATA!$D$23)/1000000)+((E24*DATA!$D$24)/1000000)</f>
        <v>72.812879999999993</v>
      </c>
      <c r="M24" s="316">
        <f t="shared" si="2"/>
        <v>72.812879999999993</v>
      </c>
      <c r="N24" s="316">
        <f t="shared" ca="1" si="6"/>
        <v>14.353778855259769</v>
      </c>
      <c r="O24" s="315">
        <f>1/(1+'[93]Asumsi I'!$C$3)^(KKF!A24)</f>
        <v>0.14564434093128129</v>
      </c>
      <c r="P24" s="316">
        <f t="shared" ca="1" si="7"/>
        <v>2.0905466612476702</v>
      </c>
      <c r="Q24" s="316">
        <f t="shared" ca="1" si="9"/>
        <v>52.900714076136488</v>
      </c>
      <c r="S24" s="304" t="str">
        <f t="shared" ca="1" si="3"/>
        <v/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50400</v>
      </c>
      <c r="D25" s="316">
        <f t="shared" si="5"/>
        <v>8400</v>
      </c>
      <c r="E25" s="316">
        <f t="shared" si="0"/>
        <v>42000</v>
      </c>
      <c r="F25" s="314"/>
      <c r="G25" s="318">
        <f ca="1">DATA!$D$11/1000000</f>
        <v>2.5898010300210004</v>
      </c>
      <c r="H25" s="318">
        <f>C25*DATA!$D$5/1000000</f>
        <v>54.639902312683837</v>
      </c>
      <c r="I25" s="318">
        <f>(C25*DATA!$D$5*DATA!$D$7)/1000000</f>
        <v>1.2293978020353862</v>
      </c>
      <c r="J25" s="316">
        <f t="shared" ca="1" si="1"/>
        <v>58.459101144740224</v>
      </c>
      <c r="K25" s="314"/>
      <c r="L25" s="316">
        <f>((D25*DATA!$D$23)/1000000)+((E25*DATA!$D$24)/1000000)</f>
        <v>72.812879999999993</v>
      </c>
      <c r="M25" s="316">
        <f t="shared" si="2"/>
        <v>72.812879999999993</v>
      </c>
      <c r="N25" s="316">
        <f t="shared" ca="1" si="6"/>
        <v>14.353778855259769</v>
      </c>
      <c r="O25" s="315">
        <f>1/(1+'[93]Asumsi I'!$C$3)^(KKF!A25)</f>
        <v>0.13003959011721541</v>
      </c>
      <c r="P25" s="316">
        <f t="shared" ca="1" si="7"/>
        <v>1.8665595189711339</v>
      </c>
      <c r="Q25" s="316">
        <f t="shared" ca="1" si="9"/>
        <v>54.767273595107625</v>
      </c>
      <c r="S25" s="304" t="str">
        <f t="shared" ca="1" si="3"/>
        <v/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50400</v>
      </c>
      <c r="D26" s="316">
        <f t="shared" si="5"/>
        <v>8400</v>
      </c>
      <c r="E26" s="316">
        <f t="shared" si="0"/>
        <v>42000</v>
      </c>
      <c r="F26" s="314"/>
      <c r="G26" s="318">
        <f ca="1">DATA!$D$11/1000000</f>
        <v>2.5898010300210004</v>
      </c>
      <c r="H26" s="318">
        <f>C26*DATA!$D$5/1000000</f>
        <v>54.639902312683837</v>
      </c>
      <c r="I26" s="318">
        <f>(C26*DATA!$D$5*DATA!$D$7)/1000000</f>
        <v>1.2293978020353862</v>
      </c>
      <c r="J26" s="316">
        <f t="shared" ca="1" si="1"/>
        <v>58.459101144740224</v>
      </c>
      <c r="K26" s="314"/>
      <c r="L26" s="316">
        <f>((D26*DATA!$D$23)/1000000)+((E26*DATA!$D$24)/1000000)</f>
        <v>72.812879999999993</v>
      </c>
      <c r="M26" s="316">
        <f t="shared" si="2"/>
        <v>72.812879999999993</v>
      </c>
      <c r="N26" s="316">
        <f t="shared" ca="1" si="6"/>
        <v>14.353778855259769</v>
      </c>
      <c r="O26" s="315">
        <f>1/(1+'[93]Asumsi I'!$C$3)^(KKF!A26)</f>
        <v>0.1161067768903709</v>
      </c>
      <c r="P26" s="316">
        <f t="shared" ca="1" si="7"/>
        <v>1.6665709990813693</v>
      </c>
      <c r="Q26" s="316">
        <f t="shared" ca="1" si="9"/>
        <v>56.433844594188997</v>
      </c>
      <c r="S26" s="304" t="str">
        <f t="shared" ca="1" si="3"/>
        <v/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50400</v>
      </c>
      <c r="D27" s="316">
        <f t="shared" si="5"/>
        <v>8400</v>
      </c>
      <c r="E27" s="316">
        <f t="shared" si="0"/>
        <v>42000</v>
      </c>
      <c r="F27" s="314"/>
      <c r="G27" s="318">
        <f ca="1">DATA!$D$11/1000000</f>
        <v>2.5898010300210004</v>
      </c>
      <c r="H27" s="318">
        <f>C27*DATA!$D$5/1000000</f>
        <v>54.639902312683837</v>
      </c>
      <c r="I27" s="318">
        <f>(C27*DATA!$D$5*DATA!$D$7)/1000000</f>
        <v>1.2293978020353862</v>
      </c>
      <c r="J27" s="316">
        <f t="shared" ca="1" si="1"/>
        <v>58.459101144740224</v>
      </c>
      <c r="K27" s="314"/>
      <c r="L27" s="316">
        <f>((D27*DATA!$D$23)/1000000)+((E27*DATA!$D$24)/1000000)</f>
        <v>72.812879999999993</v>
      </c>
      <c r="M27" s="316">
        <f t="shared" si="2"/>
        <v>72.812879999999993</v>
      </c>
      <c r="N27" s="316">
        <f t="shared" ca="1" si="6"/>
        <v>14.353778855259769</v>
      </c>
      <c r="O27" s="315">
        <f>1/(1+'[93]Asumsi I'!$C$3)^(KKF!A27)</f>
        <v>0.1036667650806883</v>
      </c>
      <c r="P27" s="316">
        <f t="shared" ca="1" si="7"/>
        <v>1.4880098206083654</v>
      </c>
      <c r="Q27" s="316">
        <f t="shared" ca="1" si="9"/>
        <v>57.921854414797366</v>
      </c>
      <c r="S27" s="304" t="str">
        <f t="shared" ca="1" si="3"/>
        <v/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50400</v>
      </c>
      <c r="D28" s="316">
        <f t="shared" si="5"/>
        <v>8400</v>
      </c>
      <c r="E28" s="316">
        <f t="shared" si="0"/>
        <v>42000</v>
      </c>
      <c r="F28" s="314"/>
      <c r="G28" s="318">
        <f ca="1">DATA!$D$11/1000000</f>
        <v>2.5898010300210004</v>
      </c>
      <c r="H28" s="318">
        <f>C28*DATA!$D$5/1000000</f>
        <v>54.639902312683837</v>
      </c>
      <c r="I28" s="318">
        <f>(C28*DATA!$D$5*DATA!$D$7)/1000000</f>
        <v>1.2293978020353862</v>
      </c>
      <c r="J28" s="316">
        <f t="shared" ca="1" si="1"/>
        <v>58.459101144740224</v>
      </c>
      <c r="K28" s="314"/>
      <c r="L28" s="316">
        <f>((D28*DATA!$D$23)/1000000)+((E28*DATA!$D$24)/1000000)</f>
        <v>72.812879999999993</v>
      </c>
      <c r="M28" s="316">
        <f t="shared" si="2"/>
        <v>72.812879999999993</v>
      </c>
      <c r="N28" s="316">
        <f t="shared" ca="1" si="6"/>
        <v>14.353778855259769</v>
      </c>
      <c r="O28" s="315">
        <f>1/(1+'[93]Asumsi I'!$C$3)^(KKF!A28)</f>
        <v>9.2559611679185971E-2</v>
      </c>
      <c r="P28" s="316">
        <f t="shared" ca="1" si="7"/>
        <v>1.3285801969717548</v>
      </c>
      <c r="Q28" s="316">
        <f t="shared" ca="1" si="9"/>
        <v>59.250434611769123</v>
      </c>
      <c r="S28" s="304" t="str">
        <f t="shared" ca="1" si="3"/>
        <v/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50400</v>
      </c>
      <c r="D29" s="316">
        <f t="shared" si="5"/>
        <v>8400</v>
      </c>
      <c r="E29" s="316">
        <f t="shared" si="0"/>
        <v>42000</v>
      </c>
      <c r="F29" s="314"/>
      <c r="G29" s="318">
        <f ca="1">DATA!$D$11/1000000</f>
        <v>2.5898010300210004</v>
      </c>
      <c r="H29" s="318">
        <f>C29*DATA!$D$5/1000000</f>
        <v>54.639902312683837</v>
      </c>
      <c r="I29" s="318">
        <f>(C29*DATA!$D$5*DATA!$D$7)/1000000</f>
        <v>1.2293978020353862</v>
      </c>
      <c r="J29" s="316">
        <f t="shared" ca="1" si="1"/>
        <v>58.459101144740224</v>
      </c>
      <c r="K29" s="314"/>
      <c r="L29" s="316">
        <f>((D29*DATA!$D$23)/1000000)+((E29*DATA!$D$24)/1000000)</f>
        <v>72.812879999999993</v>
      </c>
      <c r="M29" s="316">
        <f t="shared" si="2"/>
        <v>72.812879999999993</v>
      </c>
      <c r="N29" s="316">
        <f t="shared" ca="1" si="6"/>
        <v>14.353778855259769</v>
      </c>
      <c r="O29" s="315">
        <f>1/(1+'[93]Asumsi I'!$C$3)^(KKF!A29)</f>
        <v>8.2642510427844609E-2</v>
      </c>
      <c r="P29" s="316">
        <f t="shared" ca="1" si="7"/>
        <v>1.186232318724781</v>
      </c>
      <c r="Q29" s="316">
        <f t="shared" ca="1" si="9"/>
        <v>60.436666930493907</v>
      </c>
      <c r="S29" s="304" t="str">
        <f t="shared" ca="1" si="3"/>
        <v/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50400</v>
      </c>
      <c r="D30" s="316">
        <f t="shared" si="5"/>
        <v>8400</v>
      </c>
      <c r="E30" s="316">
        <f t="shared" si="0"/>
        <v>42000</v>
      </c>
      <c r="F30" s="314"/>
      <c r="G30" s="318">
        <f ca="1">DATA!$D$11/1000000</f>
        <v>2.5898010300210004</v>
      </c>
      <c r="H30" s="318">
        <f>C30*DATA!$D$5/1000000</f>
        <v>54.639902312683837</v>
      </c>
      <c r="I30" s="318">
        <f>(C30*DATA!$D$5*DATA!$D$7)/1000000</f>
        <v>1.2293978020353862</v>
      </c>
      <c r="J30" s="316">
        <f t="shared" ca="1" si="1"/>
        <v>58.459101144740224</v>
      </c>
      <c r="K30" s="314"/>
      <c r="L30" s="316">
        <f>((D30*DATA!$D$23)/1000000)+((E30*DATA!$D$24)/1000000)</f>
        <v>72.812879999999993</v>
      </c>
      <c r="M30" s="316">
        <f t="shared" si="2"/>
        <v>72.812879999999993</v>
      </c>
      <c r="N30" s="316">
        <f t="shared" ca="1" si="6"/>
        <v>14.353778855259769</v>
      </c>
      <c r="O30" s="315">
        <f>1/(1+'[93]Asumsi I'!$C$3)^(KKF!A30)</f>
        <v>7.3787955739146982E-2</v>
      </c>
      <c r="P30" s="316">
        <f t="shared" ca="1" si="7"/>
        <v>1.0591359988614117</v>
      </c>
      <c r="Q30" s="316">
        <f t="shared" ca="1" si="9"/>
        <v>61.495802929355321</v>
      </c>
      <c r="S30" s="304" t="str">
        <f t="shared" ca="1" si="3"/>
        <v/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50400</v>
      </c>
      <c r="D31" s="316">
        <f t="shared" si="5"/>
        <v>8400</v>
      </c>
      <c r="E31" s="316">
        <f t="shared" si="0"/>
        <v>42000</v>
      </c>
      <c r="F31" s="314"/>
      <c r="G31" s="318">
        <f ca="1">DATA!$D$11/1000000</f>
        <v>2.5898010300210004</v>
      </c>
      <c r="H31" s="318">
        <f>C31*DATA!$D$5/1000000</f>
        <v>54.639902312683837</v>
      </c>
      <c r="I31" s="318">
        <f>(C31*DATA!$D$5*DATA!$D$7)/1000000</f>
        <v>1.2293978020353862</v>
      </c>
      <c r="J31" s="316">
        <f t="shared" ca="1" si="1"/>
        <v>58.459101144740224</v>
      </c>
      <c r="K31" s="314"/>
      <c r="L31" s="316">
        <f>((D31*DATA!$D$23)/1000000)+((E31*DATA!$D$24)/1000000)</f>
        <v>72.812879999999993</v>
      </c>
      <c r="M31" s="316">
        <f t="shared" si="2"/>
        <v>72.812879999999993</v>
      </c>
      <c r="N31" s="316">
        <f t="shared" ca="1" si="6"/>
        <v>14.353778855259769</v>
      </c>
      <c r="O31" s="315">
        <f>1/(1+'[93]Asumsi I'!$C$3)^(KKF!A31)</f>
        <v>6.5882103338524081E-2</v>
      </c>
      <c r="P31" s="316">
        <f t="shared" ca="1" si="7"/>
        <v>0.94565714184054595</v>
      </c>
      <c r="Q31" s="316">
        <f ca="1">Q30+P31</f>
        <v>62.44146007119587</v>
      </c>
      <c r="S31" s="304" t="str">
        <f t="shared" ca="1" si="3"/>
        <v/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50400</v>
      </c>
      <c r="D32" s="316">
        <f t="shared" si="5"/>
        <v>8400</v>
      </c>
      <c r="E32" s="316">
        <f t="shared" si="0"/>
        <v>42000</v>
      </c>
      <c r="F32" s="314"/>
      <c r="G32" s="318">
        <f ca="1">DATA!$D$11/1000000</f>
        <v>2.5898010300210004</v>
      </c>
      <c r="H32" s="318">
        <f>C32*DATA!$D$5/1000000</f>
        <v>54.639902312683837</v>
      </c>
      <c r="I32" s="318">
        <f>(C32*DATA!$D$5*DATA!$D$7)/1000000</f>
        <v>1.2293978020353862</v>
      </c>
      <c r="J32" s="316">
        <f t="shared" ca="1" si="1"/>
        <v>58.459101144740224</v>
      </c>
      <c r="K32" s="314"/>
      <c r="L32" s="316">
        <f>((D32*DATA!$D$23)/1000000)+((E32*DATA!$D$24)/1000000)</f>
        <v>72.812879999999993</v>
      </c>
      <c r="M32" s="316">
        <f t="shared" si="2"/>
        <v>72.812879999999993</v>
      </c>
      <c r="N32" s="316">
        <f t="shared" ca="1" si="6"/>
        <v>14.353778855259769</v>
      </c>
      <c r="O32" s="315">
        <f>1/(1+'[93]Asumsi I'!$C$3)^(KKF!A32)</f>
        <v>5.8823306552253637E-2</v>
      </c>
      <c r="P32" s="316">
        <f t="shared" ca="1" si="7"/>
        <v>0.84433673378620167</v>
      </c>
      <c r="Q32" s="316">
        <f ca="1">Q31+P32</f>
        <v>63.28579680498207</v>
      </c>
      <c r="S32" s="304" t="str">
        <f t="shared" ca="1" si="3"/>
        <v/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9" t="s">
        <v>1374</v>
      </c>
      <c r="G33" s="619"/>
      <c r="H33" s="619"/>
      <c r="I33" s="324"/>
      <c r="J33" s="325">
        <f ca="1">SUM(J7:J32)</f>
        <v>1598.2131561591373</v>
      </c>
      <c r="K33" s="619" t="s">
        <v>1375</v>
      </c>
      <c r="L33" s="619"/>
      <c r="M33" s="325">
        <f>SUM(M7:M32)</f>
        <v>1907.7647399999992</v>
      </c>
      <c r="N33" s="323"/>
      <c r="O33" s="323"/>
      <c r="P33" s="326"/>
      <c r="Q33" s="326"/>
      <c r="S33" s="304">
        <f ca="1">COUNTIF(S7:S32,"a")</f>
        <v>5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9.5261066036645676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>
        <f ca="1">AVERAGE(T7:T32)</f>
        <v>5.0760483361781557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1.1936860440973864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56.505175718733938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0.29069991238594084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2" priority="1" stopIfTrue="1" operator="greaterThanOrEqual">
      <formula>$F$7</formula>
    </cfRule>
    <cfRule type="cellIs" dxfId="21" priority="2" stopIfTrue="1" operator="lessThan">
      <formula>$F$7</formula>
    </cfRule>
  </conditionalFormatting>
  <conditionalFormatting sqref="Q7:Q32">
    <cfRule type="cellIs" dxfId="20" priority="3" operator="lessThan">
      <formula>0</formula>
    </cfRule>
    <cfRule type="cellIs" dxfId="19" priority="4" operator="lessThan">
      <formula>0</formula>
    </cfRule>
    <cfRule type="cellIs" dxfId="18" priority="5" operator="lessThan">
      <formula>-6395.81</formula>
    </cfRule>
    <cfRule type="cellIs" dxfId="1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74"/>
  <sheetViews>
    <sheetView showGridLines="0" tabSelected="1" zoomScale="70" zoomScaleNormal="70" zoomScaleSheetLayoutView="70" workbookViewId="0">
      <pane ySplit="13" topLeftCell="A92" activePane="bottomLeft" state="frozen"/>
      <selection activeCell="H1093" sqref="H1093"/>
      <selection pane="bottomLeft" activeCell="C96" sqref="C96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13" customWidth="1"/>
    <col min="4" max="4" width="13.7109375" style="413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22" t="s">
        <v>1036</v>
      </c>
      <c r="P3" s="622"/>
      <c r="Q3" s="346"/>
      <c r="T3" s="344"/>
      <c r="U3" s="345" t="s">
        <v>1041</v>
      </c>
      <c r="V3" s="344"/>
    </row>
    <row r="4" spans="1:22" ht="18.75">
      <c r="B4" s="623" t="s">
        <v>1023</v>
      </c>
      <c r="C4" s="623"/>
      <c r="D4" s="623"/>
      <c r="E4" s="623"/>
      <c r="F4" s="623"/>
      <c r="G4" s="623"/>
      <c r="H4" s="623"/>
      <c r="I4" s="623"/>
      <c r="J4" s="623"/>
      <c r="K4" s="623"/>
      <c r="O4" s="622"/>
      <c r="P4" s="622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39" t="str">
        <f>DATA!D14</f>
        <v>AGR SISWANTO</v>
      </c>
      <c r="H6" s="639"/>
      <c r="I6" s="639"/>
      <c r="J6" s="639"/>
      <c r="K6" s="639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1636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1551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25" t="s">
        <v>0</v>
      </c>
      <c r="C11" s="627" t="s">
        <v>1</v>
      </c>
      <c r="D11" s="630" t="s">
        <v>42</v>
      </c>
      <c r="E11" s="630" t="s">
        <v>43</v>
      </c>
      <c r="F11" s="630" t="s">
        <v>2</v>
      </c>
      <c r="G11" s="632" t="s">
        <v>41</v>
      </c>
      <c r="H11" s="630" t="s">
        <v>3</v>
      </c>
      <c r="I11" s="630"/>
      <c r="J11" s="630"/>
      <c r="K11" s="649"/>
      <c r="O11" s="351"/>
      <c r="P11" s="352"/>
      <c r="Q11" s="351"/>
      <c r="S11" s="353"/>
      <c r="T11" s="354"/>
      <c r="U11" s="354"/>
      <c r="V11" s="354"/>
    </row>
    <row r="12" spans="1:22">
      <c r="B12" s="626"/>
      <c r="C12" s="628"/>
      <c r="D12" s="631"/>
      <c r="E12" s="631"/>
      <c r="F12" s="631"/>
      <c r="G12" s="633"/>
      <c r="H12" s="635" t="s">
        <v>46</v>
      </c>
      <c r="I12" s="635" t="s">
        <v>5</v>
      </c>
      <c r="J12" s="631" t="s">
        <v>47</v>
      </c>
      <c r="K12" s="650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26"/>
      <c r="C13" s="629"/>
      <c r="D13" s="631"/>
      <c r="E13" s="631"/>
      <c r="F13" s="631"/>
      <c r="G13" s="634"/>
      <c r="H13" s="636"/>
      <c r="I13" s="636"/>
      <c r="J13" s="631"/>
      <c r="K13" s="650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1455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56"/>
      <c r="C16" s="357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34" ca="1" si="8">IF(OR(D16="MDU",D16="MDU-KD"),(IF($O$3="RAB NON MDU","PLN KD",G16*F16)),0)</f>
        <v>0</v>
      </c>
      <c r="I16" s="361">
        <f t="shared" ref="I16:I34" ca="1" si="9">IF(D16="HDW",G16*F16,0)</f>
        <v>0</v>
      </c>
      <c r="J16" s="361">
        <f t="shared" ref="J16:J34" ca="1" si="10">IF(D16="JASA",G16*F16,0)</f>
        <v>0</v>
      </c>
      <c r="K16" s="362">
        <f t="shared" ref="K16:K34" ca="1" si="11">SUM(H16:J16)</f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56">
        <v>1</v>
      </c>
      <c r="C17" s="109" t="s">
        <v>104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503">
        <v>2</v>
      </c>
      <c r="G17" s="360">
        <f ca="1">IF(ISERROR(OFFSET('HARGA SATUAN'!$I$6,MATCH(RAB!C17,'HARGA SATUAN'!$C$7:$C$1492,0),0)),0,OFFSET('HARGA SATUAN'!$I$6,MATCH(RAB!C17,'HARGA SATUAN'!$C$7:$C$1492,0),0))</f>
        <v>6074400</v>
      </c>
      <c r="H17" s="361">
        <f t="shared" ca="1" si="8"/>
        <v>0</v>
      </c>
      <c r="I17" s="361">
        <f t="shared" ca="1" si="9"/>
        <v>12148800</v>
      </c>
      <c r="J17" s="361">
        <f t="shared" ca="1" si="10"/>
        <v>0</v>
      </c>
      <c r="K17" s="362">
        <f t="shared" ca="1" si="11"/>
        <v>12148800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56">
        <v>2</v>
      </c>
      <c r="C18" s="109" t="s">
        <v>6</v>
      </c>
      <c r="D18" s="358" t="str">
        <f ca="1">IF(ISERROR(OFFSET('HARGA SATUAN'!$D$6,MATCH(RAB!C18,'HARGA SATUAN'!$C$7:$C$1492,0),0)),"",OFFSET('HARGA SATUAN'!$D$6,MATCH(RAB!C18,'HARGA SATUAN'!$C$7:$C$1492,0),0))</f>
        <v>JASA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503">
        <v>2</v>
      </c>
      <c r="G18" s="360">
        <f ca="1">IF(ISERROR(OFFSET('HARGA SATUAN'!$I$6,MATCH(RAB!C18,'HARGA SATUAN'!$C$7:$C$1492,0),0)),0,OFFSET('HARGA SATUAN'!$I$6,MATCH(RAB!C18,'HARGA SATUAN'!$C$7:$C$1492,0),0))</f>
        <v>10066.666666666668</v>
      </c>
      <c r="H18" s="361">
        <f t="shared" ca="1" si="8"/>
        <v>0</v>
      </c>
      <c r="I18" s="361">
        <f t="shared" ca="1" si="9"/>
        <v>0</v>
      </c>
      <c r="J18" s="361">
        <f t="shared" ca="1" si="10"/>
        <v>20133.333333333336</v>
      </c>
      <c r="K18" s="362">
        <f t="shared" ca="1" si="11"/>
        <v>20133.333333333336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56">
        <v>3</v>
      </c>
      <c r="C19" s="109" t="s">
        <v>461</v>
      </c>
      <c r="D19" s="358" t="str">
        <f ca="1">IF(ISERROR(OFFSET('HARGA SATUAN'!$D$6,MATCH(RAB!C19,'HARGA SATUAN'!$C$7:$C$1492,0),0)),"",OFFSET('HARGA SATUAN'!$D$6,MATCH(RAB!C19,'HARGA SATUAN'!$C$7:$C$1492,0),0))</f>
        <v>HDW</v>
      </c>
      <c r="E19" s="359" t="str">
        <f ca="1">IF(B19="+","Unit",IF(ISERROR(OFFSET('HARGA SATUAN'!$E$6,MATCH(RAB!C19,'HARGA SATUAN'!$C$7:$C$1492,0),0)),"",OFFSET('HARGA SATUAN'!$E$6,MATCH(RAB!C19,'HARGA SATUAN'!$C$7:$C$1492,0),0)))</f>
        <v>Set</v>
      </c>
      <c r="F19" s="503">
        <v>1</v>
      </c>
      <c r="G19" s="360">
        <f ca="1">IF(ISERROR(OFFSET('HARGA SATUAN'!$I$6,MATCH(RAB!C19,'HARGA SATUAN'!$C$7:$C$1492,0),0)),0,OFFSET('HARGA SATUAN'!$I$6,MATCH(RAB!C19,'HARGA SATUAN'!$C$7:$C$1492,0),0))</f>
        <v>200000</v>
      </c>
      <c r="H19" s="361">
        <f t="shared" ca="1" si="8"/>
        <v>0</v>
      </c>
      <c r="I19" s="361">
        <f t="shared" ca="1" si="9"/>
        <v>200000</v>
      </c>
      <c r="J19" s="361">
        <f t="shared" ca="1" si="10"/>
        <v>0</v>
      </c>
      <c r="K19" s="362">
        <f t="shared" ca="1" si="11"/>
        <v>200000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56"/>
      <c r="C20" s="357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68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ca="1" si="8"/>
        <v>0</v>
      </c>
      <c r="I20" s="361">
        <f t="shared" ca="1" si="9"/>
        <v>0</v>
      </c>
      <c r="J20" s="361">
        <f t="shared" ca="1" si="10"/>
        <v>0</v>
      </c>
      <c r="K20" s="362">
        <f t="shared" ca="1" si="11"/>
        <v>0</v>
      </c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 t="e">
        <f>IF(AND(C21=0,#REF!=0,#REF!=0),"BLANKS",1)</f>
        <v>#REF!</v>
      </c>
      <c r="B21" s="371" t="s">
        <v>1456</v>
      </c>
      <c r="C21" s="372" t="s">
        <v>1623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8"/>
        <v>0</v>
      </c>
      <c r="I21" s="361">
        <f t="shared" ca="1" si="9"/>
        <v>0</v>
      </c>
      <c r="J21" s="361">
        <f t="shared" ca="1" si="10"/>
        <v>0</v>
      </c>
      <c r="K21" s="362">
        <f t="shared" ca="1" si="11"/>
        <v>0</v>
      </c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70" customFormat="1">
      <c r="A22" s="336"/>
      <c r="B22" s="495"/>
      <c r="C22" s="496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8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ca="1" si="8"/>
        <v>0</v>
      </c>
      <c r="I22" s="361">
        <f t="shared" ca="1" si="9"/>
        <v>0</v>
      </c>
      <c r="J22" s="361">
        <f t="shared" ca="1" si="10"/>
        <v>0</v>
      </c>
      <c r="K22" s="362">
        <f t="shared" ca="1" si="11"/>
        <v>0</v>
      </c>
      <c r="L22" s="369"/>
      <c r="M22" s="369"/>
      <c r="N22" s="369"/>
      <c r="O22" s="363"/>
      <c r="P22" s="363"/>
      <c r="Q22" s="344"/>
      <c r="R22" s="336"/>
      <c r="S22" s="364"/>
      <c r="T22" s="341"/>
      <c r="U22" s="341"/>
      <c r="V22" s="341"/>
    </row>
    <row r="23" spans="1:22" s="370" customFormat="1">
      <c r="A23" s="336"/>
      <c r="B23" s="504" t="s">
        <v>1035</v>
      </c>
      <c r="C23" s="505" t="s">
        <v>1619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>Unit</v>
      </c>
      <c r="F23" s="484">
        <v>1</v>
      </c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8"/>
        <v>0</v>
      </c>
      <c r="I23" s="361">
        <f t="shared" ca="1" si="9"/>
        <v>0</v>
      </c>
      <c r="J23" s="361">
        <f t="shared" ca="1" si="10"/>
        <v>0</v>
      </c>
      <c r="K23" s="362">
        <f t="shared" ca="1" si="11"/>
        <v>0</v>
      </c>
      <c r="L23" s="369"/>
      <c r="M23" s="369"/>
      <c r="N23" s="369"/>
      <c r="O23" s="363"/>
      <c r="P23" s="363"/>
      <c r="Q23" s="344"/>
      <c r="R23" s="336"/>
      <c r="S23" s="364"/>
      <c r="T23" s="341"/>
      <c r="U23" s="341"/>
      <c r="V23" s="341"/>
    </row>
    <row r="24" spans="1:22" s="370" customFormat="1">
      <c r="A24" s="336"/>
      <c r="B24" s="504">
        <v>1</v>
      </c>
      <c r="C24" s="109" t="s">
        <v>1129</v>
      </c>
      <c r="D24" s="358" t="str">
        <f ca="1">IF(ISERROR(OFFSET('HARGA SATUAN'!$D$6,MATCH(RAB!C24,'HARGA SATUAN'!$C$7:$C$1492,0),0)),"",OFFSET('HARGA SATUAN'!$D$6,MATCH(RAB!C24,'HARGA SATUAN'!$C$7:$C$1492,0),0))</f>
        <v>MDU-KD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484">
        <f>F23*1</f>
        <v>1</v>
      </c>
      <c r="G24" s="360">
        <f ca="1">IF(ISERROR(OFFSET('HARGA SATUAN'!$I$6,MATCH(RAB!C24,'HARGA SATUAN'!$C$7:$C$1492,0),0)),0,OFFSET('HARGA SATUAN'!$I$6,MATCH(RAB!C24,'HARGA SATUAN'!$C$7:$C$1492,0),0))</f>
        <v>176900</v>
      </c>
      <c r="H24" s="361">
        <f t="shared" ca="1" si="8"/>
        <v>176900</v>
      </c>
      <c r="I24" s="361">
        <f t="shared" ca="1" si="9"/>
        <v>0</v>
      </c>
      <c r="J24" s="361">
        <f t="shared" ca="1" si="10"/>
        <v>0</v>
      </c>
      <c r="K24" s="362">
        <f t="shared" ca="1" si="11"/>
        <v>176900</v>
      </c>
      <c r="L24" s="369"/>
      <c r="M24" s="369"/>
      <c r="N24" s="369"/>
      <c r="O24" s="363"/>
      <c r="P24" s="363"/>
      <c r="Q24" s="344"/>
      <c r="R24" s="336"/>
      <c r="S24" s="364"/>
      <c r="T24" s="341"/>
      <c r="U24" s="341"/>
      <c r="V24" s="341"/>
    </row>
    <row r="25" spans="1:22" s="370" customFormat="1">
      <c r="A25" s="336"/>
      <c r="B25" s="504">
        <v>2</v>
      </c>
      <c r="C25" s="109" t="s">
        <v>1129</v>
      </c>
      <c r="D25" s="358" t="str">
        <f ca="1">IF(ISERROR(OFFSET('HARGA SATUAN'!$D$6,MATCH(RAB!C25,'HARGA SATUAN'!$C$7:$C$1492,0),0)),"",OFFSET('HARGA SATUAN'!$D$6,MATCH(RAB!C25,'HARGA SATUAN'!$C$7:$C$1492,0),0))</f>
        <v>MDU-KD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484">
        <f>F23*2</f>
        <v>2</v>
      </c>
      <c r="G25" s="360">
        <f ca="1">IF(ISERROR(OFFSET('HARGA SATUAN'!$I$6,MATCH(RAB!C25,'HARGA SATUAN'!$C$7:$C$1492,0),0)),0,OFFSET('HARGA SATUAN'!$I$6,MATCH(RAB!C25,'HARGA SATUAN'!$C$7:$C$1492,0),0))</f>
        <v>176900</v>
      </c>
      <c r="H25" s="361">
        <f t="shared" ca="1" si="8"/>
        <v>353800</v>
      </c>
      <c r="I25" s="361">
        <f t="shared" ca="1" si="9"/>
        <v>0</v>
      </c>
      <c r="J25" s="361">
        <f t="shared" ca="1" si="10"/>
        <v>0</v>
      </c>
      <c r="K25" s="362">
        <f t="shared" ca="1" si="11"/>
        <v>353800</v>
      </c>
      <c r="L25" s="369"/>
      <c r="M25" s="369"/>
      <c r="N25" s="369"/>
      <c r="O25" s="363"/>
      <c r="P25" s="363"/>
      <c r="Q25" s="344"/>
      <c r="R25" s="336"/>
      <c r="S25" s="364"/>
      <c r="T25" s="341"/>
      <c r="U25" s="341"/>
      <c r="V25" s="341"/>
    </row>
    <row r="26" spans="1:22" s="370" customFormat="1">
      <c r="A26" s="336"/>
      <c r="B26" s="504">
        <v>3</v>
      </c>
      <c r="C26" s="505" t="s">
        <v>28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484">
        <f>F23*3</f>
        <v>3</v>
      </c>
      <c r="G26" s="360">
        <f ca="1">IF(ISERROR(OFFSET('HARGA SATUAN'!$I$6,MATCH(RAB!C26,'HARGA SATUAN'!$C$7:$C$1492,0),0)),0,OFFSET('HARGA SATUAN'!$I$6,MATCH(RAB!C26,'HARGA SATUAN'!$C$7:$C$1492,0),0))</f>
        <v>26500</v>
      </c>
      <c r="H26" s="361">
        <f t="shared" ca="1" si="8"/>
        <v>0</v>
      </c>
      <c r="I26" s="361">
        <f t="shared" ca="1" si="9"/>
        <v>79500</v>
      </c>
      <c r="J26" s="361">
        <f t="shared" ca="1" si="10"/>
        <v>0</v>
      </c>
      <c r="K26" s="362">
        <f t="shared" ca="1" si="11"/>
        <v>79500</v>
      </c>
      <c r="L26" s="369"/>
      <c r="M26" s="369"/>
      <c r="N26" s="369"/>
      <c r="O26" s="363"/>
      <c r="P26" s="363"/>
      <c r="Q26" s="344"/>
      <c r="R26" s="336"/>
      <c r="S26" s="364"/>
      <c r="T26" s="341"/>
      <c r="U26" s="341"/>
      <c r="V26" s="341"/>
    </row>
    <row r="27" spans="1:22" s="370" customFormat="1">
      <c r="A27" s="336"/>
      <c r="B27" s="504">
        <v>4</v>
      </c>
      <c r="C27" s="505" t="s">
        <v>163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484">
        <f>F23*2</f>
        <v>2</v>
      </c>
      <c r="G27" s="360">
        <f ca="1">IF(ISERROR(OFFSET('HARGA SATUAN'!$I$6,MATCH(RAB!C27,'HARGA SATUAN'!$C$7:$C$1492,0),0)),0,OFFSET('HARGA SATUAN'!$I$6,MATCH(RAB!C27,'HARGA SATUAN'!$C$7:$C$1492,0),0))</f>
        <v>7938</v>
      </c>
      <c r="H27" s="361">
        <f t="shared" ca="1" si="8"/>
        <v>0</v>
      </c>
      <c r="I27" s="361">
        <f t="shared" ca="1" si="9"/>
        <v>15876</v>
      </c>
      <c r="J27" s="361">
        <f t="shared" ca="1" si="10"/>
        <v>0</v>
      </c>
      <c r="K27" s="362">
        <f t="shared" ca="1" si="11"/>
        <v>15876</v>
      </c>
      <c r="L27" s="369"/>
      <c r="M27" s="369"/>
      <c r="N27" s="369"/>
      <c r="O27" s="363"/>
      <c r="P27" s="363"/>
      <c r="Q27" s="344"/>
      <c r="R27" s="336"/>
      <c r="S27" s="364"/>
      <c r="T27" s="341"/>
      <c r="U27" s="341"/>
      <c r="V27" s="341"/>
    </row>
    <row r="28" spans="1:22" s="370" customFormat="1">
      <c r="A28" s="336"/>
      <c r="B28" s="504">
        <v>5</v>
      </c>
      <c r="C28" s="505" t="s">
        <v>168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484">
        <f>F23*1</f>
        <v>1</v>
      </c>
      <c r="G28" s="360">
        <f ca="1">IF(ISERROR(OFFSET('HARGA SATUAN'!$I$6,MATCH(RAB!C28,'HARGA SATUAN'!$C$7:$C$1492,0),0)),0,OFFSET('HARGA SATUAN'!$I$6,MATCH(RAB!C28,'HARGA SATUAN'!$C$7:$C$1492,0),0))</f>
        <v>33600</v>
      </c>
      <c r="H28" s="361">
        <f t="shared" ca="1" si="8"/>
        <v>0</v>
      </c>
      <c r="I28" s="361">
        <f t="shared" ca="1" si="9"/>
        <v>33600</v>
      </c>
      <c r="J28" s="361">
        <f t="shared" ca="1" si="10"/>
        <v>0</v>
      </c>
      <c r="K28" s="362">
        <f t="shared" ca="1" si="11"/>
        <v>33600</v>
      </c>
      <c r="L28" s="369"/>
      <c r="M28" s="369"/>
      <c r="N28" s="369"/>
      <c r="O28" s="363"/>
      <c r="P28" s="363"/>
      <c r="Q28" s="344"/>
      <c r="R28" s="336"/>
      <c r="S28" s="364"/>
      <c r="T28" s="341"/>
      <c r="U28" s="341"/>
      <c r="V28" s="341"/>
    </row>
    <row r="29" spans="1:22" s="370" customFormat="1">
      <c r="A29" s="336"/>
      <c r="B29" s="504">
        <v>6</v>
      </c>
      <c r="C29" s="505" t="s">
        <v>173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484">
        <f>F23*2</f>
        <v>2</v>
      </c>
      <c r="G29" s="360">
        <f ca="1">IF(ISERROR(OFFSET('HARGA SATUAN'!$I$6,MATCH(RAB!C29,'HARGA SATUAN'!$C$7:$C$1492,0),0)),0,OFFSET('HARGA SATUAN'!$I$6,MATCH(RAB!C29,'HARGA SATUAN'!$C$7:$C$1492,0),0))</f>
        <v>45000</v>
      </c>
      <c r="H29" s="361">
        <f t="shared" ca="1" si="8"/>
        <v>0</v>
      </c>
      <c r="I29" s="361">
        <f t="shared" ca="1" si="9"/>
        <v>90000</v>
      </c>
      <c r="J29" s="361">
        <f t="shared" ca="1" si="10"/>
        <v>0</v>
      </c>
      <c r="K29" s="362">
        <f t="shared" ca="1" si="11"/>
        <v>90000</v>
      </c>
      <c r="L29" s="369"/>
      <c r="M29" s="369"/>
      <c r="N29" s="369"/>
      <c r="O29" s="363"/>
      <c r="P29" s="363"/>
      <c r="Q29" s="344"/>
      <c r="R29" s="336"/>
      <c r="S29" s="364"/>
      <c r="T29" s="341"/>
      <c r="U29" s="341"/>
      <c r="V29" s="341"/>
    </row>
    <row r="30" spans="1:22" s="370" customFormat="1">
      <c r="A30" s="336"/>
      <c r="B30" s="504">
        <v>7</v>
      </c>
      <c r="C30" s="505" t="s">
        <v>178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84">
        <f>F23*1</f>
        <v>1</v>
      </c>
      <c r="G30" s="360">
        <f ca="1">IF(ISERROR(OFFSET('HARGA SATUAN'!$I$6,MATCH(RAB!C30,'HARGA SATUAN'!$C$7:$C$1492,0),0)),0,OFFSET('HARGA SATUAN'!$I$6,MATCH(RAB!C30,'HARGA SATUAN'!$C$7:$C$1492,0),0))</f>
        <v>95000</v>
      </c>
      <c r="H30" s="361">
        <f t="shared" ca="1" si="8"/>
        <v>0</v>
      </c>
      <c r="I30" s="361">
        <f t="shared" ca="1" si="9"/>
        <v>95000</v>
      </c>
      <c r="J30" s="361">
        <f t="shared" ca="1" si="10"/>
        <v>0</v>
      </c>
      <c r="K30" s="362">
        <f t="shared" ca="1" si="11"/>
        <v>95000</v>
      </c>
      <c r="L30" s="369"/>
      <c r="M30" s="369"/>
      <c r="N30" s="369"/>
      <c r="O30" s="363"/>
      <c r="P30" s="363"/>
      <c r="Q30" s="344"/>
      <c r="R30" s="336"/>
      <c r="S30" s="364"/>
      <c r="T30" s="341"/>
      <c r="U30" s="341"/>
      <c r="V30" s="341"/>
    </row>
    <row r="31" spans="1:22" s="370" customFormat="1">
      <c r="A31" s="336"/>
      <c r="B31" s="504">
        <v>8</v>
      </c>
      <c r="C31" s="505" t="s">
        <v>593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484">
        <f>F23*1</f>
        <v>1</v>
      </c>
      <c r="G31" s="360">
        <f ca="1">IF(ISERROR(OFFSET('HARGA SATUAN'!$I$6,MATCH(RAB!C31,'HARGA SATUAN'!$C$7:$C$1492,0),0)),0,OFFSET('HARGA SATUAN'!$I$6,MATCH(RAB!C31,'HARGA SATUAN'!$C$7:$C$1492,0),0))</f>
        <v>380500</v>
      </c>
      <c r="H31" s="361">
        <f t="shared" ca="1" si="8"/>
        <v>0</v>
      </c>
      <c r="I31" s="361">
        <f t="shared" ca="1" si="9"/>
        <v>380500</v>
      </c>
      <c r="J31" s="361">
        <f t="shared" ca="1" si="10"/>
        <v>0</v>
      </c>
      <c r="K31" s="362">
        <f t="shared" ca="1" si="11"/>
        <v>380500</v>
      </c>
      <c r="L31" s="369"/>
      <c r="M31" s="369"/>
      <c r="N31" s="369"/>
      <c r="O31" s="363"/>
      <c r="P31" s="363"/>
      <c r="Q31" s="344"/>
      <c r="R31" s="336"/>
      <c r="S31" s="364"/>
      <c r="T31" s="341"/>
      <c r="U31" s="341"/>
      <c r="V31" s="341"/>
    </row>
    <row r="32" spans="1:22" s="370" customFormat="1">
      <c r="A32" s="336"/>
      <c r="B32" s="504">
        <v>9</v>
      </c>
      <c r="C32" s="505" t="s">
        <v>217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484">
        <f>F23*4</f>
        <v>4</v>
      </c>
      <c r="G32" s="360">
        <f ca="1">IF(ISERROR(OFFSET('HARGA SATUAN'!$I$6,MATCH(RAB!C32,'HARGA SATUAN'!$C$7:$C$1492,0),0)),0,OFFSET('HARGA SATUAN'!$I$6,MATCH(RAB!C32,'HARGA SATUAN'!$C$7:$C$1492,0),0))</f>
        <v>11400</v>
      </c>
      <c r="H32" s="361">
        <f t="shared" ca="1" si="8"/>
        <v>0</v>
      </c>
      <c r="I32" s="361">
        <f t="shared" ca="1" si="9"/>
        <v>45600</v>
      </c>
      <c r="J32" s="361">
        <f t="shared" ca="1" si="10"/>
        <v>0</v>
      </c>
      <c r="K32" s="362">
        <f t="shared" ca="1" si="11"/>
        <v>45600</v>
      </c>
      <c r="L32" s="369"/>
      <c r="M32" s="369"/>
      <c r="N32" s="369"/>
      <c r="O32" s="363"/>
      <c r="P32" s="363"/>
      <c r="Q32" s="344"/>
      <c r="R32" s="336"/>
      <c r="S32" s="364"/>
      <c r="T32" s="341"/>
      <c r="U32" s="341"/>
      <c r="V32" s="341"/>
    </row>
    <row r="33" spans="1:22" s="370" customFormat="1">
      <c r="A33" s="336"/>
      <c r="B33" s="504">
        <v>10</v>
      </c>
      <c r="C33" s="505" t="s">
        <v>247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484">
        <f>F23*1</f>
        <v>1</v>
      </c>
      <c r="G33" s="360">
        <f ca="1">IF(ISERROR(OFFSET('HARGA SATUAN'!$I$6,MATCH(RAB!C33,'HARGA SATUAN'!$C$7:$C$1492,0),0)),0,OFFSET('HARGA SATUAN'!$I$6,MATCH(RAB!C33,'HARGA SATUAN'!$C$7:$C$1492,0),0))</f>
        <v>57690</v>
      </c>
      <c r="H33" s="361">
        <f t="shared" ca="1" si="8"/>
        <v>0</v>
      </c>
      <c r="I33" s="361">
        <f t="shared" ca="1" si="9"/>
        <v>57690</v>
      </c>
      <c r="J33" s="361">
        <f t="shared" ca="1" si="10"/>
        <v>0</v>
      </c>
      <c r="K33" s="362">
        <f t="shared" ca="1" si="11"/>
        <v>57690</v>
      </c>
      <c r="L33" s="369"/>
      <c r="M33" s="369"/>
      <c r="N33" s="369"/>
      <c r="O33" s="363"/>
      <c r="P33" s="363"/>
      <c r="Q33" s="344"/>
      <c r="R33" s="336"/>
      <c r="S33" s="364"/>
      <c r="T33" s="341"/>
      <c r="U33" s="341"/>
      <c r="V33" s="341"/>
    </row>
    <row r="34" spans="1:22" s="370" customFormat="1">
      <c r="A34" s="336"/>
      <c r="B34" s="504">
        <v>11</v>
      </c>
      <c r="C34" s="505" t="s">
        <v>264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484">
        <f>F23*1</f>
        <v>1</v>
      </c>
      <c r="G34" s="360">
        <f ca="1">IF(ISERROR(OFFSET('HARGA SATUAN'!$I$6,MATCH(RAB!C34,'HARGA SATUAN'!$C$7:$C$1492,0),0)),0,OFFSET('HARGA SATUAN'!$I$6,MATCH(RAB!C34,'HARGA SATUAN'!$C$7:$C$1492,0),0))</f>
        <v>28000</v>
      </c>
      <c r="H34" s="361">
        <f t="shared" ca="1" si="8"/>
        <v>0</v>
      </c>
      <c r="I34" s="361">
        <f t="shared" ca="1" si="9"/>
        <v>28000</v>
      </c>
      <c r="J34" s="361">
        <f t="shared" ca="1" si="10"/>
        <v>0</v>
      </c>
      <c r="K34" s="362">
        <f t="shared" ca="1" si="11"/>
        <v>28000</v>
      </c>
      <c r="L34" s="369"/>
      <c r="M34" s="369"/>
      <c r="N34" s="369"/>
      <c r="O34" s="363"/>
      <c r="P34" s="363"/>
      <c r="Q34" s="344"/>
      <c r="R34" s="336"/>
      <c r="S34" s="364"/>
      <c r="T34" s="341"/>
      <c r="U34" s="341"/>
      <c r="V34" s="341"/>
    </row>
    <row r="35" spans="1:22" s="370" customFormat="1">
      <c r="A35" s="336"/>
      <c r="B35" s="504">
        <v>12</v>
      </c>
      <c r="C35" s="505" t="s">
        <v>38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Mtr</v>
      </c>
      <c r="F35" s="484">
        <f>6.2*F23</f>
        <v>6.2</v>
      </c>
      <c r="G35" s="360">
        <f ca="1">IF(ISERROR(OFFSET('HARGA SATUAN'!$I$6,MATCH(RAB!C35,'HARGA SATUAN'!$C$7:$C$1492,0),0)),0,OFFSET('HARGA SATUAN'!$I$6,MATCH(RAB!C35,'HARGA SATUAN'!$C$7:$C$1492,0),0))</f>
        <v>8550</v>
      </c>
      <c r="H35" s="361">
        <f t="shared" ref="H35:H38" ca="1" si="12">IF(OR(D35="MDU",D35="MDU-KD"),(IF($O$3="RAB NON MDU","PLN KD",G35*F35)),0)</f>
        <v>0</v>
      </c>
      <c r="I35" s="361">
        <f t="shared" ref="I35:I38" ca="1" si="13">IF(D35="HDW",G35*F35,0)</f>
        <v>53010</v>
      </c>
      <c r="J35" s="361">
        <f t="shared" ref="J35:J38" ca="1" si="14">IF(D35="JASA",G35*F35,0)</f>
        <v>0</v>
      </c>
      <c r="K35" s="362">
        <f t="shared" ref="K35:K38" ca="1" si="15">SUM(H35:J35)</f>
        <v>53010</v>
      </c>
      <c r="L35" s="369"/>
      <c r="M35" s="369"/>
      <c r="N35" s="369"/>
      <c r="O35" s="363"/>
      <c r="P35" s="363"/>
      <c r="Q35" s="344"/>
      <c r="R35" s="336"/>
      <c r="S35" s="364"/>
      <c r="T35" s="341"/>
      <c r="U35" s="341"/>
      <c r="V35" s="341"/>
    </row>
    <row r="36" spans="1:22" s="370" customFormat="1">
      <c r="A36" s="336"/>
      <c r="B36" s="504">
        <v>13</v>
      </c>
      <c r="C36" s="505" t="s">
        <v>26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484">
        <f>F23*5</f>
        <v>5</v>
      </c>
      <c r="G36" s="360">
        <f ca="1">IF(ISERROR(OFFSET('HARGA SATUAN'!$I$6,MATCH(RAB!C36,'HARGA SATUAN'!$C$7:$C$1492,0),0)),0,OFFSET('HARGA SATUAN'!$I$6,MATCH(RAB!C36,'HARGA SATUAN'!$C$7:$C$1492,0),0))</f>
        <v>2500</v>
      </c>
      <c r="H36" s="361">
        <f t="shared" ca="1" si="12"/>
        <v>0</v>
      </c>
      <c r="I36" s="361">
        <f t="shared" ca="1" si="13"/>
        <v>12500</v>
      </c>
      <c r="J36" s="361">
        <f t="shared" ca="1" si="14"/>
        <v>0</v>
      </c>
      <c r="K36" s="362">
        <f t="shared" ca="1" si="15"/>
        <v>12500</v>
      </c>
      <c r="L36" s="369"/>
      <c r="M36" s="369"/>
      <c r="N36" s="369"/>
      <c r="O36" s="363"/>
      <c r="P36" s="363"/>
      <c r="Q36" s="344"/>
      <c r="R36" s="336"/>
      <c r="S36" s="364"/>
      <c r="T36" s="341"/>
      <c r="U36" s="341"/>
      <c r="V36" s="341"/>
    </row>
    <row r="37" spans="1:22" s="370" customFormat="1">
      <c r="A37" s="336"/>
      <c r="B37" s="504">
        <v>14</v>
      </c>
      <c r="C37" s="505" t="s">
        <v>687</v>
      </c>
      <c r="D37" s="358" t="str">
        <f ca="1">IF(ISERROR(OFFSET('HARGA SATUAN'!$D$6,MATCH(RAB!C37,'HARGA SATUAN'!$C$7:$C$1492,0),0)),"",OFFSET('HARGA SATUAN'!$D$6,MATCH(RAB!C37,'HARGA SATUAN'!$C$7:$C$1492,0),0))</f>
        <v>JASA</v>
      </c>
      <c r="E37" s="359" t="str">
        <f ca="1">IF(B37="+","Unit",IF(ISERROR(OFFSET('HARGA SATUAN'!$E$6,MATCH(RAB!C37,'HARGA SATUAN'!$C$7:$C$1492,0),0)),"",OFFSET('HARGA SATUAN'!$E$6,MATCH(RAB!C37,'HARGA SATUAN'!$C$7:$C$1492,0),0)))</f>
        <v>Unit</v>
      </c>
      <c r="F37" s="484">
        <f>F23*1</f>
        <v>1</v>
      </c>
      <c r="G37" s="360">
        <f ca="1">IF(ISERROR(OFFSET('HARGA SATUAN'!$I$6,MATCH(RAB!C37,'HARGA SATUAN'!$C$7:$C$1492,0),0)),0,OFFSET('HARGA SATUAN'!$I$6,MATCH(RAB!C37,'HARGA SATUAN'!$C$7:$C$1492,0),0))</f>
        <v>111000</v>
      </c>
      <c r="H37" s="361">
        <f t="shared" ca="1" si="12"/>
        <v>0</v>
      </c>
      <c r="I37" s="361">
        <f t="shared" ca="1" si="13"/>
        <v>0</v>
      </c>
      <c r="J37" s="361">
        <f t="shared" ca="1" si="14"/>
        <v>111000</v>
      </c>
      <c r="K37" s="362">
        <f t="shared" ca="1" si="15"/>
        <v>111000</v>
      </c>
      <c r="L37" s="369"/>
      <c r="M37" s="369"/>
      <c r="N37" s="369"/>
      <c r="O37" s="363"/>
      <c r="P37" s="363"/>
      <c r="Q37" s="344"/>
      <c r="R37" s="336"/>
      <c r="S37" s="364"/>
      <c r="T37" s="341"/>
      <c r="U37" s="341"/>
      <c r="V37" s="341"/>
    </row>
    <row r="38" spans="1:22" s="370" customFormat="1">
      <c r="A38" s="336"/>
      <c r="B38" s="499"/>
      <c r="C38" s="500"/>
      <c r="D38" s="358" t="str">
        <f ca="1">IF(ISERROR(OFFSET('HARGA SATUAN'!$D$6,MATCH(RAB!C38,'HARGA SATUAN'!$C$7:$C$1492,0),0)),"",OFFSET('HARGA SATUAN'!$D$6,MATCH(RAB!C38,'HARGA SATUAN'!$C$7:$C$1492,0),0))</f>
        <v/>
      </c>
      <c r="E38" s="359" t="str">
        <f ca="1">IF(B38="+","Unit",IF(ISERROR(OFFSET('HARGA SATUAN'!$E$6,MATCH(RAB!C38,'HARGA SATUAN'!$C$7:$C$1492,0),0)),"",OFFSET('HARGA SATUAN'!$E$6,MATCH(RAB!C38,'HARGA SATUAN'!$C$7:$C$1492,0),0)))</f>
        <v/>
      </c>
      <c r="F38" s="484"/>
      <c r="G38" s="360">
        <f ca="1">IF(ISERROR(OFFSET('HARGA SATUAN'!$I$6,MATCH(RAB!C38,'HARGA SATUAN'!$C$7:$C$1492,0),0)),0,OFFSET('HARGA SATUAN'!$I$6,MATCH(RAB!C38,'HARGA SATUAN'!$C$7:$C$1492,0),0))</f>
        <v>0</v>
      </c>
      <c r="H38" s="361">
        <f t="shared" ca="1" si="12"/>
        <v>0</v>
      </c>
      <c r="I38" s="361">
        <f t="shared" ca="1" si="13"/>
        <v>0</v>
      </c>
      <c r="J38" s="361">
        <f t="shared" ca="1" si="14"/>
        <v>0</v>
      </c>
      <c r="K38" s="362">
        <f t="shared" ca="1" si="15"/>
        <v>0</v>
      </c>
      <c r="L38" s="369"/>
      <c r="M38" s="369"/>
      <c r="N38" s="369"/>
      <c r="O38" s="363"/>
      <c r="P38" s="363"/>
      <c r="Q38" s="344"/>
      <c r="R38" s="336"/>
      <c r="S38" s="364"/>
      <c r="T38" s="341"/>
      <c r="U38" s="341"/>
      <c r="V38" s="341"/>
    </row>
    <row r="39" spans="1:22" s="370" customFormat="1">
      <c r="A39" s="336"/>
      <c r="B39" s="504" t="s">
        <v>1035</v>
      </c>
      <c r="C39" s="505" t="s">
        <v>1620</v>
      </c>
      <c r="D39" s="358" t="str">
        <f ca="1">IF(ISERROR(OFFSET('HARGA SATUAN'!$D$6,MATCH(RAB!C39,'HARGA SATUAN'!$C$7:$C$1492,0),0)),"",OFFSET('HARGA SATUAN'!$D$6,MATCH(RAB!C39,'HARGA SATUAN'!$C$7:$C$1492,0),0))</f>
        <v/>
      </c>
      <c r="E39" s="359" t="str">
        <f ca="1">IF(B39="+","Unit",IF(ISERROR(OFFSET('HARGA SATUAN'!$E$6,MATCH(RAB!C39,'HARGA SATUAN'!$C$7:$C$1492,0),0)),"",OFFSET('HARGA SATUAN'!$E$6,MATCH(RAB!C39,'HARGA SATUAN'!$C$7:$C$1492,0),0)))</f>
        <v>Unit</v>
      </c>
      <c r="F39" s="503">
        <v>1</v>
      </c>
      <c r="G39" s="360">
        <f ca="1">IF(ISERROR(OFFSET('HARGA SATUAN'!$I$6,MATCH(RAB!C39,'HARGA SATUAN'!$C$7:$C$1492,0),0)),0,OFFSET('HARGA SATUAN'!$I$6,MATCH(RAB!C39,'HARGA SATUAN'!$C$7:$C$1492,0),0))</f>
        <v>0</v>
      </c>
      <c r="H39" s="361">
        <f t="shared" ref="H39:H50" ca="1" si="16">IF(OR(D39="MDU",D39="MDU-KD"),(IF($O$3="RAB NON MDU","PLN KD",G39*F39)),0)</f>
        <v>0</v>
      </c>
      <c r="I39" s="361">
        <f t="shared" ref="I39:I50" ca="1" si="17">IF(D39="HDW",G39*F39,0)</f>
        <v>0</v>
      </c>
      <c r="J39" s="361">
        <f t="shared" ref="J39:J50" ca="1" si="18">IF(D39="JASA",G39*F39,0)</f>
        <v>0</v>
      </c>
      <c r="K39" s="362">
        <f t="shared" ref="K39:K50" ca="1" si="19">SUM(H39:J39)</f>
        <v>0</v>
      </c>
      <c r="L39" s="369"/>
      <c r="M39" s="369"/>
      <c r="N39" s="369"/>
      <c r="O39" s="363"/>
      <c r="P39" s="363"/>
      <c r="Q39" s="344"/>
      <c r="R39" s="336"/>
      <c r="S39" s="364"/>
      <c r="T39" s="341"/>
      <c r="U39" s="341"/>
      <c r="V39" s="341"/>
    </row>
    <row r="40" spans="1:22" s="370" customFormat="1">
      <c r="A40" s="336"/>
      <c r="B40" s="504">
        <v>1</v>
      </c>
      <c r="C40" s="109" t="s">
        <v>1566</v>
      </c>
      <c r="D40" s="358" t="str">
        <f ca="1">IF(ISERROR(OFFSET('HARGA SATUAN'!$D$6,MATCH(RAB!C40,'HARGA SATUAN'!$C$7:$C$1492,0),0)),"",OFFSET('HARGA SATUAN'!$D$6,MATCH(RAB!C40,'HARGA SATUAN'!$C$7:$C$1492,0),0))</f>
        <v>MDU-KD</v>
      </c>
      <c r="E40" s="359" t="str">
        <f ca="1">IF(B40="+","Unit",IF(ISERROR(OFFSET('HARGA SATUAN'!$E$6,MATCH(RAB!C40,'HARGA SATUAN'!$C$7:$C$1492,0),0)),"",OFFSET('HARGA SATUAN'!$E$6,MATCH(RAB!C40,'HARGA SATUAN'!$C$7:$C$1492,0),0)))</f>
        <v>Set</v>
      </c>
      <c r="F40" s="503">
        <f>F39*3</f>
        <v>3</v>
      </c>
      <c r="G40" s="360">
        <f ca="1">IF(ISERROR(OFFSET('HARGA SATUAN'!$I$6,MATCH(RAB!C40,'HARGA SATUAN'!$C$7:$C$1492,0),0)),0,OFFSET('HARGA SATUAN'!$I$6,MATCH(RAB!C40,'HARGA SATUAN'!$C$7:$C$1492,0),0))</f>
        <v>205700</v>
      </c>
      <c r="H40" s="361">
        <f t="shared" ca="1" si="16"/>
        <v>617100</v>
      </c>
      <c r="I40" s="361">
        <f t="shared" ca="1" si="17"/>
        <v>0</v>
      </c>
      <c r="J40" s="361">
        <f t="shared" ca="1" si="18"/>
        <v>0</v>
      </c>
      <c r="K40" s="362">
        <f t="shared" ca="1" si="19"/>
        <v>617100</v>
      </c>
      <c r="L40" s="369"/>
      <c r="M40" s="369"/>
      <c r="N40" s="369"/>
      <c r="O40" s="363"/>
      <c r="P40" s="363"/>
      <c r="Q40" s="344"/>
      <c r="R40" s="336"/>
      <c r="S40" s="364"/>
      <c r="T40" s="341"/>
      <c r="U40" s="341"/>
      <c r="V40" s="341"/>
    </row>
    <row r="41" spans="1:22" s="370" customFormat="1">
      <c r="A41" s="336"/>
      <c r="B41" s="504">
        <v>2</v>
      </c>
      <c r="C41" s="505" t="s">
        <v>152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Mtr</v>
      </c>
      <c r="F41" s="503">
        <f>F39*1</f>
        <v>1</v>
      </c>
      <c r="G41" s="360">
        <f ca="1">IF(ISERROR(OFFSET('HARGA SATUAN'!$I$6,MATCH(RAB!C41,'HARGA SATUAN'!$C$7:$C$1492,0),0)),0,OFFSET('HARGA SATUAN'!$I$6,MATCH(RAB!C41,'HARGA SATUAN'!$C$7:$C$1492,0),0))</f>
        <v>7789</v>
      </c>
      <c r="H41" s="361">
        <f t="shared" ca="1" si="16"/>
        <v>0</v>
      </c>
      <c r="I41" s="361">
        <f t="shared" ca="1" si="17"/>
        <v>7789</v>
      </c>
      <c r="J41" s="361">
        <f t="shared" ca="1" si="18"/>
        <v>0</v>
      </c>
      <c r="K41" s="362">
        <f t="shared" ca="1" si="19"/>
        <v>7789</v>
      </c>
      <c r="L41" s="369"/>
      <c r="M41" s="369"/>
      <c r="N41" s="369"/>
      <c r="O41" s="363"/>
      <c r="P41" s="363"/>
      <c r="Q41" s="344"/>
      <c r="R41" s="336"/>
      <c r="S41" s="364"/>
      <c r="T41" s="341"/>
      <c r="U41" s="341"/>
      <c r="V41" s="341"/>
    </row>
    <row r="42" spans="1:22" s="370" customFormat="1">
      <c r="A42" s="336"/>
      <c r="B42" s="504">
        <v>3</v>
      </c>
      <c r="C42" s="505" t="s">
        <v>157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503">
        <f>F39*2</f>
        <v>2</v>
      </c>
      <c r="G42" s="360">
        <f ca="1">IF(ISERROR(OFFSET('HARGA SATUAN'!$I$6,MATCH(RAB!C42,'HARGA SATUAN'!$C$7:$C$1492,0),0)),0,OFFSET('HARGA SATUAN'!$I$6,MATCH(RAB!C42,'HARGA SATUAN'!$C$7:$C$1492,0),0))</f>
        <v>40000</v>
      </c>
      <c r="H42" s="361">
        <f t="shared" ca="1" si="16"/>
        <v>0</v>
      </c>
      <c r="I42" s="361">
        <f t="shared" ca="1" si="17"/>
        <v>80000</v>
      </c>
      <c r="J42" s="361">
        <f t="shared" ca="1" si="18"/>
        <v>0</v>
      </c>
      <c r="K42" s="362">
        <f t="shared" ca="1" si="19"/>
        <v>80000</v>
      </c>
      <c r="L42" s="369"/>
      <c r="M42" s="369"/>
      <c r="N42" s="369"/>
      <c r="O42" s="363"/>
      <c r="P42" s="363"/>
      <c r="Q42" s="344"/>
      <c r="R42" s="336"/>
      <c r="S42" s="364"/>
      <c r="T42" s="341"/>
      <c r="U42" s="341"/>
      <c r="V42" s="341"/>
    </row>
    <row r="43" spans="1:22" s="370" customFormat="1">
      <c r="A43" s="336"/>
      <c r="B43" s="504">
        <v>4</v>
      </c>
      <c r="C43" s="505" t="s">
        <v>28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503">
        <f>F39*1</f>
        <v>1</v>
      </c>
      <c r="G43" s="360">
        <f ca="1">IF(ISERROR(OFFSET('HARGA SATUAN'!$I$6,MATCH(RAB!C43,'HARGA SATUAN'!$C$7:$C$1492,0),0)),0,OFFSET('HARGA SATUAN'!$I$6,MATCH(RAB!C43,'HARGA SATUAN'!$C$7:$C$1492,0),0))</f>
        <v>26500</v>
      </c>
      <c r="H43" s="361">
        <f t="shared" ca="1" si="16"/>
        <v>0</v>
      </c>
      <c r="I43" s="361">
        <f t="shared" ca="1" si="17"/>
        <v>26500</v>
      </c>
      <c r="J43" s="361">
        <f t="shared" ca="1" si="18"/>
        <v>0</v>
      </c>
      <c r="K43" s="362">
        <f t="shared" ca="1" si="19"/>
        <v>26500</v>
      </c>
      <c r="L43" s="369"/>
      <c r="M43" s="369"/>
      <c r="N43" s="369"/>
      <c r="O43" s="363"/>
      <c r="P43" s="363"/>
      <c r="Q43" s="344"/>
      <c r="R43" s="336"/>
      <c r="S43" s="364"/>
      <c r="T43" s="341"/>
      <c r="U43" s="341"/>
      <c r="V43" s="341"/>
    </row>
    <row r="44" spans="1:22" s="370" customFormat="1">
      <c r="A44" s="336"/>
      <c r="B44" s="504">
        <v>5</v>
      </c>
      <c r="C44" s="505" t="s">
        <v>163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503">
        <f>F39*4</f>
        <v>4</v>
      </c>
      <c r="G44" s="360">
        <f ca="1">IF(ISERROR(OFFSET('HARGA SATUAN'!$I$6,MATCH(RAB!C44,'HARGA SATUAN'!$C$7:$C$1492,0),0)),0,OFFSET('HARGA SATUAN'!$I$6,MATCH(RAB!C44,'HARGA SATUAN'!$C$7:$C$1492,0),0))</f>
        <v>7938</v>
      </c>
      <c r="H44" s="361">
        <f t="shared" ca="1" si="16"/>
        <v>0</v>
      </c>
      <c r="I44" s="361">
        <f t="shared" ca="1" si="17"/>
        <v>31752</v>
      </c>
      <c r="J44" s="361">
        <f t="shared" ca="1" si="18"/>
        <v>0</v>
      </c>
      <c r="K44" s="362">
        <f t="shared" ca="1" si="19"/>
        <v>31752</v>
      </c>
      <c r="L44" s="369"/>
      <c r="M44" s="369"/>
      <c r="N44" s="369"/>
      <c r="O44" s="363"/>
      <c r="P44" s="363"/>
      <c r="Q44" s="344"/>
      <c r="R44" s="336"/>
      <c r="S44" s="364"/>
      <c r="T44" s="341"/>
      <c r="U44" s="341"/>
      <c r="V44" s="341"/>
    </row>
    <row r="45" spans="1:22" s="370" customFormat="1">
      <c r="A45" s="336"/>
      <c r="B45" s="504">
        <v>6</v>
      </c>
      <c r="C45" s="505" t="s">
        <v>173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503">
        <f>F39*4</f>
        <v>4</v>
      </c>
      <c r="G45" s="360">
        <f ca="1">IF(ISERROR(OFFSET('HARGA SATUAN'!$I$6,MATCH(RAB!C45,'HARGA SATUAN'!$C$7:$C$1492,0),0)),0,OFFSET('HARGA SATUAN'!$I$6,MATCH(RAB!C45,'HARGA SATUAN'!$C$7:$C$1492,0),0))</f>
        <v>45000</v>
      </c>
      <c r="H45" s="361">
        <f t="shared" ca="1" si="16"/>
        <v>0</v>
      </c>
      <c r="I45" s="361">
        <f t="shared" ca="1" si="17"/>
        <v>180000</v>
      </c>
      <c r="J45" s="361">
        <f t="shared" ca="1" si="18"/>
        <v>0</v>
      </c>
      <c r="K45" s="362">
        <f t="shared" ca="1" si="19"/>
        <v>180000</v>
      </c>
      <c r="L45" s="369"/>
      <c r="M45" s="369"/>
      <c r="N45" s="369"/>
      <c r="O45" s="363"/>
      <c r="P45" s="363"/>
      <c r="Q45" s="344"/>
      <c r="R45" s="336"/>
      <c r="S45" s="364"/>
      <c r="T45" s="341"/>
      <c r="U45" s="341"/>
      <c r="V45" s="341"/>
    </row>
    <row r="46" spans="1:22" s="370" customFormat="1">
      <c r="A46" s="336"/>
      <c r="B46" s="504">
        <v>7</v>
      </c>
      <c r="C46" s="505" t="s">
        <v>179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503">
        <f>F39*1</f>
        <v>1</v>
      </c>
      <c r="G46" s="360">
        <f ca="1">IF(ISERROR(OFFSET('HARGA SATUAN'!$I$6,MATCH(RAB!C46,'HARGA SATUAN'!$C$7:$C$1492,0),0)),0,OFFSET('HARGA SATUAN'!$I$6,MATCH(RAB!C46,'HARGA SATUAN'!$C$7:$C$1492,0),0))</f>
        <v>15500</v>
      </c>
      <c r="H46" s="361">
        <f t="shared" ca="1" si="16"/>
        <v>0</v>
      </c>
      <c r="I46" s="361">
        <f t="shared" ca="1" si="17"/>
        <v>15500</v>
      </c>
      <c r="J46" s="361">
        <f t="shared" ca="1" si="18"/>
        <v>0</v>
      </c>
      <c r="K46" s="362">
        <f t="shared" ca="1" si="19"/>
        <v>15500</v>
      </c>
      <c r="L46" s="369"/>
      <c r="M46" s="369"/>
      <c r="N46" s="369"/>
      <c r="O46" s="363"/>
      <c r="P46" s="363"/>
      <c r="Q46" s="344"/>
      <c r="R46" s="336"/>
      <c r="S46" s="364"/>
      <c r="T46" s="341"/>
      <c r="U46" s="341"/>
      <c r="V46" s="341"/>
    </row>
    <row r="47" spans="1:22" s="370" customFormat="1">
      <c r="A47" s="336"/>
      <c r="B47" s="504">
        <v>8</v>
      </c>
      <c r="C47" s="505" t="s">
        <v>593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503">
        <f>F39*2</f>
        <v>2</v>
      </c>
      <c r="G47" s="360">
        <f ca="1">IF(ISERROR(OFFSET('HARGA SATUAN'!$I$6,MATCH(RAB!C47,'HARGA SATUAN'!$C$7:$C$1492,0),0)),0,OFFSET('HARGA SATUAN'!$I$6,MATCH(RAB!C47,'HARGA SATUAN'!$C$7:$C$1492,0),0))</f>
        <v>380500</v>
      </c>
      <c r="H47" s="361">
        <f t="shared" ca="1" si="16"/>
        <v>0</v>
      </c>
      <c r="I47" s="361">
        <f t="shared" ca="1" si="17"/>
        <v>761000</v>
      </c>
      <c r="J47" s="361">
        <f t="shared" ca="1" si="18"/>
        <v>0</v>
      </c>
      <c r="K47" s="362">
        <f t="shared" ca="1" si="19"/>
        <v>761000</v>
      </c>
      <c r="L47" s="369"/>
      <c r="M47" s="369"/>
      <c r="N47" s="369"/>
      <c r="O47" s="363"/>
      <c r="P47" s="363"/>
      <c r="Q47" s="344"/>
      <c r="R47" s="336"/>
      <c r="S47" s="364"/>
      <c r="T47" s="341"/>
      <c r="U47" s="341"/>
      <c r="V47" s="341"/>
    </row>
    <row r="48" spans="1:22" s="370" customFormat="1">
      <c r="A48" s="336"/>
      <c r="B48" s="504">
        <v>9</v>
      </c>
      <c r="C48" s="505" t="s">
        <v>217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503">
        <f>F39*4</f>
        <v>4</v>
      </c>
      <c r="G48" s="360">
        <f ca="1">IF(ISERROR(OFFSET('HARGA SATUAN'!$I$6,MATCH(RAB!C48,'HARGA SATUAN'!$C$7:$C$1492,0),0)),0,OFFSET('HARGA SATUAN'!$I$6,MATCH(RAB!C48,'HARGA SATUAN'!$C$7:$C$1492,0),0))</f>
        <v>11400</v>
      </c>
      <c r="H48" s="361">
        <f t="shared" ca="1" si="16"/>
        <v>0</v>
      </c>
      <c r="I48" s="361">
        <f t="shared" ca="1" si="17"/>
        <v>45600</v>
      </c>
      <c r="J48" s="361">
        <f t="shared" ca="1" si="18"/>
        <v>0</v>
      </c>
      <c r="K48" s="362">
        <f t="shared" ca="1" si="19"/>
        <v>45600</v>
      </c>
      <c r="L48" s="369"/>
      <c r="M48" s="369"/>
      <c r="N48" s="369"/>
      <c r="O48" s="363"/>
      <c r="P48" s="363"/>
      <c r="Q48" s="344"/>
      <c r="R48" s="336"/>
      <c r="S48" s="364"/>
      <c r="T48" s="341"/>
      <c r="U48" s="341"/>
      <c r="V48" s="341"/>
    </row>
    <row r="49" spans="1:22" s="370" customFormat="1">
      <c r="A49" s="336"/>
      <c r="B49" s="504">
        <v>10</v>
      </c>
      <c r="C49" s="505" t="s">
        <v>218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503">
        <f>F39*2</f>
        <v>2</v>
      </c>
      <c r="G49" s="360">
        <f ca="1">IF(ISERROR(OFFSET('HARGA SATUAN'!$I$6,MATCH(RAB!C49,'HARGA SATUAN'!$C$7:$C$1492,0),0)),0,OFFSET('HARGA SATUAN'!$I$6,MATCH(RAB!C49,'HARGA SATUAN'!$C$7:$C$1492,0),0))</f>
        <v>29600</v>
      </c>
      <c r="H49" s="361">
        <f t="shared" ca="1" si="16"/>
        <v>0</v>
      </c>
      <c r="I49" s="361">
        <f t="shared" ca="1" si="17"/>
        <v>59200</v>
      </c>
      <c r="J49" s="361">
        <f t="shared" ca="1" si="18"/>
        <v>0</v>
      </c>
      <c r="K49" s="362">
        <f t="shared" ca="1" si="19"/>
        <v>59200</v>
      </c>
      <c r="L49" s="369"/>
      <c r="M49" s="369"/>
      <c r="N49" s="369"/>
      <c r="O49" s="363"/>
      <c r="P49" s="363"/>
      <c r="Q49" s="344"/>
      <c r="R49" s="336"/>
      <c r="S49" s="364"/>
      <c r="T49" s="341"/>
      <c r="U49" s="341"/>
      <c r="V49" s="341"/>
    </row>
    <row r="50" spans="1:22" s="370" customFormat="1">
      <c r="A50" s="336"/>
      <c r="B50" s="504">
        <v>11</v>
      </c>
      <c r="C50" s="505" t="s">
        <v>223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03">
        <f>F39*1</f>
        <v>1</v>
      </c>
      <c r="G50" s="360">
        <f ca="1">IF(ISERROR(OFFSET('HARGA SATUAN'!$I$6,MATCH(RAB!C50,'HARGA SATUAN'!$C$7:$C$1492,0),0)),0,OFFSET('HARGA SATUAN'!$I$6,MATCH(RAB!C50,'HARGA SATUAN'!$C$7:$C$1492,0),0))</f>
        <v>27815</v>
      </c>
      <c r="H50" s="361">
        <f t="shared" ca="1" si="16"/>
        <v>0</v>
      </c>
      <c r="I50" s="361">
        <f t="shared" ca="1" si="17"/>
        <v>27815</v>
      </c>
      <c r="J50" s="361">
        <f t="shared" ca="1" si="18"/>
        <v>0</v>
      </c>
      <c r="K50" s="362">
        <f t="shared" ca="1" si="19"/>
        <v>27815</v>
      </c>
      <c r="L50" s="369"/>
      <c r="M50" s="369"/>
      <c r="N50" s="369"/>
      <c r="O50" s="363"/>
      <c r="P50" s="363"/>
      <c r="Q50" s="344"/>
      <c r="R50" s="336"/>
      <c r="S50" s="364"/>
      <c r="T50" s="341"/>
      <c r="U50" s="341"/>
      <c r="V50" s="341"/>
    </row>
    <row r="51" spans="1:22" s="370" customFormat="1">
      <c r="A51" s="336"/>
      <c r="B51" s="504">
        <v>12</v>
      </c>
      <c r="C51" s="505" t="s">
        <v>25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03">
        <f>F39*3</f>
        <v>3</v>
      </c>
      <c r="G51" s="360">
        <f ca="1">IF(ISERROR(OFFSET('HARGA SATUAN'!$I$6,MATCH(RAB!C51,'HARGA SATUAN'!$C$7:$C$1492,0),0)),0,OFFSET('HARGA SATUAN'!$I$6,MATCH(RAB!C51,'HARGA SATUAN'!$C$7:$C$1492,0),0))</f>
        <v>23936</v>
      </c>
      <c r="H51" s="361">
        <f t="shared" ref="H51:H58" ca="1" si="20">IF(OR(D51="MDU",D51="MDU-KD"),(IF($O$3="RAB NON MDU","PLN KD",G51*F51)),0)</f>
        <v>0</v>
      </c>
      <c r="I51" s="361">
        <f t="shared" ref="I51:I58" ca="1" si="21">IF(D51="HDW",G51*F51,0)</f>
        <v>71808</v>
      </c>
      <c r="J51" s="361">
        <f t="shared" ref="J51:J58" ca="1" si="22">IF(D51="JASA",G51*F51,0)</f>
        <v>0</v>
      </c>
      <c r="K51" s="362">
        <f t="shared" ref="K51:K58" ca="1" si="23">SUM(H51:J51)</f>
        <v>71808</v>
      </c>
      <c r="L51" s="369"/>
      <c r="M51" s="369"/>
      <c r="N51" s="369"/>
      <c r="O51" s="363"/>
      <c r="P51" s="363"/>
      <c r="Q51" s="344"/>
      <c r="R51" s="336"/>
      <c r="S51" s="364"/>
      <c r="T51" s="341"/>
      <c r="U51" s="341"/>
      <c r="V51" s="341"/>
    </row>
    <row r="52" spans="1:22" s="370" customFormat="1">
      <c r="A52" s="336"/>
      <c r="B52" s="504">
        <v>13</v>
      </c>
      <c r="C52" s="505" t="s">
        <v>37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03">
        <f>F39*1</f>
        <v>1</v>
      </c>
      <c r="G52" s="360">
        <f ca="1">IF(ISERROR(OFFSET('HARGA SATUAN'!$I$6,MATCH(RAB!C52,'HARGA SATUAN'!$C$7:$C$1492,0),0)),0,OFFSET('HARGA SATUAN'!$I$6,MATCH(RAB!C52,'HARGA SATUAN'!$C$7:$C$1492,0),0))</f>
        <v>63500</v>
      </c>
      <c r="H52" s="361">
        <f t="shared" ca="1" si="20"/>
        <v>0</v>
      </c>
      <c r="I52" s="361">
        <f t="shared" ca="1" si="21"/>
        <v>63500</v>
      </c>
      <c r="J52" s="361">
        <f t="shared" ca="1" si="22"/>
        <v>0</v>
      </c>
      <c r="K52" s="362">
        <f t="shared" ca="1" si="23"/>
        <v>63500</v>
      </c>
      <c r="L52" s="369"/>
      <c r="M52" s="369"/>
      <c r="N52" s="369"/>
      <c r="O52" s="363"/>
      <c r="P52" s="363"/>
      <c r="Q52" s="344"/>
      <c r="R52" s="336"/>
      <c r="S52" s="364"/>
      <c r="T52" s="341"/>
      <c r="U52" s="341"/>
      <c r="V52" s="341"/>
    </row>
    <row r="53" spans="1:22" s="370" customFormat="1">
      <c r="A53" s="336"/>
      <c r="B53" s="504">
        <v>14</v>
      </c>
      <c r="C53" s="505" t="s">
        <v>247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03">
        <f>F39*1</f>
        <v>1</v>
      </c>
      <c r="G53" s="360">
        <f ca="1">IF(ISERROR(OFFSET('HARGA SATUAN'!$I$6,MATCH(RAB!C53,'HARGA SATUAN'!$C$7:$C$1492,0),0)),0,OFFSET('HARGA SATUAN'!$I$6,MATCH(RAB!C53,'HARGA SATUAN'!$C$7:$C$1492,0),0))</f>
        <v>57690</v>
      </c>
      <c r="H53" s="361">
        <f t="shared" ca="1" si="20"/>
        <v>0</v>
      </c>
      <c r="I53" s="361">
        <f t="shared" ca="1" si="21"/>
        <v>57690</v>
      </c>
      <c r="J53" s="361">
        <f t="shared" ca="1" si="22"/>
        <v>0</v>
      </c>
      <c r="K53" s="362">
        <f t="shared" ca="1" si="23"/>
        <v>57690</v>
      </c>
      <c r="L53" s="369"/>
      <c r="M53" s="369"/>
      <c r="N53" s="369"/>
      <c r="O53" s="363"/>
      <c r="P53" s="363"/>
      <c r="Q53" s="344"/>
      <c r="R53" s="336"/>
      <c r="S53" s="364"/>
      <c r="T53" s="341"/>
      <c r="U53" s="341"/>
      <c r="V53" s="341"/>
    </row>
    <row r="54" spans="1:22" s="370" customFormat="1">
      <c r="A54" s="336"/>
      <c r="B54" s="504">
        <v>15</v>
      </c>
      <c r="C54" s="505" t="s">
        <v>27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503">
        <f>F39*3</f>
        <v>3</v>
      </c>
      <c r="G54" s="360">
        <f ca="1">IF(ISERROR(OFFSET('HARGA SATUAN'!$I$6,MATCH(RAB!C54,'HARGA SATUAN'!$C$7:$C$1492,0),0)),0,OFFSET('HARGA SATUAN'!$I$6,MATCH(RAB!C54,'HARGA SATUAN'!$C$7:$C$1492,0),0))</f>
        <v>16000</v>
      </c>
      <c r="H54" s="361">
        <f t="shared" ca="1" si="20"/>
        <v>0</v>
      </c>
      <c r="I54" s="361">
        <f t="shared" ca="1" si="21"/>
        <v>48000</v>
      </c>
      <c r="J54" s="361">
        <f t="shared" ca="1" si="22"/>
        <v>0</v>
      </c>
      <c r="K54" s="362">
        <f t="shared" ca="1" si="23"/>
        <v>48000</v>
      </c>
      <c r="L54" s="369"/>
      <c r="M54" s="369"/>
      <c r="N54" s="369"/>
      <c r="O54" s="363"/>
      <c r="P54" s="363"/>
      <c r="Q54" s="344"/>
      <c r="R54" s="336"/>
      <c r="S54" s="364"/>
      <c r="T54" s="341"/>
      <c r="U54" s="341"/>
      <c r="V54" s="341"/>
    </row>
    <row r="55" spans="1:22" s="370" customFormat="1">
      <c r="A55" s="336"/>
      <c r="B55" s="504">
        <v>16</v>
      </c>
      <c r="C55" s="505" t="s">
        <v>265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503">
        <f>F39*1</f>
        <v>1</v>
      </c>
      <c r="G55" s="360">
        <f ca="1">IF(ISERROR(OFFSET('HARGA SATUAN'!$I$6,MATCH(RAB!C55,'HARGA SATUAN'!$C$7:$C$1492,0),0)),0,OFFSET('HARGA SATUAN'!$I$6,MATCH(RAB!C55,'HARGA SATUAN'!$C$7:$C$1492,0),0))</f>
        <v>33501.866666666669</v>
      </c>
      <c r="H55" s="361">
        <f t="shared" ca="1" si="20"/>
        <v>0</v>
      </c>
      <c r="I55" s="361">
        <f t="shared" ca="1" si="21"/>
        <v>33501.866666666669</v>
      </c>
      <c r="J55" s="361">
        <f t="shared" ca="1" si="22"/>
        <v>0</v>
      </c>
      <c r="K55" s="362">
        <f t="shared" ca="1" si="23"/>
        <v>33501.866666666669</v>
      </c>
      <c r="L55" s="369"/>
      <c r="M55" s="369"/>
      <c r="N55" s="369"/>
      <c r="O55" s="363"/>
      <c r="P55" s="363"/>
      <c r="Q55" s="344"/>
      <c r="R55" s="336"/>
      <c r="S55" s="364"/>
      <c r="T55" s="341"/>
      <c r="U55" s="341"/>
      <c r="V55" s="341"/>
    </row>
    <row r="56" spans="1:22" s="370" customFormat="1">
      <c r="A56" s="336"/>
      <c r="B56" s="504">
        <v>17</v>
      </c>
      <c r="C56" s="505" t="s">
        <v>26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503">
        <f>F39*11</f>
        <v>11</v>
      </c>
      <c r="G56" s="360">
        <f ca="1">IF(ISERROR(OFFSET('HARGA SATUAN'!$I$6,MATCH(RAB!C56,'HARGA SATUAN'!$C$7:$C$1492,0),0)),0,OFFSET('HARGA SATUAN'!$I$6,MATCH(RAB!C56,'HARGA SATUAN'!$C$7:$C$1492,0),0))</f>
        <v>2500</v>
      </c>
      <c r="H56" s="361">
        <f t="shared" ca="1" si="20"/>
        <v>0</v>
      </c>
      <c r="I56" s="361">
        <f t="shared" ca="1" si="21"/>
        <v>27500</v>
      </c>
      <c r="J56" s="361">
        <f t="shared" ca="1" si="22"/>
        <v>0</v>
      </c>
      <c r="K56" s="362">
        <f t="shared" ca="1" si="23"/>
        <v>27500</v>
      </c>
      <c r="L56" s="369"/>
      <c r="M56" s="369"/>
      <c r="N56" s="369"/>
      <c r="O56" s="363"/>
      <c r="P56" s="363"/>
      <c r="Q56" s="344"/>
      <c r="R56" s="336"/>
      <c r="S56" s="364"/>
      <c r="T56" s="341"/>
      <c r="U56" s="341"/>
      <c r="V56" s="341"/>
    </row>
    <row r="57" spans="1:22" s="365" customFormat="1">
      <c r="A57" s="336"/>
      <c r="B57" s="504">
        <v>18</v>
      </c>
      <c r="C57" s="505" t="s">
        <v>703</v>
      </c>
      <c r="D57" s="358" t="str">
        <f ca="1">IF(ISERROR(OFFSET('HARGA SATUAN'!$D$6,MATCH(RAB!C57,'HARGA SATUAN'!$C$7:$C$1492,0),0)),"",OFFSET('HARGA SATUAN'!$D$6,MATCH(RAB!C57,'HARGA SATUAN'!$C$7:$C$1492,0),0))</f>
        <v>JASA</v>
      </c>
      <c r="E57" s="359" t="str">
        <f ca="1">IF(B57="+","Unit",IF(ISERROR(OFFSET('HARGA SATUAN'!$E$6,MATCH(RAB!C57,'HARGA SATUAN'!$C$7:$C$1492,0),0)),"",OFFSET('HARGA SATUAN'!$E$6,MATCH(RAB!C57,'HARGA SATUAN'!$C$7:$C$1492,0),0)))</f>
        <v>Unit</v>
      </c>
      <c r="F57" s="503">
        <f>F39*1</f>
        <v>1</v>
      </c>
      <c r="G57" s="360">
        <f ca="1">IF(ISERROR(OFFSET('HARGA SATUAN'!$I$6,MATCH(RAB!C57,'HARGA SATUAN'!$C$7:$C$1492,0),0)),0,OFFSET('HARGA SATUAN'!$I$6,MATCH(RAB!C57,'HARGA SATUAN'!$C$7:$C$1492,0),0))</f>
        <v>134700</v>
      </c>
      <c r="H57" s="361">
        <f t="shared" ca="1" si="20"/>
        <v>0</v>
      </c>
      <c r="I57" s="361">
        <f t="shared" ca="1" si="21"/>
        <v>0</v>
      </c>
      <c r="J57" s="361">
        <f t="shared" ca="1" si="22"/>
        <v>134700</v>
      </c>
      <c r="K57" s="362">
        <f t="shared" ca="1" si="23"/>
        <v>134700</v>
      </c>
      <c r="L57" s="342"/>
      <c r="M57" s="342"/>
      <c r="N57" s="369"/>
      <c r="O57" s="344"/>
      <c r="P57" s="344"/>
      <c r="Q57" s="398"/>
      <c r="R57" s="344"/>
      <c r="S57" s="398"/>
      <c r="T57" s="399"/>
      <c r="U57" s="399"/>
      <c r="V57" s="399"/>
    </row>
    <row r="58" spans="1:22" s="365" customFormat="1">
      <c r="A58" s="336"/>
      <c r="B58" s="373"/>
      <c r="C58" s="374"/>
      <c r="D58" s="358" t="str">
        <f ca="1">IF(ISERROR(OFFSET('HARGA SATUAN'!$D$6,MATCH(RAB!C58,'HARGA SATUAN'!$C$7:$C$1492,0),0)),"",OFFSET('HARGA SATUAN'!$D$6,MATCH(RAB!C58,'HARGA SATUAN'!$C$7:$C$1492,0),0))</f>
        <v/>
      </c>
      <c r="E58" s="359" t="str">
        <f ca="1">IF(B58="+","Unit",IF(ISERROR(OFFSET('HARGA SATUAN'!$E$6,MATCH(RAB!C58,'HARGA SATUAN'!$C$7:$C$1492,0),0)),"",OFFSET('HARGA SATUAN'!$E$6,MATCH(RAB!C58,'HARGA SATUAN'!$C$7:$C$1492,0),0)))</f>
        <v/>
      </c>
      <c r="F58" s="484"/>
      <c r="G58" s="360">
        <f ca="1">IF(ISERROR(OFFSET('HARGA SATUAN'!$I$6,MATCH(RAB!C58,'HARGA SATUAN'!$C$7:$C$1492,0),0)),0,OFFSET('HARGA SATUAN'!$I$6,MATCH(RAB!C58,'HARGA SATUAN'!$C$7:$C$1492,0),0))</f>
        <v>0</v>
      </c>
      <c r="H58" s="361">
        <f t="shared" ca="1" si="20"/>
        <v>0</v>
      </c>
      <c r="I58" s="361">
        <f t="shared" ca="1" si="21"/>
        <v>0</v>
      </c>
      <c r="J58" s="361">
        <f t="shared" ca="1" si="22"/>
        <v>0</v>
      </c>
      <c r="K58" s="362">
        <f t="shared" ca="1" si="23"/>
        <v>0</v>
      </c>
      <c r="L58" s="342"/>
      <c r="M58" s="342"/>
      <c r="N58" s="369"/>
      <c r="O58" s="344"/>
      <c r="P58" s="344"/>
      <c r="Q58" s="398"/>
      <c r="R58" s="344"/>
      <c r="S58" s="398"/>
      <c r="T58" s="399"/>
      <c r="U58" s="399"/>
      <c r="V58" s="399"/>
    </row>
    <row r="59" spans="1:22" s="365" customFormat="1">
      <c r="A59" s="336"/>
      <c r="B59" s="504" t="s">
        <v>1035</v>
      </c>
      <c r="C59" s="505" t="s">
        <v>1621</v>
      </c>
      <c r="D59" s="358" t="str">
        <f ca="1">IF(ISERROR(OFFSET('HARGA SATUAN'!$D$6,MATCH(RAB!C59,'HARGA SATUAN'!$C$7:$C$1492,0),0)),"",OFFSET('HARGA SATUAN'!$D$6,MATCH(RAB!C59,'HARGA SATUAN'!$C$7:$C$1492,0),0))</f>
        <v/>
      </c>
      <c r="E59" s="359" t="str">
        <f ca="1">IF(B59="+","Unit",IF(ISERROR(OFFSET('HARGA SATUAN'!$E$6,MATCH(RAB!C59,'HARGA SATUAN'!$C$7:$C$1492,0),0)),"",OFFSET('HARGA SATUAN'!$E$6,MATCH(RAB!C59,'HARGA SATUAN'!$C$7:$C$1492,0),0)))</f>
        <v>Unit</v>
      </c>
      <c r="F59" s="484">
        <v>2</v>
      </c>
      <c r="G59" s="360">
        <f ca="1">IF(ISERROR(OFFSET('HARGA SATUAN'!$I$6,MATCH(RAB!C59,'HARGA SATUAN'!$C$7:$C$1492,0),0)),0,OFFSET('HARGA SATUAN'!$I$6,MATCH(RAB!C59,'HARGA SATUAN'!$C$7:$C$1492,0),0))</f>
        <v>0</v>
      </c>
      <c r="H59" s="361">
        <f t="shared" ref="H59:H69" ca="1" si="24">IF(OR(D59="MDU",D59="MDU-KD"),(IF($O$3="RAB NON MDU","PLN KD",G59*F59)),0)</f>
        <v>0</v>
      </c>
      <c r="I59" s="361">
        <f t="shared" ref="I59:I69" ca="1" si="25">IF(D59="HDW",G59*F59,0)</f>
        <v>0</v>
      </c>
      <c r="J59" s="361">
        <f t="shared" ref="J59:J69" ca="1" si="26">IF(D59="JASA",G59*F59,0)</f>
        <v>0</v>
      </c>
      <c r="K59" s="362">
        <f t="shared" ref="K59:K69" ca="1" si="27">SUM(H59:J59)</f>
        <v>0</v>
      </c>
      <c r="L59" s="342"/>
      <c r="M59" s="342"/>
      <c r="N59" s="369"/>
      <c r="O59" s="344"/>
      <c r="P59" s="344"/>
      <c r="Q59" s="398"/>
      <c r="R59" s="344"/>
      <c r="S59" s="398"/>
      <c r="T59" s="399"/>
      <c r="U59" s="399"/>
      <c r="V59" s="399"/>
    </row>
    <row r="60" spans="1:22" s="365" customFormat="1">
      <c r="A60" s="336"/>
      <c r="B60" s="504">
        <v>1</v>
      </c>
      <c r="C60" s="505" t="s">
        <v>30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Bh</v>
      </c>
      <c r="F60" s="484">
        <f>F59*1</f>
        <v>2</v>
      </c>
      <c r="G60" s="360">
        <f ca="1">IF(ISERROR(OFFSET('HARGA SATUAN'!$I$6,MATCH(RAB!C60,'HARGA SATUAN'!$C$7:$C$1492,0),0)),0,OFFSET('HARGA SATUAN'!$I$6,MATCH(RAB!C60,'HARGA SATUAN'!$C$7:$C$1492,0),0))</f>
        <v>47459</v>
      </c>
      <c r="H60" s="361">
        <f t="shared" ca="1" si="24"/>
        <v>0</v>
      </c>
      <c r="I60" s="361">
        <f t="shared" ca="1" si="25"/>
        <v>94918</v>
      </c>
      <c r="J60" s="361">
        <f t="shared" ca="1" si="26"/>
        <v>0</v>
      </c>
      <c r="K60" s="362">
        <f t="shared" ca="1" si="27"/>
        <v>94918</v>
      </c>
      <c r="L60" s="342"/>
      <c r="M60" s="342"/>
      <c r="N60" s="369"/>
      <c r="O60" s="344"/>
      <c r="P60" s="344"/>
      <c r="Q60" s="398"/>
      <c r="R60" s="344"/>
      <c r="S60" s="398"/>
      <c r="T60" s="399"/>
      <c r="U60" s="399"/>
      <c r="V60" s="399"/>
    </row>
    <row r="61" spans="1:22" s="365" customFormat="1">
      <c r="A61" s="336"/>
      <c r="B61" s="504">
        <v>2</v>
      </c>
      <c r="C61" s="505" t="s">
        <v>32</v>
      </c>
      <c r="D61" s="358" t="str">
        <f ca="1">IF(ISERROR(OFFSET('HARGA SATUAN'!$D$6,MATCH(RAB!C61,'HARGA SATUAN'!$C$7:$C$1492,0),0)),"",OFFSET('HARGA SATUAN'!$D$6,MATCH(RAB!C61,'HARGA SATUAN'!$C$7:$C$1492,0),0))</f>
        <v>HDW</v>
      </c>
      <c r="E61" s="359" t="str">
        <f ca="1">IF(B61="+","Unit",IF(ISERROR(OFFSET('HARGA SATUAN'!$E$6,MATCH(RAB!C61,'HARGA SATUAN'!$C$7:$C$1492,0),0)),"",OFFSET('HARGA SATUAN'!$E$6,MATCH(RAB!C61,'HARGA SATUAN'!$C$7:$C$1492,0),0)))</f>
        <v>Mtr</v>
      </c>
      <c r="F61" s="484">
        <f>F59*0.8</f>
        <v>1.6</v>
      </c>
      <c r="G61" s="360">
        <f ca="1">IF(ISERROR(OFFSET('HARGA SATUAN'!$I$6,MATCH(RAB!C61,'HARGA SATUAN'!$C$7:$C$1492,0),0)),0,OFFSET('HARGA SATUAN'!$I$6,MATCH(RAB!C61,'HARGA SATUAN'!$C$7:$C$1492,0),0))</f>
        <v>30000</v>
      </c>
      <c r="H61" s="361">
        <f t="shared" ca="1" si="24"/>
        <v>0</v>
      </c>
      <c r="I61" s="361">
        <f t="shared" ca="1" si="25"/>
        <v>48000</v>
      </c>
      <c r="J61" s="361">
        <f t="shared" ca="1" si="26"/>
        <v>0</v>
      </c>
      <c r="K61" s="362">
        <f t="shared" ca="1" si="27"/>
        <v>48000</v>
      </c>
      <c r="L61" s="342"/>
      <c r="M61" s="342"/>
      <c r="N61" s="369"/>
      <c r="O61" s="344"/>
      <c r="P61" s="344"/>
      <c r="Q61" s="398"/>
      <c r="R61" s="344"/>
      <c r="S61" s="398"/>
      <c r="T61" s="399"/>
      <c r="U61" s="399"/>
      <c r="V61" s="399"/>
    </row>
    <row r="62" spans="1:22" s="365" customFormat="1">
      <c r="A62" s="336"/>
      <c r="B62" s="504">
        <v>3</v>
      </c>
      <c r="C62" s="505" t="s">
        <v>33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484">
        <f>F59*1</f>
        <v>2</v>
      </c>
      <c r="G62" s="360">
        <f ca="1">IF(ISERROR(OFFSET('HARGA SATUAN'!$I$6,MATCH(RAB!C62,'HARGA SATUAN'!$C$7:$C$1492,0),0)),0,OFFSET('HARGA SATUAN'!$I$6,MATCH(RAB!C62,'HARGA SATUAN'!$C$7:$C$1492,0),0))</f>
        <v>9500</v>
      </c>
      <c r="H62" s="361">
        <f t="shared" ca="1" si="24"/>
        <v>0</v>
      </c>
      <c r="I62" s="361">
        <f t="shared" ca="1" si="25"/>
        <v>19000</v>
      </c>
      <c r="J62" s="361">
        <f t="shared" ca="1" si="26"/>
        <v>0</v>
      </c>
      <c r="K62" s="362">
        <f t="shared" ca="1" si="27"/>
        <v>19000</v>
      </c>
      <c r="L62" s="342"/>
      <c r="M62" s="342"/>
      <c r="N62" s="369"/>
      <c r="O62" s="344"/>
      <c r="P62" s="344"/>
      <c r="Q62" s="398"/>
      <c r="R62" s="344"/>
      <c r="S62" s="398"/>
      <c r="T62" s="399"/>
      <c r="U62" s="399"/>
      <c r="V62" s="399"/>
    </row>
    <row r="63" spans="1:22" s="365" customFormat="1">
      <c r="A63" s="336"/>
      <c r="B63" s="504">
        <v>4</v>
      </c>
      <c r="C63" s="505" t="s">
        <v>737</v>
      </c>
      <c r="D63" s="358" t="str">
        <f ca="1">IF(ISERROR(OFFSET('HARGA SATUAN'!$D$6,MATCH(RAB!C63,'HARGA SATUAN'!$C$7:$C$1492,0),0)),"",OFFSET('HARGA SATUAN'!$D$6,MATCH(RAB!C63,'HARGA SATUAN'!$C$7:$C$1492,0),0))</f>
        <v>JASA</v>
      </c>
      <c r="E63" s="359" t="str">
        <f ca="1">IF(B63="+","Unit",IF(ISERROR(OFFSET('HARGA SATUAN'!$E$6,MATCH(RAB!C63,'HARGA SATUAN'!$C$7:$C$1492,0),0)),"",OFFSET('HARGA SATUAN'!$E$6,MATCH(RAB!C63,'HARGA SATUAN'!$C$7:$C$1492,0),0)))</f>
        <v>Unit</v>
      </c>
      <c r="F63" s="484">
        <f>F59*1</f>
        <v>2</v>
      </c>
      <c r="G63" s="360">
        <f ca="1">IF(ISERROR(OFFSET('HARGA SATUAN'!$I$6,MATCH(RAB!C63,'HARGA SATUAN'!$C$7:$C$1492,0),0)),0,OFFSET('HARGA SATUAN'!$I$6,MATCH(RAB!C63,'HARGA SATUAN'!$C$7:$C$1492,0),0))</f>
        <v>16200</v>
      </c>
      <c r="H63" s="361">
        <f t="shared" ca="1" si="24"/>
        <v>0</v>
      </c>
      <c r="I63" s="361">
        <f t="shared" ca="1" si="25"/>
        <v>0</v>
      </c>
      <c r="J63" s="361">
        <f t="shared" ca="1" si="26"/>
        <v>32400</v>
      </c>
      <c r="K63" s="362">
        <f t="shared" ca="1" si="27"/>
        <v>32400</v>
      </c>
      <c r="L63" s="342"/>
      <c r="M63" s="342"/>
      <c r="N63" s="369"/>
      <c r="O63" s="344"/>
      <c r="P63" s="344"/>
      <c r="Q63" s="398"/>
      <c r="R63" s="344"/>
      <c r="S63" s="398"/>
      <c r="T63" s="399"/>
      <c r="U63" s="399"/>
      <c r="V63" s="399"/>
    </row>
    <row r="64" spans="1:22" s="365" customFormat="1">
      <c r="A64" s="336"/>
      <c r="B64" s="373"/>
      <c r="C64" s="374"/>
      <c r="D64" s="358" t="str">
        <f ca="1">IF(ISERROR(OFFSET('HARGA SATUAN'!$D$6,MATCH(RAB!C64,'HARGA SATUAN'!$C$7:$C$1492,0),0)),"",OFFSET('HARGA SATUAN'!$D$6,MATCH(RAB!C64,'HARGA SATUAN'!$C$7:$C$1492,0),0))</f>
        <v/>
      </c>
      <c r="E64" s="359" t="str">
        <f ca="1">IF(B64="+","Unit",IF(ISERROR(OFFSET('HARGA SATUAN'!$E$6,MATCH(RAB!C64,'HARGA SATUAN'!$C$7:$C$1492,0),0)),"",OFFSET('HARGA SATUAN'!$E$6,MATCH(RAB!C64,'HARGA SATUAN'!$C$7:$C$1492,0),0)))</f>
        <v/>
      </c>
      <c r="F64" s="484"/>
      <c r="G64" s="360">
        <f ca="1">IF(ISERROR(OFFSET('HARGA SATUAN'!$I$6,MATCH(RAB!C64,'HARGA SATUAN'!$C$7:$C$1492,0),0)),0,OFFSET('HARGA SATUAN'!$I$6,MATCH(RAB!C64,'HARGA SATUAN'!$C$7:$C$1492,0),0))</f>
        <v>0</v>
      </c>
      <c r="H64" s="361">
        <f t="shared" ca="1" si="24"/>
        <v>0</v>
      </c>
      <c r="I64" s="361">
        <f t="shared" ca="1" si="25"/>
        <v>0</v>
      </c>
      <c r="J64" s="361">
        <f t="shared" ca="1" si="26"/>
        <v>0</v>
      </c>
      <c r="K64" s="362">
        <f t="shared" ca="1" si="27"/>
        <v>0</v>
      </c>
      <c r="L64" s="342"/>
      <c r="M64" s="342"/>
      <c r="N64" s="369"/>
      <c r="O64" s="344"/>
      <c r="P64" s="344"/>
      <c r="Q64" s="398"/>
      <c r="R64" s="344"/>
      <c r="S64" s="398"/>
      <c r="T64" s="399"/>
      <c r="U64" s="399"/>
      <c r="V64" s="399"/>
    </row>
    <row r="65" spans="1:22" s="365" customFormat="1">
      <c r="A65" s="336"/>
      <c r="B65" s="373"/>
      <c r="C65" s="507" t="s">
        <v>1622</v>
      </c>
      <c r="D65" s="358" t="str">
        <f ca="1">IF(ISERROR(OFFSET('HARGA SATUAN'!$D$6,MATCH(RAB!C65,'HARGA SATUAN'!$C$7:$C$1492,0),0)),"",OFFSET('HARGA SATUAN'!$D$6,MATCH(RAB!C65,'HARGA SATUAN'!$C$7:$C$1492,0),0))</f>
        <v/>
      </c>
      <c r="E65" s="359" t="str">
        <f ca="1">IF(B65="+","Unit",IF(ISERROR(OFFSET('HARGA SATUAN'!$E$6,MATCH(RAB!C65,'HARGA SATUAN'!$C$7:$C$1492,0),0)),"",OFFSET('HARGA SATUAN'!$E$6,MATCH(RAB!C65,'HARGA SATUAN'!$C$7:$C$1492,0),0)))</f>
        <v/>
      </c>
      <c r="F65" s="484"/>
      <c r="G65" s="360">
        <f ca="1">IF(ISERROR(OFFSET('HARGA SATUAN'!$I$6,MATCH(RAB!C65,'HARGA SATUAN'!$C$7:$C$1492,0),0)),0,OFFSET('HARGA SATUAN'!$I$6,MATCH(RAB!C65,'HARGA SATUAN'!$C$7:$C$1492,0),0))</f>
        <v>0</v>
      </c>
      <c r="H65" s="361">
        <f t="shared" ca="1" si="24"/>
        <v>0</v>
      </c>
      <c r="I65" s="361">
        <f t="shared" ca="1" si="25"/>
        <v>0</v>
      </c>
      <c r="J65" s="361">
        <f t="shared" ca="1" si="26"/>
        <v>0</v>
      </c>
      <c r="K65" s="362">
        <f t="shared" ca="1" si="27"/>
        <v>0</v>
      </c>
      <c r="L65" s="342"/>
      <c r="M65" s="342"/>
      <c r="N65" s="369"/>
      <c r="O65" s="344"/>
      <c r="P65" s="344"/>
      <c r="Q65" s="398"/>
      <c r="R65" s="344"/>
      <c r="S65" s="398"/>
      <c r="T65" s="399"/>
      <c r="U65" s="399"/>
      <c r="V65" s="399"/>
    </row>
    <row r="66" spans="1:22" s="365" customFormat="1">
      <c r="A66" s="336"/>
      <c r="B66" s="373">
        <v>1</v>
      </c>
      <c r="C66" s="109" t="s">
        <v>65</v>
      </c>
      <c r="D66" s="358" t="str">
        <f ca="1">IF(ISERROR(OFFSET('HARGA SATUAN'!$D$6,MATCH(RAB!C66,'HARGA SATUAN'!$C$7:$C$1492,0),0)),"",OFFSET('HARGA SATUAN'!$D$6,MATCH(RAB!C66,'HARGA SATUAN'!$C$7:$C$1492,0),0))</f>
        <v>MDU-KD</v>
      </c>
      <c r="E66" s="359" t="str">
        <f ca="1">IF(B66="+","Unit",IF(ISERROR(OFFSET('HARGA SATUAN'!$E$6,MATCH(RAB!C66,'HARGA SATUAN'!$C$7:$C$1492,0),0)),"",OFFSET('HARGA SATUAN'!$E$6,MATCH(RAB!C66,'HARGA SATUAN'!$C$7:$C$1492,0),0)))</f>
        <v>Mtr</v>
      </c>
      <c r="F66" s="484">
        <f>60*4</f>
        <v>240</v>
      </c>
      <c r="G66" s="360">
        <f ca="1">IF(ISERROR(OFFSET('HARGA SATUAN'!$I$6,MATCH(RAB!C66,'HARGA SATUAN'!$C$7:$C$1492,0),0)),0,OFFSET('HARGA SATUAN'!$I$6,MATCH(RAB!C66,'HARGA SATUAN'!$C$7:$C$1492,0),0))</f>
        <v>14200</v>
      </c>
      <c r="H66" s="361">
        <f t="shared" ca="1" si="24"/>
        <v>3408000</v>
      </c>
      <c r="I66" s="361">
        <f t="shared" ca="1" si="25"/>
        <v>0</v>
      </c>
      <c r="J66" s="361">
        <f t="shared" ca="1" si="26"/>
        <v>0</v>
      </c>
      <c r="K66" s="362">
        <f t="shared" ca="1" si="27"/>
        <v>3408000</v>
      </c>
      <c r="L66" s="342"/>
      <c r="M66" s="342"/>
      <c r="N66" s="369"/>
      <c r="O66" s="344"/>
      <c r="P66" s="344"/>
      <c r="Q66" s="398"/>
      <c r="R66" s="344"/>
      <c r="S66" s="398"/>
      <c r="T66" s="399"/>
      <c r="U66" s="399"/>
      <c r="V66" s="399"/>
    </row>
    <row r="67" spans="1:22" s="365" customFormat="1">
      <c r="A67" s="336"/>
      <c r="B67" s="373">
        <v>2</v>
      </c>
      <c r="C67" s="109" t="s">
        <v>301</v>
      </c>
      <c r="D67" s="358" t="str">
        <f ca="1">IF(ISERROR(OFFSET('HARGA SATUAN'!$D$6,MATCH(RAB!C67,'HARGA SATUAN'!$C$7:$C$1492,0),0)),"",OFFSET('HARGA SATUAN'!$D$6,MATCH(RAB!C67,'HARGA SATUAN'!$C$7:$C$1492,0),0))</f>
        <v>JASA</v>
      </c>
      <c r="E67" s="359" t="str">
        <f ca="1">IF(B67="+","Unit",IF(ISERROR(OFFSET('HARGA SATUAN'!$E$6,MATCH(RAB!C67,'HARGA SATUAN'!$C$7:$C$1492,0),0)),"",OFFSET('HARGA SATUAN'!$E$6,MATCH(RAB!C67,'HARGA SATUAN'!$C$7:$C$1492,0),0)))</f>
        <v>Per 50 m</v>
      </c>
      <c r="F67" s="484">
        <f>F66/200</f>
        <v>1.2</v>
      </c>
      <c r="G67" s="360">
        <f ca="1">IF(ISERROR(OFFSET('HARGA SATUAN'!$I$6,MATCH(RAB!C67,'HARGA SATUAN'!$C$7:$C$1492,0),0)),0,OFFSET('HARGA SATUAN'!$I$6,MATCH(RAB!C67,'HARGA SATUAN'!$C$7:$C$1492,0),0))</f>
        <v>300100</v>
      </c>
      <c r="H67" s="361">
        <f t="shared" ca="1" si="24"/>
        <v>0</v>
      </c>
      <c r="I67" s="361">
        <f t="shared" ca="1" si="25"/>
        <v>0</v>
      </c>
      <c r="J67" s="361">
        <f t="shared" ca="1" si="26"/>
        <v>360120</v>
      </c>
      <c r="K67" s="362">
        <f t="shared" ca="1" si="27"/>
        <v>360120</v>
      </c>
      <c r="L67" s="342"/>
      <c r="M67" s="342"/>
      <c r="N67" s="369"/>
      <c r="O67" s="344"/>
      <c r="P67" s="344"/>
      <c r="Q67" s="398"/>
      <c r="R67" s="344"/>
      <c r="S67" s="398"/>
      <c r="T67" s="399"/>
      <c r="U67" s="399"/>
      <c r="V67" s="399"/>
    </row>
    <row r="68" spans="1:22" s="365" customFormat="1">
      <c r="A68" s="336"/>
      <c r="B68" s="373">
        <v>3</v>
      </c>
      <c r="C68" s="109" t="s">
        <v>1157</v>
      </c>
      <c r="D68" s="358" t="str">
        <f ca="1">IF(ISERROR(OFFSET('HARGA SATUAN'!$D$6,MATCH(RAB!C68,'HARGA SATUAN'!$C$7:$C$1492,0),0)),"",OFFSET('HARGA SATUAN'!$D$6,MATCH(RAB!C68,'HARGA SATUAN'!$C$7:$C$1492,0),0))</f>
        <v>HDW</v>
      </c>
      <c r="E68" s="359" t="str">
        <f ca="1">IF(B68="+","Unit",IF(ISERROR(OFFSET('HARGA SATUAN'!$E$6,MATCH(RAB!C68,'HARGA SATUAN'!$C$7:$C$1492,0),0)),"",OFFSET('HARGA SATUAN'!$E$6,MATCH(RAB!C68,'HARGA SATUAN'!$C$7:$C$1492,0),0)))</f>
        <v>Bh</v>
      </c>
      <c r="F68" s="484">
        <v>4</v>
      </c>
      <c r="G68" s="360">
        <f ca="1">IF(ISERROR(OFFSET('HARGA SATUAN'!$I$6,MATCH(RAB!C68,'HARGA SATUAN'!$C$7:$C$1492,0),0)),0,OFFSET('HARGA SATUAN'!$I$6,MATCH(RAB!C68,'HARGA SATUAN'!$C$7:$C$1492,0),0))</f>
        <v>36500</v>
      </c>
      <c r="H68" s="361">
        <f t="shared" ca="1" si="24"/>
        <v>0</v>
      </c>
      <c r="I68" s="361">
        <f t="shared" ca="1" si="25"/>
        <v>146000</v>
      </c>
      <c r="J68" s="361">
        <f t="shared" ca="1" si="26"/>
        <v>0</v>
      </c>
      <c r="K68" s="362">
        <f t="shared" ca="1" si="27"/>
        <v>146000</v>
      </c>
      <c r="L68" s="342"/>
      <c r="M68" s="342"/>
      <c r="N68" s="369"/>
      <c r="O68" s="344"/>
      <c r="P68" s="344"/>
      <c r="Q68" s="398"/>
      <c r="R68" s="344"/>
      <c r="S68" s="398"/>
      <c r="T68" s="399"/>
      <c r="U68" s="399"/>
      <c r="V68" s="399"/>
    </row>
    <row r="69" spans="1:22" s="365" customFormat="1">
      <c r="A69" s="336"/>
      <c r="B69" s="373">
        <v>4</v>
      </c>
      <c r="C69" s="197" t="s">
        <v>1099</v>
      </c>
      <c r="D69" s="358" t="str">
        <f ca="1">IF(ISERROR(OFFSET('HARGA SATUAN'!$D$6,MATCH(RAB!C69,'HARGA SATUAN'!$C$7:$C$1492,0),0)),"",OFFSET('HARGA SATUAN'!$D$6,MATCH(RAB!C69,'HARGA SATUAN'!$C$7:$C$1492,0),0))</f>
        <v>JASA</v>
      </c>
      <c r="E69" s="359" t="str">
        <f ca="1">IF(B69="+","Unit",IF(ISERROR(OFFSET('HARGA SATUAN'!$E$6,MATCH(RAB!C69,'HARGA SATUAN'!$C$7:$C$1492,0),0)),"",OFFSET('HARGA SATUAN'!$E$6,MATCH(RAB!C69,'HARGA SATUAN'!$C$7:$C$1492,0),0)))</f>
        <v>Bh</v>
      </c>
      <c r="F69" s="484">
        <v>4</v>
      </c>
      <c r="G69" s="360">
        <f ca="1">IF(ISERROR(OFFSET('HARGA SATUAN'!$I$6,MATCH(RAB!C69,'HARGA SATUAN'!$C$7:$C$1492,0),0)),0,OFFSET('HARGA SATUAN'!$I$6,MATCH(RAB!C69,'HARGA SATUAN'!$C$7:$C$1492,0),0))</f>
        <v>13770</v>
      </c>
      <c r="H69" s="361">
        <f t="shared" ca="1" si="24"/>
        <v>0</v>
      </c>
      <c r="I69" s="361">
        <f t="shared" ca="1" si="25"/>
        <v>0</v>
      </c>
      <c r="J69" s="361">
        <f t="shared" ca="1" si="26"/>
        <v>55080</v>
      </c>
      <c r="K69" s="362">
        <f t="shared" ca="1" si="27"/>
        <v>55080</v>
      </c>
      <c r="L69" s="342"/>
      <c r="M69" s="342"/>
      <c r="N69" s="369"/>
      <c r="O69" s="344"/>
      <c r="P69" s="344"/>
      <c r="Q69" s="398"/>
      <c r="R69" s="344"/>
      <c r="S69" s="398"/>
      <c r="T69" s="399"/>
      <c r="U69" s="399"/>
      <c r="V69" s="399"/>
    </row>
    <row r="70" spans="1:22" s="365" customFormat="1">
      <c r="A70" s="336"/>
      <c r="B70" s="373"/>
      <c r="C70" s="374"/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IF(B70="+","Unit",IF(ISERROR(OFFSET('HARGA SATUAN'!$E$6,MATCH(RAB!C70,'HARGA SATUAN'!$C$7:$C$1492,0),0)),"",OFFSET('HARGA SATUAN'!$E$6,MATCH(RAB!C70,'HARGA SATUAN'!$C$7:$C$1492,0),0)))</f>
        <v/>
      </c>
      <c r="F70" s="484"/>
      <c r="G70" s="360">
        <f ca="1">IF(ISERROR(OFFSET('HARGA SATUAN'!$I$6,MATCH(RAB!C70,'HARGA SATUAN'!$C$7:$C$1492,0),0)),0,OFFSET('HARGA SATUAN'!$I$6,MATCH(RAB!C70,'HARGA SATUAN'!$C$7:$C$1492,0),0))</f>
        <v>0</v>
      </c>
      <c r="H70" s="361">
        <f t="shared" ref="H70:H94" ca="1" si="28">IF(OR(D70="MDU",D70="MDU-KD"),(IF($O$3="RAB NON MDU","PLN KD",G70*F70)),0)</f>
        <v>0</v>
      </c>
      <c r="I70" s="361">
        <f t="shared" ref="I70:I94" ca="1" si="29">IF(D70="HDW",G70*F70,0)</f>
        <v>0</v>
      </c>
      <c r="J70" s="361">
        <f t="shared" ref="J70:J94" ca="1" si="30">IF(D70="JASA",G70*F70,0)</f>
        <v>0</v>
      </c>
      <c r="K70" s="362">
        <f t="shared" ref="K70:K94" ca="1" si="31">SUM(H70:J70)</f>
        <v>0</v>
      </c>
      <c r="L70" s="342"/>
      <c r="M70" s="342"/>
      <c r="N70" s="369"/>
      <c r="O70" s="344"/>
      <c r="P70" s="344"/>
      <c r="Q70" s="398"/>
      <c r="R70" s="344"/>
      <c r="S70" s="398"/>
      <c r="T70" s="399"/>
      <c r="U70" s="399"/>
      <c r="V70" s="399"/>
    </row>
    <row r="71" spans="1:22" s="365" customFormat="1">
      <c r="A71" s="336"/>
      <c r="B71" s="373"/>
      <c r="C71" s="507" t="s">
        <v>1630</v>
      </c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IF(B71="+","Unit",IF(ISERROR(OFFSET('HARGA SATUAN'!$E$6,MATCH(RAB!C71,'HARGA SATUAN'!$C$7:$C$1492,0),0)),"",OFFSET('HARGA SATUAN'!$E$6,MATCH(RAB!C71,'HARGA SATUAN'!$C$7:$C$1492,0),0)))</f>
        <v/>
      </c>
      <c r="F71" s="484"/>
      <c r="G71" s="360">
        <f ca="1">IF(ISERROR(OFFSET('HARGA SATUAN'!$I$6,MATCH(RAB!C71,'HARGA SATUAN'!$C$7:$C$1492,0),0)),0,OFFSET('HARGA SATUAN'!$I$6,MATCH(RAB!C71,'HARGA SATUAN'!$C$7:$C$1492,0),0))</f>
        <v>0</v>
      </c>
      <c r="H71" s="361">
        <f t="shared" ca="1" si="28"/>
        <v>0</v>
      </c>
      <c r="I71" s="361">
        <f t="shared" ca="1" si="29"/>
        <v>0</v>
      </c>
      <c r="J71" s="361">
        <f t="shared" ca="1" si="30"/>
        <v>0</v>
      </c>
      <c r="K71" s="362">
        <f t="shared" ca="1" si="31"/>
        <v>0</v>
      </c>
      <c r="L71" s="342"/>
      <c r="M71" s="342"/>
      <c r="N71" s="369"/>
      <c r="O71" s="344"/>
      <c r="P71" s="344"/>
      <c r="Q71" s="398"/>
      <c r="R71" s="344"/>
      <c r="S71" s="398"/>
      <c r="T71" s="399"/>
      <c r="U71" s="399"/>
      <c r="V71" s="399"/>
    </row>
    <row r="72" spans="1:22" s="365" customFormat="1">
      <c r="A72" s="336"/>
      <c r="B72" s="373"/>
      <c r="C72" s="374"/>
      <c r="D72" s="358" t="str">
        <f ca="1">IF(ISERROR(OFFSET('HARGA SATUAN'!$D$6,MATCH(RAB!C72,'HARGA SATUAN'!$C$7:$C$1492,0),0)),"",OFFSET('HARGA SATUAN'!$D$6,MATCH(RAB!C72,'HARGA SATUAN'!$C$7:$C$1492,0),0))</f>
        <v/>
      </c>
      <c r="E72" s="359" t="str">
        <f ca="1">IF(B72="+","Unit",IF(ISERROR(OFFSET('HARGA SATUAN'!$E$6,MATCH(RAB!C72,'HARGA SATUAN'!$C$7:$C$1492,0),0)),"",OFFSET('HARGA SATUAN'!$E$6,MATCH(RAB!C72,'HARGA SATUAN'!$C$7:$C$1492,0),0)))</f>
        <v/>
      </c>
      <c r="F72" s="484"/>
      <c r="G72" s="360">
        <f ca="1">IF(ISERROR(OFFSET('HARGA SATUAN'!$I$6,MATCH(RAB!C72,'HARGA SATUAN'!$C$7:$C$1492,0),0)),0,OFFSET('HARGA SATUAN'!$I$6,MATCH(RAB!C72,'HARGA SATUAN'!$C$7:$C$1492,0),0))</f>
        <v>0</v>
      </c>
      <c r="H72" s="361">
        <f t="shared" ca="1" si="28"/>
        <v>0</v>
      </c>
      <c r="I72" s="361">
        <f t="shared" ca="1" si="29"/>
        <v>0</v>
      </c>
      <c r="J72" s="361">
        <f t="shared" ca="1" si="30"/>
        <v>0</v>
      </c>
      <c r="K72" s="362">
        <f t="shared" ca="1" si="31"/>
        <v>0</v>
      </c>
      <c r="L72" s="342"/>
      <c r="M72" s="342"/>
      <c r="N72" s="369"/>
      <c r="O72" s="344"/>
      <c r="P72" s="344"/>
      <c r="Q72" s="398"/>
      <c r="R72" s="344"/>
      <c r="S72" s="398"/>
      <c r="T72" s="399"/>
      <c r="U72" s="399"/>
      <c r="V72" s="399"/>
    </row>
    <row r="73" spans="1:22" s="365" customFormat="1">
      <c r="A73" s="336"/>
      <c r="B73" s="504" t="s">
        <v>1035</v>
      </c>
      <c r="C73" s="505" t="s">
        <v>1631</v>
      </c>
      <c r="D73" s="358" t="str">
        <f ca="1">IF(ISERROR(OFFSET('HARGA SATUAN'!$D$6,MATCH(RAB!C73,'HARGA SATUAN'!$C$7:$C$1492,0),0)),"",OFFSET('HARGA SATUAN'!$D$6,MATCH(RAB!C73,'HARGA SATUAN'!$C$7:$C$1492,0),0))</f>
        <v/>
      </c>
      <c r="E73" s="359" t="str">
        <f ca="1">IF(B73="+","Unit",IF(ISERROR(OFFSET('HARGA SATUAN'!$E$6,MATCH(RAB!C73,'HARGA SATUAN'!$C$7:$C$1492,0),0)),"",OFFSET('HARGA SATUAN'!$E$6,MATCH(RAB!C73,'HARGA SATUAN'!$C$7:$C$1492,0),0)))</f>
        <v>Unit</v>
      </c>
      <c r="F73" s="484">
        <v>1</v>
      </c>
      <c r="G73" s="360">
        <f ca="1">IF(ISERROR(OFFSET('HARGA SATUAN'!$I$6,MATCH(RAB!C73,'HARGA SATUAN'!$C$7:$C$1492,0),0)),0,OFFSET('HARGA SATUAN'!$I$6,MATCH(RAB!C73,'HARGA SATUAN'!$C$7:$C$1492,0),0))</f>
        <v>0</v>
      </c>
      <c r="H73" s="361">
        <f t="shared" ca="1" si="28"/>
        <v>0</v>
      </c>
      <c r="I73" s="361">
        <f t="shared" ca="1" si="29"/>
        <v>0</v>
      </c>
      <c r="J73" s="361">
        <f t="shared" ca="1" si="30"/>
        <v>0</v>
      </c>
      <c r="K73" s="362">
        <f t="shared" ca="1" si="31"/>
        <v>0</v>
      </c>
      <c r="L73" s="342"/>
      <c r="M73" s="342"/>
      <c r="N73" s="369"/>
      <c r="O73" s="344"/>
      <c r="P73" s="344"/>
      <c r="Q73" s="398"/>
      <c r="R73" s="344"/>
      <c r="S73" s="398"/>
      <c r="T73" s="399"/>
      <c r="U73" s="399"/>
      <c r="V73" s="399"/>
    </row>
    <row r="74" spans="1:22" s="365" customFormat="1">
      <c r="A74" s="336"/>
      <c r="B74" s="504">
        <v>1</v>
      </c>
      <c r="C74" s="505" t="s">
        <v>28</v>
      </c>
      <c r="D74" s="358" t="str">
        <f ca="1">IF(ISERROR(OFFSET('HARGA SATUAN'!$D$6,MATCH(RAB!C74,'HARGA SATUAN'!$C$7:$C$1492,0),0)),"",OFFSET('HARGA SATUAN'!$D$6,MATCH(RAB!C74,'HARGA SATUAN'!$C$7:$C$1492,0),0))</f>
        <v>HDW</v>
      </c>
      <c r="E74" s="359" t="str">
        <f ca="1">IF(B74="+","Unit",IF(ISERROR(OFFSET('HARGA SATUAN'!$E$6,MATCH(RAB!C74,'HARGA SATUAN'!$C$7:$C$1492,0),0)),"",OFFSET('HARGA SATUAN'!$E$6,MATCH(RAB!C74,'HARGA SATUAN'!$C$7:$C$1492,0),0)))</f>
        <v>Bh</v>
      </c>
      <c r="F74" s="484">
        <f>F73*1</f>
        <v>1</v>
      </c>
      <c r="G74" s="360">
        <f ca="1">IF(ISERROR(OFFSET('HARGA SATUAN'!$I$6,MATCH(RAB!C74,'HARGA SATUAN'!$C$7:$C$1492,0),0)),0,OFFSET('HARGA SATUAN'!$I$6,MATCH(RAB!C74,'HARGA SATUAN'!$C$7:$C$1492,0),0))</f>
        <v>26500</v>
      </c>
      <c r="H74" s="361">
        <f t="shared" ca="1" si="28"/>
        <v>0</v>
      </c>
      <c r="I74" s="361">
        <f t="shared" ca="1" si="29"/>
        <v>26500</v>
      </c>
      <c r="J74" s="361">
        <f t="shared" ca="1" si="30"/>
        <v>0</v>
      </c>
      <c r="K74" s="362">
        <f t="shared" ca="1" si="31"/>
        <v>26500</v>
      </c>
      <c r="L74" s="342"/>
      <c r="M74" s="342"/>
      <c r="N74" s="369"/>
      <c r="O74" s="344"/>
      <c r="P74" s="344"/>
      <c r="Q74" s="398"/>
      <c r="R74" s="344"/>
      <c r="S74" s="398"/>
      <c r="T74" s="399"/>
      <c r="U74" s="399"/>
      <c r="V74" s="399"/>
    </row>
    <row r="75" spans="1:22" s="365" customFormat="1">
      <c r="A75" s="336"/>
      <c r="B75" s="504">
        <v>2</v>
      </c>
      <c r="C75" s="505" t="s">
        <v>203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Bh</v>
      </c>
      <c r="F75" s="484">
        <f>F73*1</f>
        <v>1</v>
      </c>
      <c r="G75" s="360">
        <f ca="1">IF(ISERROR(OFFSET('HARGA SATUAN'!$I$6,MATCH(RAB!C75,'HARGA SATUAN'!$C$7:$C$1492,0),0)),0,OFFSET('HARGA SATUAN'!$I$6,MATCH(RAB!C75,'HARGA SATUAN'!$C$7:$C$1492,0),0))</f>
        <v>12500</v>
      </c>
      <c r="H75" s="361">
        <f t="shared" ca="1" si="28"/>
        <v>0</v>
      </c>
      <c r="I75" s="361">
        <f t="shared" ca="1" si="29"/>
        <v>12500</v>
      </c>
      <c r="J75" s="361">
        <f t="shared" ca="1" si="30"/>
        <v>0</v>
      </c>
      <c r="K75" s="362">
        <f t="shared" ca="1" si="31"/>
        <v>12500</v>
      </c>
      <c r="L75" s="342"/>
      <c r="M75" s="342"/>
      <c r="N75" s="369"/>
      <c r="O75" s="344"/>
      <c r="P75" s="344"/>
      <c r="Q75" s="398"/>
      <c r="R75" s="344"/>
      <c r="S75" s="398"/>
      <c r="T75" s="399"/>
      <c r="U75" s="399"/>
      <c r="V75" s="399"/>
    </row>
    <row r="76" spans="1:22" s="365" customFormat="1">
      <c r="A76" s="336"/>
      <c r="B76" s="504">
        <v>3</v>
      </c>
      <c r="C76" s="505" t="s">
        <v>206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Mtr</v>
      </c>
      <c r="F76" s="484">
        <f>F73*12</f>
        <v>12</v>
      </c>
      <c r="G76" s="360">
        <f ca="1">IF(ISERROR(OFFSET('HARGA SATUAN'!$I$6,MATCH(RAB!C76,'HARGA SATUAN'!$C$7:$C$1492,0),0)),0,OFFSET('HARGA SATUAN'!$I$6,MATCH(RAB!C76,'HARGA SATUAN'!$C$7:$C$1492,0),0))</f>
        <v>39204</v>
      </c>
      <c r="H76" s="361">
        <f t="shared" ca="1" si="28"/>
        <v>0</v>
      </c>
      <c r="I76" s="361">
        <f t="shared" ca="1" si="29"/>
        <v>470448</v>
      </c>
      <c r="J76" s="361">
        <f t="shared" ca="1" si="30"/>
        <v>0</v>
      </c>
      <c r="K76" s="362">
        <f t="shared" ca="1" si="31"/>
        <v>470448</v>
      </c>
      <c r="L76" s="342"/>
      <c r="M76" s="342"/>
      <c r="N76" s="369"/>
      <c r="O76" s="344"/>
      <c r="P76" s="344"/>
      <c r="Q76" s="398"/>
      <c r="R76" s="344"/>
      <c r="S76" s="398"/>
      <c r="T76" s="399"/>
      <c r="U76" s="399"/>
      <c r="V76" s="399"/>
    </row>
    <row r="77" spans="1:22" s="365" customFormat="1">
      <c r="A77" s="336"/>
      <c r="B77" s="504">
        <v>4</v>
      </c>
      <c r="C77" s="505" t="s">
        <v>287</v>
      </c>
      <c r="D77" s="358" t="str">
        <f ca="1">IF(ISERROR(OFFSET('HARGA SATUAN'!$D$6,MATCH(RAB!C77,'HARGA SATUAN'!$C$7:$C$1492,0),0)),"",OFFSET('HARGA SATUAN'!$D$6,MATCH(RAB!C77,'HARGA SATUAN'!$C$7:$C$1492,0),0))</f>
        <v>HDW</v>
      </c>
      <c r="E77" s="359" t="str">
        <f ca="1">IF(B77="+","Unit",IF(ISERROR(OFFSET('HARGA SATUAN'!$E$6,MATCH(RAB!C77,'HARGA SATUAN'!$C$7:$C$1492,0),0)),"",OFFSET('HARGA SATUAN'!$E$6,MATCH(RAB!C77,'HARGA SATUAN'!$C$7:$C$1492,0),0)))</f>
        <v>Bh</v>
      </c>
      <c r="F77" s="484">
        <f>F73*2</f>
        <v>2</v>
      </c>
      <c r="G77" s="360">
        <f ca="1">IF(ISERROR(OFFSET('HARGA SATUAN'!$I$6,MATCH(RAB!C77,'HARGA SATUAN'!$C$7:$C$1492,0),0)),0,OFFSET('HARGA SATUAN'!$I$6,MATCH(RAB!C77,'HARGA SATUAN'!$C$7:$C$1492,0),0))</f>
        <v>40000</v>
      </c>
      <c r="H77" s="361">
        <f t="shared" ca="1" si="28"/>
        <v>0</v>
      </c>
      <c r="I77" s="361">
        <f t="shared" ca="1" si="29"/>
        <v>80000</v>
      </c>
      <c r="J77" s="361">
        <f t="shared" ca="1" si="30"/>
        <v>0</v>
      </c>
      <c r="K77" s="362">
        <f t="shared" ca="1" si="31"/>
        <v>80000</v>
      </c>
      <c r="L77" s="342"/>
      <c r="M77" s="342"/>
      <c r="N77" s="369"/>
      <c r="O77" s="344"/>
      <c r="P77" s="344"/>
      <c r="Q77" s="398"/>
      <c r="R77" s="344"/>
      <c r="S77" s="398"/>
      <c r="T77" s="399"/>
      <c r="U77" s="399"/>
      <c r="V77" s="399"/>
    </row>
    <row r="78" spans="1:22" s="365" customFormat="1">
      <c r="A78" s="336"/>
      <c r="B78" s="504">
        <v>5</v>
      </c>
      <c r="C78" s="505" t="s">
        <v>26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484">
        <f>F73*1</f>
        <v>1</v>
      </c>
      <c r="G78" s="360">
        <f ca="1">IF(ISERROR(OFFSET('HARGA SATUAN'!$I$6,MATCH(RAB!C78,'HARGA SATUAN'!$C$7:$C$1492,0),0)),0,OFFSET('HARGA SATUAN'!$I$6,MATCH(RAB!C78,'HARGA SATUAN'!$C$7:$C$1492,0),0))</f>
        <v>2500</v>
      </c>
      <c r="H78" s="361">
        <f t="shared" ca="1" si="28"/>
        <v>0</v>
      </c>
      <c r="I78" s="361">
        <f t="shared" ca="1" si="29"/>
        <v>2500</v>
      </c>
      <c r="J78" s="361">
        <f t="shared" ca="1" si="30"/>
        <v>0</v>
      </c>
      <c r="K78" s="362">
        <f t="shared" ca="1" si="31"/>
        <v>2500</v>
      </c>
      <c r="L78" s="342"/>
      <c r="M78" s="342"/>
      <c r="N78" s="369"/>
      <c r="O78" s="344"/>
      <c r="P78" s="344"/>
      <c r="Q78" s="398"/>
      <c r="R78" s="344"/>
      <c r="S78" s="398"/>
      <c r="T78" s="399"/>
      <c r="U78" s="399"/>
      <c r="V78" s="399"/>
    </row>
    <row r="79" spans="1:22" s="365" customFormat="1">
      <c r="A79" s="336"/>
      <c r="B79" s="504">
        <v>6</v>
      </c>
      <c r="C79" s="505" t="s">
        <v>760</v>
      </c>
      <c r="D79" s="358" t="str">
        <f ca="1">IF(ISERROR(OFFSET('HARGA SATUAN'!$D$6,MATCH(RAB!C79,'HARGA SATUAN'!$C$7:$C$1492,0),0)),"",OFFSET('HARGA SATUAN'!$D$6,MATCH(RAB!C79,'HARGA SATUAN'!$C$7:$C$1492,0),0))</f>
        <v>JASA</v>
      </c>
      <c r="E79" s="359" t="str">
        <f ca="1">IF(B79="+","Unit",IF(ISERROR(OFFSET('HARGA SATUAN'!$E$6,MATCH(RAB!C79,'HARGA SATUAN'!$C$7:$C$1492,0),0)),"",OFFSET('HARGA SATUAN'!$E$6,MATCH(RAB!C79,'HARGA SATUAN'!$C$7:$C$1492,0),0)))</f>
        <v>Unit</v>
      </c>
      <c r="F79" s="484">
        <f>F73*1</f>
        <v>1</v>
      </c>
      <c r="G79" s="360">
        <f ca="1">IF(ISERROR(OFFSET('HARGA SATUAN'!$I$6,MATCH(RAB!C79,'HARGA SATUAN'!$C$7:$C$1492,0),0)),0,OFFSET('HARGA SATUAN'!$I$6,MATCH(RAB!C79,'HARGA SATUAN'!$C$7:$C$1492,0),0))</f>
        <v>36600</v>
      </c>
      <c r="H79" s="361">
        <f t="shared" ca="1" si="28"/>
        <v>0</v>
      </c>
      <c r="I79" s="361">
        <f t="shared" ca="1" si="29"/>
        <v>0</v>
      </c>
      <c r="J79" s="361">
        <f t="shared" ca="1" si="30"/>
        <v>36600</v>
      </c>
      <c r="K79" s="362">
        <f t="shared" ca="1" si="31"/>
        <v>36600</v>
      </c>
      <c r="L79" s="342"/>
      <c r="M79" s="342"/>
      <c r="N79" s="369"/>
      <c r="O79" s="344"/>
      <c r="P79" s="344"/>
      <c r="Q79" s="398"/>
      <c r="R79" s="344"/>
      <c r="S79" s="398"/>
      <c r="T79" s="399"/>
      <c r="U79" s="399"/>
      <c r="V79" s="399"/>
    </row>
    <row r="80" spans="1:22" s="365" customFormat="1">
      <c r="A80" s="336"/>
      <c r="B80" s="373"/>
      <c r="C80" s="374"/>
      <c r="D80" s="358" t="str">
        <f ca="1">IF(ISERROR(OFFSET('HARGA SATUAN'!$D$6,MATCH(RAB!C80,'HARGA SATUAN'!$C$7:$C$1492,0),0)),"",OFFSET('HARGA SATUAN'!$D$6,MATCH(RAB!C80,'HARGA SATUAN'!$C$7:$C$1492,0),0))</f>
        <v/>
      </c>
      <c r="E80" s="359" t="str">
        <f ca="1">IF(B80="+","Unit",IF(ISERROR(OFFSET('HARGA SATUAN'!$E$6,MATCH(RAB!C80,'HARGA SATUAN'!$C$7:$C$1492,0),0)),"",OFFSET('HARGA SATUAN'!$E$6,MATCH(RAB!C80,'HARGA SATUAN'!$C$7:$C$1492,0),0)))</f>
        <v/>
      </c>
      <c r="F80" s="484"/>
      <c r="G80" s="360">
        <f ca="1">IF(ISERROR(OFFSET('HARGA SATUAN'!$I$6,MATCH(RAB!C80,'HARGA SATUAN'!$C$7:$C$1492,0),0)),0,OFFSET('HARGA SATUAN'!$I$6,MATCH(RAB!C80,'HARGA SATUAN'!$C$7:$C$1492,0),0))</f>
        <v>0</v>
      </c>
      <c r="H80" s="361">
        <f t="shared" ca="1" si="28"/>
        <v>0</v>
      </c>
      <c r="I80" s="361">
        <f t="shared" ca="1" si="29"/>
        <v>0</v>
      </c>
      <c r="J80" s="361">
        <f t="shared" ca="1" si="30"/>
        <v>0</v>
      </c>
      <c r="K80" s="362">
        <f t="shared" ca="1" si="31"/>
        <v>0</v>
      </c>
      <c r="L80" s="342"/>
      <c r="M80" s="342"/>
      <c r="N80" s="369"/>
      <c r="O80" s="344"/>
      <c r="P80" s="344"/>
      <c r="Q80" s="398"/>
      <c r="R80" s="344"/>
      <c r="S80" s="398"/>
      <c r="T80" s="399"/>
      <c r="U80" s="399"/>
      <c r="V80" s="399"/>
    </row>
    <row r="81" spans="1:22" s="365" customFormat="1">
      <c r="A81" s="336"/>
      <c r="B81" s="504" t="s">
        <v>1035</v>
      </c>
      <c r="C81" s="505" t="s">
        <v>1632</v>
      </c>
      <c r="D81" s="358" t="str">
        <f ca="1">IF(ISERROR(OFFSET('HARGA SATUAN'!$D$6,MATCH(RAB!C81,'HARGA SATUAN'!$C$7:$C$1492,0),0)),"",OFFSET('HARGA SATUAN'!$D$6,MATCH(RAB!C81,'HARGA SATUAN'!$C$7:$C$1492,0),0))</f>
        <v/>
      </c>
      <c r="E81" s="359" t="str">
        <f ca="1">IF(B81="+","Unit",IF(ISERROR(OFFSET('HARGA SATUAN'!$E$6,MATCH(RAB!C81,'HARGA SATUAN'!$C$7:$C$1492,0),0)),"",OFFSET('HARGA SATUAN'!$E$6,MATCH(RAB!C81,'HARGA SATUAN'!$C$7:$C$1492,0),0)))</f>
        <v>Unit</v>
      </c>
      <c r="F81" s="484">
        <v>1</v>
      </c>
      <c r="G81" s="360">
        <f ca="1">IF(ISERROR(OFFSET('HARGA SATUAN'!$I$6,MATCH(RAB!C81,'HARGA SATUAN'!$C$7:$C$1492,0),0)),0,OFFSET('HARGA SATUAN'!$I$6,MATCH(RAB!C81,'HARGA SATUAN'!$C$7:$C$1492,0),0))</f>
        <v>0</v>
      </c>
      <c r="H81" s="361">
        <f t="shared" ca="1" si="28"/>
        <v>0</v>
      </c>
      <c r="I81" s="361">
        <f t="shared" ca="1" si="29"/>
        <v>0</v>
      </c>
      <c r="J81" s="361">
        <f t="shared" ca="1" si="30"/>
        <v>0</v>
      </c>
      <c r="K81" s="362">
        <f t="shared" ca="1" si="31"/>
        <v>0</v>
      </c>
      <c r="L81" s="342"/>
      <c r="M81" s="342"/>
      <c r="N81" s="369"/>
      <c r="O81" s="344"/>
      <c r="P81" s="344"/>
      <c r="Q81" s="398"/>
      <c r="R81" s="344"/>
      <c r="S81" s="398"/>
      <c r="T81" s="399"/>
      <c r="U81" s="399"/>
      <c r="V81" s="399"/>
    </row>
    <row r="82" spans="1:22" s="365" customFormat="1">
      <c r="A82" s="336"/>
      <c r="B82" s="513">
        <v>1</v>
      </c>
      <c r="C82" s="514" t="s">
        <v>597</v>
      </c>
      <c r="D82" s="358" t="str">
        <f ca="1">IF(ISERROR(OFFSET('HARGA SATUAN'!$D$6,MATCH(RAB!C82,'HARGA SATUAN'!$C$7:$C$1492,0),0)),"",OFFSET('HARGA SATUAN'!$D$6,MATCH(RAB!C82,'HARGA SATUAN'!$C$7:$C$1492,0),0))</f>
        <v>HDW</v>
      </c>
      <c r="E82" s="359" t="str">
        <f ca="1">IF(B82="+","Unit",IF(ISERROR(OFFSET('HARGA SATUAN'!$E$6,MATCH(RAB!C82,'HARGA SATUAN'!$C$7:$C$1492,0),0)),"",OFFSET('HARGA SATUAN'!$E$6,MATCH(RAB!C82,'HARGA SATUAN'!$C$7:$C$1492,0),0)))</f>
        <v>Bh</v>
      </c>
      <c r="F82" s="484">
        <f>F81*1</f>
        <v>1</v>
      </c>
      <c r="G82" s="360">
        <f ca="1">IF(ISERROR(OFFSET('HARGA SATUAN'!$I$6,MATCH(RAB!C82,'HARGA SATUAN'!$C$7:$C$1492,0),0)),0,OFFSET('HARGA SATUAN'!$I$6,MATCH(RAB!C82,'HARGA SATUAN'!$C$7:$C$1492,0),0))</f>
        <v>120900</v>
      </c>
      <c r="H82" s="361">
        <f t="shared" ca="1" si="28"/>
        <v>0</v>
      </c>
      <c r="I82" s="361">
        <f t="shared" ca="1" si="29"/>
        <v>120900</v>
      </c>
      <c r="J82" s="361">
        <f t="shared" ca="1" si="30"/>
        <v>0</v>
      </c>
      <c r="K82" s="362">
        <f t="shared" ca="1" si="31"/>
        <v>120900</v>
      </c>
      <c r="L82" s="342"/>
      <c r="M82" s="342"/>
      <c r="N82" s="369"/>
      <c r="O82" s="344"/>
      <c r="P82" s="344"/>
      <c r="Q82" s="398"/>
      <c r="R82" s="344"/>
      <c r="S82" s="398"/>
      <c r="T82" s="399"/>
      <c r="U82" s="399"/>
      <c r="V82" s="399"/>
    </row>
    <row r="83" spans="1:22" s="365" customFormat="1">
      <c r="A83" s="336"/>
      <c r="B83" s="508">
        <v>2</v>
      </c>
      <c r="C83" s="511" t="s">
        <v>261</v>
      </c>
      <c r="D83" s="358" t="str">
        <f ca="1">IF(ISERROR(OFFSET('HARGA SATUAN'!$D$6,MATCH(RAB!C83,'HARGA SATUAN'!$C$7:$C$1492,0),0)),"",OFFSET('HARGA SATUAN'!$D$6,MATCH(RAB!C83,'HARGA SATUAN'!$C$7:$C$1492,0),0))</f>
        <v>HDW</v>
      </c>
      <c r="E83" s="359" t="str">
        <f ca="1">IF(B83="+","Unit",IF(ISERROR(OFFSET('HARGA SATUAN'!$E$6,MATCH(RAB!C83,'HARGA SATUAN'!$C$7:$C$1492,0),0)),"",OFFSET('HARGA SATUAN'!$E$6,MATCH(RAB!C83,'HARGA SATUAN'!$C$7:$C$1492,0),0)))</f>
        <v>Bh</v>
      </c>
      <c r="F83" s="484">
        <f>F81*1</f>
        <v>1</v>
      </c>
      <c r="G83" s="360">
        <f ca="1">IF(ISERROR(OFFSET('HARGA SATUAN'!$I$6,MATCH(RAB!C83,'HARGA SATUAN'!$C$7:$C$1492,0),0)),0,OFFSET('HARGA SATUAN'!$I$6,MATCH(RAB!C83,'HARGA SATUAN'!$C$7:$C$1492,0),0))</f>
        <v>135800</v>
      </c>
      <c r="H83" s="361">
        <f t="shared" ca="1" si="28"/>
        <v>0</v>
      </c>
      <c r="I83" s="361">
        <f t="shared" ca="1" si="29"/>
        <v>135800</v>
      </c>
      <c r="J83" s="361">
        <f t="shared" ca="1" si="30"/>
        <v>0</v>
      </c>
      <c r="K83" s="362">
        <f t="shared" ca="1" si="31"/>
        <v>135800</v>
      </c>
      <c r="L83" s="342"/>
      <c r="M83" s="342"/>
      <c r="N83" s="369"/>
      <c r="O83" s="344"/>
      <c r="P83" s="344"/>
      <c r="Q83" s="398"/>
      <c r="R83" s="344"/>
      <c r="S83" s="398"/>
      <c r="T83" s="399"/>
      <c r="U83" s="399"/>
      <c r="V83" s="399"/>
    </row>
    <row r="84" spans="1:22" s="365" customFormat="1">
      <c r="A84" s="336"/>
      <c r="B84" s="508">
        <v>3</v>
      </c>
      <c r="C84" s="506" t="s">
        <v>214</v>
      </c>
      <c r="D84" s="358" t="str">
        <f ca="1">IF(ISERROR(OFFSET('HARGA SATUAN'!$D$6,MATCH(RAB!C84,'HARGA SATUAN'!$C$7:$C$1492,0),0)),"",OFFSET('HARGA SATUAN'!$D$6,MATCH(RAB!C84,'HARGA SATUAN'!$C$7:$C$1492,0),0))</f>
        <v>HDW</v>
      </c>
      <c r="E84" s="359" t="str">
        <f ca="1">IF(B84="+","Unit",IF(ISERROR(OFFSET('HARGA SATUAN'!$E$6,MATCH(RAB!C84,'HARGA SATUAN'!$C$7:$C$1492,0),0)),"",OFFSET('HARGA SATUAN'!$E$6,MATCH(RAB!C84,'HARGA SATUAN'!$C$7:$C$1492,0),0)))</f>
        <v>Bh</v>
      </c>
      <c r="F84" s="503">
        <f>F81*1</f>
        <v>1</v>
      </c>
      <c r="G84" s="360">
        <f ca="1">IF(ISERROR(OFFSET('HARGA SATUAN'!$I$6,MATCH(RAB!C84,'HARGA SATUAN'!$C$7:$C$1492,0),0)),0,OFFSET('HARGA SATUAN'!$I$6,MATCH(RAB!C84,'HARGA SATUAN'!$C$7:$C$1492,0),0))</f>
        <v>4500</v>
      </c>
      <c r="H84" s="361">
        <f t="shared" ca="1" si="28"/>
        <v>0</v>
      </c>
      <c r="I84" s="361">
        <f t="shared" ca="1" si="29"/>
        <v>4500</v>
      </c>
      <c r="J84" s="361">
        <f t="shared" ca="1" si="30"/>
        <v>0</v>
      </c>
      <c r="K84" s="362">
        <f t="shared" ca="1" si="31"/>
        <v>4500</v>
      </c>
      <c r="L84" s="342"/>
      <c r="M84" s="342"/>
      <c r="N84" s="369"/>
      <c r="O84" s="344"/>
      <c r="P84" s="344"/>
      <c r="Q84" s="398"/>
      <c r="R84" s="344"/>
      <c r="S84" s="398"/>
      <c r="T84" s="399"/>
      <c r="U84" s="399"/>
      <c r="V84" s="399"/>
    </row>
    <row r="85" spans="1:22" s="365" customFormat="1">
      <c r="A85" s="336"/>
      <c r="B85" s="504">
        <v>4</v>
      </c>
      <c r="C85" s="505" t="s">
        <v>768</v>
      </c>
      <c r="D85" s="358" t="str">
        <f ca="1">IF(ISERROR(OFFSET('HARGA SATUAN'!$D$6,MATCH(RAB!C85,'HARGA SATUAN'!$C$7:$C$1492,0),0)),"",OFFSET('HARGA SATUAN'!$D$6,MATCH(RAB!C85,'HARGA SATUAN'!$C$7:$C$1492,0),0))</f>
        <v>JASA</v>
      </c>
      <c r="E85" s="359" t="str">
        <f ca="1">IF(B85="+","Unit",IF(ISERROR(OFFSET('HARGA SATUAN'!$E$6,MATCH(RAB!C85,'HARGA SATUAN'!$C$7:$C$1492,0),0)),"",OFFSET('HARGA SATUAN'!$E$6,MATCH(RAB!C85,'HARGA SATUAN'!$C$7:$C$1492,0),0)))</f>
        <v>Unit</v>
      </c>
      <c r="F85" s="484">
        <f>F81*1</f>
        <v>1</v>
      </c>
      <c r="G85" s="360">
        <f ca="1">IF(ISERROR(OFFSET('HARGA SATUAN'!$I$6,MATCH(RAB!C85,'HARGA SATUAN'!$C$7:$C$1492,0),0)),0,OFFSET('HARGA SATUAN'!$I$6,MATCH(RAB!C85,'HARGA SATUAN'!$C$7:$C$1492,0),0))</f>
        <v>55500</v>
      </c>
      <c r="H85" s="361">
        <f t="shared" ca="1" si="28"/>
        <v>0</v>
      </c>
      <c r="I85" s="361">
        <f t="shared" ca="1" si="29"/>
        <v>0</v>
      </c>
      <c r="J85" s="361">
        <f t="shared" ca="1" si="30"/>
        <v>55500</v>
      </c>
      <c r="K85" s="362">
        <f t="shared" ca="1" si="31"/>
        <v>55500</v>
      </c>
      <c r="L85" s="342"/>
      <c r="M85" s="342"/>
      <c r="N85" s="369"/>
      <c r="O85" s="344"/>
      <c r="P85" s="344"/>
      <c r="Q85" s="398"/>
      <c r="R85" s="344"/>
      <c r="S85" s="398"/>
      <c r="T85" s="399"/>
      <c r="U85" s="399"/>
      <c r="V85" s="399"/>
    </row>
    <row r="86" spans="1:22" s="365" customFormat="1">
      <c r="A86" s="336"/>
      <c r="B86" s="504"/>
      <c r="C86" s="505"/>
      <c r="D86" s="358"/>
      <c r="E86" s="359"/>
      <c r="F86" s="484"/>
      <c r="G86" s="360"/>
      <c r="H86" s="361"/>
      <c r="I86" s="361"/>
      <c r="J86" s="361"/>
      <c r="K86" s="362"/>
      <c r="L86" s="342"/>
      <c r="M86" s="342"/>
      <c r="N86" s="369"/>
      <c r="O86" s="344"/>
      <c r="P86" s="344"/>
      <c r="Q86" s="398"/>
      <c r="R86" s="344"/>
      <c r="S86" s="398"/>
      <c r="T86" s="399"/>
      <c r="U86" s="399"/>
      <c r="V86" s="399"/>
    </row>
    <row r="87" spans="1:22" s="365" customFormat="1">
      <c r="A87" s="336"/>
      <c r="B87" s="504" t="s">
        <v>1035</v>
      </c>
      <c r="C87" s="505" t="s">
        <v>1633</v>
      </c>
      <c r="D87" s="358" t="str">
        <f ca="1">IF(ISERROR(OFFSET('HARGA SATUAN'!$D$6,MATCH(RAB!C87,'HARGA SATUAN'!$C$7:$C$1492,0),0)),"",OFFSET('HARGA SATUAN'!$D$6,MATCH(RAB!C87,'HARGA SATUAN'!$C$7:$C$1492,0),0))</f>
        <v/>
      </c>
      <c r="E87" s="359" t="str">
        <f ca="1">IF(B87="+","Unit",IF(ISERROR(OFFSET('HARGA SATUAN'!$E$6,MATCH(RAB!C87,'HARGA SATUAN'!$C$7:$C$1492,0),0)),"",OFFSET('HARGA SATUAN'!$E$6,MATCH(RAB!C87,'HARGA SATUAN'!$C$7:$C$1492,0),0)))</f>
        <v>Unit</v>
      </c>
      <c r="F87" s="484">
        <v>1</v>
      </c>
      <c r="G87" s="360">
        <f ca="1">IF(ISERROR(OFFSET('HARGA SATUAN'!$I$6,MATCH(RAB!C87,'HARGA SATUAN'!$C$7:$C$1492,0),0)),0,OFFSET('HARGA SATUAN'!$I$6,MATCH(RAB!C87,'HARGA SATUAN'!$C$7:$C$1492,0),0))</f>
        <v>0</v>
      </c>
      <c r="H87" s="361">
        <f t="shared" ca="1" si="28"/>
        <v>0</v>
      </c>
      <c r="I87" s="361">
        <f t="shared" ca="1" si="29"/>
        <v>0</v>
      </c>
      <c r="J87" s="361">
        <f t="shared" ca="1" si="30"/>
        <v>0</v>
      </c>
      <c r="K87" s="362">
        <f t="shared" ca="1" si="31"/>
        <v>0</v>
      </c>
      <c r="L87" s="342"/>
      <c r="M87" s="342"/>
      <c r="N87" s="369"/>
      <c r="O87" s="344"/>
      <c r="P87" s="344"/>
      <c r="Q87" s="398"/>
      <c r="R87" s="344"/>
      <c r="S87" s="398"/>
      <c r="T87" s="399"/>
      <c r="U87" s="399"/>
      <c r="V87" s="399"/>
    </row>
    <row r="88" spans="1:22" s="365" customFormat="1">
      <c r="A88" s="336"/>
      <c r="B88" s="504">
        <v>1</v>
      </c>
      <c r="C88" s="505" t="s">
        <v>30</v>
      </c>
      <c r="D88" s="358" t="str">
        <f ca="1">IF(ISERROR(OFFSET('HARGA SATUAN'!$D$6,MATCH(RAB!C88,'HARGA SATUAN'!$C$7:$C$1492,0),0)),"",OFFSET('HARGA SATUAN'!$D$6,MATCH(RAB!C88,'HARGA SATUAN'!$C$7:$C$1492,0),0))</f>
        <v>HDW</v>
      </c>
      <c r="E88" s="359" t="str">
        <f ca="1">IF(B88="+","Unit",IF(ISERROR(OFFSET('HARGA SATUAN'!$E$6,MATCH(RAB!C88,'HARGA SATUAN'!$C$7:$C$1492,0),0)),"",OFFSET('HARGA SATUAN'!$E$6,MATCH(RAB!C88,'HARGA SATUAN'!$C$7:$C$1492,0),0)))</f>
        <v>Bh</v>
      </c>
      <c r="F88" s="484">
        <f>F87*1</f>
        <v>1</v>
      </c>
      <c r="G88" s="360">
        <f ca="1">IF(ISERROR(OFFSET('HARGA SATUAN'!$I$6,MATCH(RAB!C88,'HARGA SATUAN'!$C$7:$C$1492,0),0)),0,OFFSET('HARGA SATUAN'!$I$6,MATCH(RAB!C88,'HARGA SATUAN'!$C$7:$C$1492,0),0))</f>
        <v>47459</v>
      </c>
      <c r="H88" s="361">
        <f t="shared" ca="1" si="28"/>
        <v>0</v>
      </c>
      <c r="I88" s="361">
        <f t="shared" ca="1" si="29"/>
        <v>47459</v>
      </c>
      <c r="J88" s="361">
        <f t="shared" ca="1" si="30"/>
        <v>0</v>
      </c>
      <c r="K88" s="362">
        <f t="shared" ca="1" si="31"/>
        <v>47459</v>
      </c>
      <c r="L88" s="342"/>
      <c r="M88" s="342"/>
      <c r="N88" s="369"/>
      <c r="O88" s="344"/>
      <c r="P88" s="344"/>
      <c r="Q88" s="398"/>
      <c r="R88" s="344"/>
      <c r="S88" s="398"/>
      <c r="T88" s="399"/>
      <c r="U88" s="399"/>
      <c r="V88" s="399"/>
    </row>
    <row r="89" spans="1:22" s="365" customFormat="1">
      <c r="A89" s="336"/>
      <c r="B89" s="504">
        <v>2</v>
      </c>
      <c r="C89" s="505" t="s">
        <v>32</v>
      </c>
      <c r="D89" s="358" t="str">
        <f ca="1">IF(ISERROR(OFFSET('HARGA SATUAN'!$D$6,MATCH(RAB!C89,'HARGA SATUAN'!$C$7:$C$1492,0),0)),"",OFFSET('HARGA SATUAN'!$D$6,MATCH(RAB!C89,'HARGA SATUAN'!$C$7:$C$1492,0),0))</f>
        <v>HDW</v>
      </c>
      <c r="E89" s="359" t="str">
        <f ca="1">IF(B89="+","Unit",IF(ISERROR(OFFSET('HARGA SATUAN'!$E$6,MATCH(RAB!C89,'HARGA SATUAN'!$C$7:$C$1492,0),0)),"",OFFSET('HARGA SATUAN'!$E$6,MATCH(RAB!C89,'HARGA SATUAN'!$C$7:$C$1492,0),0)))</f>
        <v>Mtr</v>
      </c>
      <c r="F89" s="484">
        <f>F87*1</f>
        <v>1</v>
      </c>
      <c r="G89" s="360">
        <f ca="1">IF(ISERROR(OFFSET('HARGA SATUAN'!$I$6,MATCH(RAB!C89,'HARGA SATUAN'!$C$7:$C$1492,0),0)),0,OFFSET('HARGA SATUAN'!$I$6,MATCH(RAB!C89,'HARGA SATUAN'!$C$7:$C$1492,0),0))</f>
        <v>30000</v>
      </c>
      <c r="H89" s="361">
        <f t="shared" ca="1" si="28"/>
        <v>0</v>
      </c>
      <c r="I89" s="361">
        <f t="shared" ca="1" si="29"/>
        <v>30000</v>
      </c>
      <c r="J89" s="361">
        <f t="shared" ca="1" si="30"/>
        <v>0</v>
      </c>
      <c r="K89" s="362">
        <f t="shared" ca="1" si="31"/>
        <v>30000</v>
      </c>
      <c r="L89" s="342"/>
      <c r="M89" s="342"/>
      <c r="N89" s="369"/>
      <c r="O89" s="344"/>
      <c r="P89" s="344"/>
      <c r="Q89" s="398"/>
      <c r="R89" s="344"/>
      <c r="S89" s="398"/>
      <c r="T89" s="399"/>
      <c r="U89" s="399"/>
      <c r="V89" s="399"/>
    </row>
    <row r="90" spans="1:22" s="365" customFormat="1">
      <c r="A90" s="336"/>
      <c r="B90" s="504">
        <v>3</v>
      </c>
      <c r="C90" s="505" t="s">
        <v>33</v>
      </c>
      <c r="D90" s="358" t="str">
        <f ca="1">IF(ISERROR(OFFSET('HARGA SATUAN'!$D$6,MATCH(RAB!C90,'HARGA SATUAN'!$C$7:$C$1492,0),0)),"",OFFSET('HARGA SATUAN'!$D$6,MATCH(RAB!C90,'HARGA SATUAN'!$C$7:$C$1492,0),0))</f>
        <v>HDW</v>
      </c>
      <c r="E90" s="359" t="str">
        <f ca="1">IF(B90="+","Unit",IF(ISERROR(OFFSET('HARGA SATUAN'!$E$6,MATCH(RAB!C90,'HARGA SATUAN'!$C$7:$C$1492,0),0)),"",OFFSET('HARGA SATUAN'!$E$6,MATCH(RAB!C90,'HARGA SATUAN'!$C$7:$C$1492,0),0)))</f>
        <v>Bh</v>
      </c>
      <c r="F90" s="484">
        <f>F87*1</f>
        <v>1</v>
      </c>
      <c r="G90" s="360">
        <f ca="1">IF(ISERROR(OFFSET('HARGA SATUAN'!$I$6,MATCH(RAB!C90,'HARGA SATUAN'!$C$7:$C$1492,0),0)),0,OFFSET('HARGA SATUAN'!$I$6,MATCH(RAB!C90,'HARGA SATUAN'!$C$7:$C$1492,0),0))</f>
        <v>9500</v>
      </c>
      <c r="H90" s="361">
        <f t="shared" ca="1" si="28"/>
        <v>0</v>
      </c>
      <c r="I90" s="361">
        <f t="shared" ca="1" si="29"/>
        <v>9500</v>
      </c>
      <c r="J90" s="361">
        <f t="shared" ca="1" si="30"/>
        <v>0</v>
      </c>
      <c r="K90" s="362">
        <f t="shared" ca="1" si="31"/>
        <v>9500</v>
      </c>
      <c r="L90" s="342"/>
      <c r="M90" s="342"/>
      <c r="N90" s="369"/>
      <c r="O90" s="344"/>
      <c r="P90" s="344"/>
      <c r="Q90" s="398"/>
      <c r="R90" s="344"/>
      <c r="S90" s="398"/>
      <c r="T90" s="399"/>
      <c r="U90" s="399"/>
      <c r="V90" s="399"/>
    </row>
    <row r="91" spans="1:22" s="365" customFormat="1">
      <c r="A91" s="336"/>
      <c r="B91" s="504">
        <v>4</v>
      </c>
      <c r="C91" s="505" t="s">
        <v>738</v>
      </c>
      <c r="D91" s="358" t="str">
        <f ca="1">IF(ISERROR(OFFSET('HARGA SATUAN'!$D$6,MATCH(RAB!C91,'HARGA SATUAN'!$C$7:$C$1492,0),0)),"",OFFSET('HARGA SATUAN'!$D$6,MATCH(RAB!C91,'HARGA SATUAN'!$C$7:$C$1492,0),0))</f>
        <v>JASA</v>
      </c>
      <c r="E91" s="359" t="str">
        <f ca="1">IF(B91="+","Unit",IF(ISERROR(OFFSET('HARGA SATUAN'!$E$6,MATCH(RAB!C91,'HARGA SATUAN'!$C$7:$C$1492,0),0)),"",OFFSET('HARGA SATUAN'!$E$6,MATCH(RAB!C91,'HARGA SATUAN'!$C$7:$C$1492,0),0)))</f>
        <v>Unit</v>
      </c>
      <c r="F91" s="484">
        <f>F87*1</f>
        <v>1</v>
      </c>
      <c r="G91" s="360">
        <f ca="1">IF(ISERROR(OFFSET('HARGA SATUAN'!$I$6,MATCH(RAB!C91,'HARGA SATUAN'!$C$7:$C$1492,0),0)),0,OFFSET('HARGA SATUAN'!$I$6,MATCH(RAB!C91,'HARGA SATUAN'!$C$7:$C$1492,0),0))</f>
        <v>21200</v>
      </c>
      <c r="H91" s="361">
        <f t="shared" ca="1" si="28"/>
        <v>0</v>
      </c>
      <c r="I91" s="361">
        <f t="shared" ca="1" si="29"/>
        <v>0</v>
      </c>
      <c r="J91" s="361">
        <f t="shared" ca="1" si="30"/>
        <v>21200</v>
      </c>
      <c r="K91" s="362">
        <f t="shared" ca="1" si="31"/>
        <v>21200</v>
      </c>
      <c r="L91" s="342"/>
      <c r="M91" s="342"/>
      <c r="N91" s="369"/>
      <c r="O91" s="344"/>
      <c r="P91" s="344"/>
      <c r="Q91" s="398"/>
      <c r="R91" s="344"/>
      <c r="S91" s="398"/>
      <c r="T91" s="399"/>
      <c r="U91" s="399"/>
      <c r="V91" s="399"/>
    </row>
    <row r="92" spans="1:22" s="365" customFormat="1">
      <c r="A92" s="336"/>
      <c r="B92" s="504"/>
      <c r="C92" s="505"/>
      <c r="D92" s="358"/>
      <c r="E92" s="359"/>
      <c r="F92" s="484"/>
      <c r="G92" s="360"/>
      <c r="H92" s="361"/>
      <c r="I92" s="361"/>
      <c r="J92" s="361"/>
      <c r="K92" s="362"/>
      <c r="L92" s="342"/>
      <c r="M92" s="342"/>
      <c r="N92" s="369"/>
      <c r="O92" s="344"/>
      <c r="P92" s="344"/>
      <c r="Q92" s="398"/>
      <c r="R92" s="344"/>
      <c r="S92" s="398"/>
      <c r="T92" s="399"/>
      <c r="U92" s="399"/>
      <c r="V92" s="399"/>
    </row>
    <row r="93" spans="1:22" s="365" customFormat="1">
      <c r="A93" s="336"/>
      <c r="B93" s="373" t="s">
        <v>1549</v>
      </c>
      <c r="C93" s="374" t="s">
        <v>1615</v>
      </c>
      <c r="D93" s="358" t="str">
        <f ca="1">IF(ISERROR(OFFSET('HARGA SATUAN'!$D$6,MATCH(RAB!C93,'HARGA SATUAN'!$C$7:$C$1492,0),0)),"",OFFSET('HARGA SATUAN'!$D$6,MATCH(RAB!C93,'HARGA SATUAN'!$C$7:$C$1492,0),0))</f>
        <v/>
      </c>
      <c r="E93" s="359" t="str">
        <f ca="1">IF(B93="+","Unit",IF(ISERROR(OFFSET('HARGA SATUAN'!$E$6,MATCH(RAB!C93,'HARGA SATUAN'!$C$7:$C$1492,0),0)),"",OFFSET('HARGA SATUAN'!$E$6,MATCH(RAB!C93,'HARGA SATUAN'!$C$7:$C$1492,0),0)))</f>
        <v/>
      </c>
      <c r="F93" s="484"/>
      <c r="G93" s="360">
        <f ca="1">IF(ISERROR(OFFSET('HARGA SATUAN'!$I$6,MATCH(RAB!C93,'HARGA SATUAN'!$C$7:$C$1492,0),0)),0,OFFSET('HARGA SATUAN'!$I$6,MATCH(RAB!C93,'HARGA SATUAN'!$C$7:$C$1492,0),0))</f>
        <v>0</v>
      </c>
      <c r="H93" s="361">
        <f t="shared" ca="1" si="28"/>
        <v>0</v>
      </c>
      <c r="I93" s="361">
        <f t="shared" ca="1" si="29"/>
        <v>0</v>
      </c>
      <c r="J93" s="361">
        <f t="shared" ca="1" si="30"/>
        <v>0</v>
      </c>
      <c r="K93" s="362">
        <f t="shared" ca="1" si="31"/>
        <v>0</v>
      </c>
      <c r="L93" s="342"/>
      <c r="M93" s="342"/>
      <c r="N93" s="369"/>
      <c r="O93" s="344"/>
      <c r="P93" s="344"/>
      <c r="Q93" s="398"/>
      <c r="R93" s="344"/>
      <c r="S93" s="398"/>
      <c r="T93" s="399"/>
      <c r="U93" s="399"/>
      <c r="V93" s="399"/>
    </row>
    <row r="94" spans="1:22" s="365" customFormat="1">
      <c r="A94" s="336"/>
      <c r="B94" s="373"/>
      <c r="C94" s="374"/>
      <c r="D94" s="358" t="str">
        <f ca="1">IF(ISERROR(OFFSET('HARGA SATUAN'!$D$6,MATCH(RAB!C94,'HARGA SATUAN'!$C$7:$C$1492,0),0)),"",OFFSET('HARGA SATUAN'!$D$6,MATCH(RAB!C94,'HARGA SATUAN'!$C$7:$C$1492,0),0))</f>
        <v/>
      </c>
      <c r="E94" s="359" t="str">
        <f ca="1">IF(B94="+","Unit",IF(ISERROR(OFFSET('HARGA SATUAN'!$E$6,MATCH(RAB!C94,'HARGA SATUAN'!$C$7:$C$1492,0),0)),"",OFFSET('HARGA SATUAN'!$E$6,MATCH(RAB!C94,'HARGA SATUAN'!$C$7:$C$1492,0),0)))</f>
        <v/>
      </c>
      <c r="F94" s="484"/>
      <c r="G94" s="360">
        <f ca="1">IF(ISERROR(OFFSET('HARGA SATUAN'!$I$6,MATCH(RAB!C94,'HARGA SATUAN'!$C$7:$C$1492,0),0)),0,OFFSET('HARGA SATUAN'!$I$6,MATCH(RAB!C94,'HARGA SATUAN'!$C$7:$C$1492,0),0))</f>
        <v>0</v>
      </c>
      <c r="H94" s="361">
        <f t="shared" ca="1" si="28"/>
        <v>0</v>
      </c>
      <c r="I94" s="361">
        <f t="shared" ca="1" si="29"/>
        <v>0</v>
      </c>
      <c r="J94" s="361">
        <f t="shared" ca="1" si="30"/>
        <v>0</v>
      </c>
      <c r="K94" s="362">
        <f t="shared" ca="1" si="31"/>
        <v>0</v>
      </c>
      <c r="L94" s="342"/>
      <c r="M94" s="342"/>
      <c r="N94" s="369"/>
      <c r="O94" s="344"/>
      <c r="P94" s="344"/>
      <c r="Q94" s="398"/>
      <c r="R94" s="344"/>
      <c r="S94" s="398"/>
      <c r="T94" s="399"/>
      <c r="U94" s="399"/>
      <c r="V94" s="399"/>
    </row>
    <row r="95" spans="1:22" s="365" customFormat="1">
      <c r="A95" s="336"/>
      <c r="B95" s="515" t="s">
        <v>1035</v>
      </c>
      <c r="C95" s="516" t="s">
        <v>1634</v>
      </c>
      <c r="D95" s="358" t="str">
        <f ca="1">IF(ISERROR(OFFSET('HARGA SATUAN'!$D$6,MATCH(RAB!C95,'HARGA SATUAN'!$C$7:$C$1492,0),0)),"",OFFSET('HARGA SATUAN'!$D$6,MATCH(RAB!C95,'HARGA SATUAN'!$C$7:$C$1492,0),0))</f>
        <v/>
      </c>
      <c r="E95" s="359" t="str">
        <f ca="1">IF(B95="+","Unit",IF(ISERROR(OFFSET('HARGA SATUAN'!$E$6,MATCH(RAB!C95,'HARGA SATUAN'!$C$7:$C$1492,0),0)),"",OFFSET('HARGA SATUAN'!$E$6,MATCH(RAB!C95,'HARGA SATUAN'!$C$7:$C$1492,0),0)))</f>
        <v>Unit</v>
      </c>
      <c r="F95" s="484">
        <v>1</v>
      </c>
      <c r="G95" s="360">
        <f ca="1">IF(ISERROR(OFFSET('HARGA SATUAN'!$I$6,MATCH(RAB!C95,'HARGA SATUAN'!$C$7:$C$1492,0),0)),0,OFFSET('HARGA SATUAN'!$I$6,MATCH(RAB!C95,'HARGA SATUAN'!$C$7:$C$1492,0),0))</f>
        <v>0</v>
      </c>
      <c r="H95" s="361">
        <f t="shared" ref="H95:H153" ca="1" si="32">IF(OR(D95="MDU",D95="MDU-KD"),(IF($O$3="RAB NON MDU","PLN KD",G95*F95)),0)</f>
        <v>0</v>
      </c>
      <c r="I95" s="361">
        <f t="shared" ref="I95:I153" ca="1" si="33">IF(D95="HDW",G95*F95,0)</f>
        <v>0</v>
      </c>
      <c r="J95" s="361">
        <f t="shared" ref="J95:J153" ca="1" si="34">IF(D95="JASA",G95*F95,0)</f>
        <v>0</v>
      </c>
      <c r="K95" s="362">
        <f t="shared" ref="K95:K153" ca="1" si="35">SUM(H95:J95)</f>
        <v>0</v>
      </c>
      <c r="L95" s="342"/>
      <c r="M95" s="342"/>
      <c r="N95" s="369"/>
      <c r="O95" s="344"/>
      <c r="P95" s="344"/>
      <c r="Q95" s="344"/>
      <c r="R95" s="344"/>
      <c r="S95" s="344"/>
      <c r="T95" s="403"/>
      <c r="U95" s="403"/>
      <c r="V95" s="403"/>
    </row>
    <row r="96" spans="1:22" s="365" customFormat="1">
      <c r="A96" s="336"/>
      <c r="B96" s="515">
        <v>1</v>
      </c>
      <c r="C96" s="109" t="s">
        <v>1147</v>
      </c>
      <c r="D96" s="358" t="str">
        <f ca="1">IF(ISERROR(OFFSET('HARGA SATUAN'!$D$6,MATCH(RAB!C96,'HARGA SATUAN'!$C$7:$C$1492,0),0)),"",OFFSET('HARGA SATUAN'!$D$6,MATCH(RAB!C96,'HARGA SATUAN'!$C$7:$C$1492,0),0))</f>
        <v>MDU-KD</v>
      </c>
      <c r="E96" s="359" t="str">
        <f ca="1">IF(B96="+","Unit",IF(ISERROR(OFFSET('HARGA SATUAN'!$E$6,MATCH(RAB!C96,'HARGA SATUAN'!$C$7:$C$1492,0),0)),"",OFFSET('HARGA SATUAN'!$E$6,MATCH(RAB!C96,'HARGA SATUAN'!$C$7:$C$1492,0),0)))</f>
        <v>Bh</v>
      </c>
      <c r="F96" s="484">
        <f>F95*1</f>
        <v>1</v>
      </c>
      <c r="G96" s="360">
        <f ca="1">IF(ISERROR(OFFSET('HARGA SATUAN'!$I$6,MATCH(RAB!C96,'HARGA SATUAN'!$C$7:$C$1492,0),0)),0,OFFSET('HARGA SATUAN'!$I$6,MATCH(RAB!C96,'HARGA SATUAN'!$C$7:$C$1492,0),0))</f>
        <v>56838600</v>
      </c>
      <c r="H96" s="361">
        <f t="shared" ca="1" si="32"/>
        <v>56838600</v>
      </c>
      <c r="I96" s="361">
        <f t="shared" ca="1" si="33"/>
        <v>0</v>
      </c>
      <c r="J96" s="361">
        <f t="shared" ca="1" si="34"/>
        <v>0</v>
      </c>
      <c r="K96" s="362">
        <f t="shared" ca="1" si="35"/>
        <v>56838600</v>
      </c>
      <c r="L96" s="342"/>
      <c r="M96" s="342"/>
      <c r="N96" s="369"/>
      <c r="O96" s="344"/>
      <c r="P96" s="344"/>
      <c r="Q96" s="344"/>
      <c r="R96" s="344"/>
      <c r="S96" s="344"/>
      <c r="T96" s="399"/>
      <c r="U96" s="399"/>
      <c r="V96" s="399"/>
    </row>
    <row r="97" spans="1:22" s="365" customFormat="1">
      <c r="A97" s="336"/>
      <c r="B97" s="508">
        <v>2</v>
      </c>
      <c r="C97" s="509" t="s">
        <v>1624</v>
      </c>
      <c r="D97" s="358" t="str">
        <f ca="1">IF(ISERROR(OFFSET('HARGA SATUAN'!$D$6,MATCH(RAB!C97,'HARGA SATUAN'!$C$7:$C$1492,0),0)),"",OFFSET('HARGA SATUAN'!$D$6,MATCH(RAB!C97,'HARGA SATUAN'!$C$7:$C$1492,0),0))</f>
        <v/>
      </c>
      <c r="E97" s="359" t="str">
        <f ca="1">IF(B97="+","Unit",IF(ISERROR(OFFSET('HARGA SATUAN'!$E$6,MATCH(RAB!C97,'HARGA SATUAN'!$C$7:$C$1492,0),0)),"",OFFSET('HARGA SATUAN'!$E$6,MATCH(RAB!C97,'HARGA SATUAN'!$C$7:$C$1492,0),0)))</f>
        <v/>
      </c>
      <c r="F97" s="510"/>
      <c r="G97" s="360">
        <f ca="1">IF(ISERROR(OFFSET('HARGA SATUAN'!$I$6,MATCH(RAB!C97,'HARGA SATUAN'!$C$7:$C$1492,0),0)),0,OFFSET('HARGA SATUAN'!$I$6,MATCH(RAB!C97,'HARGA SATUAN'!$C$7:$C$1492,0),0))</f>
        <v>0</v>
      </c>
      <c r="H97" s="361">
        <f t="shared" ca="1" si="32"/>
        <v>0</v>
      </c>
      <c r="I97" s="361">
        <f t="shared" ca="1" si="33"/>
        <v>0</v>
      </c>
      <c r="J97" s="361">
        <f t="shared" ca="1" si="34"/>
        <v>0</v>
      </c>
      <c r="K97" s="362">
        <f t="shared" ca="1" si="35"/>
        <v>0</v>
      </c>
      <c r="L97" s="342"/>
      <c r="M97" s="342"/>
      <c r="N97" s="369"/>
      <c r="O97" s="344"/>
      <c r="P97" s="344"/>
      <c r="Q97" s="344"/>
      <c r="R97" s="344"/>
      <c r="S97" s="344"/>
      <c r="T97" s="399"/>
      <c r="U97" s="399"/>
      <c r="V97" s="399"/>
    </row>
    <row r="98" spans="1:22" s="365" customFormat="1">
      <c r="A98" s="336"/>
      <c r="B98" s="515"/>
      <c r="C98" s="509" t="s">
        <v>65</v>
      </c>
      <c r="D98" s="358" t="str">
        <f ca="1">IF(ISERROR(OFFSET('HARGA SATUAN'!$D$6,MATCH(RAB!C98,'HARGA SATUAN'!$C$7:$C$1492,0),0)),"",OFFSET('HARGA SATUAN'!$D$6,MATCH(RAB!C98,'HARGA SATUAN'!$C$7:$C$1492,0),0))</f>
        <v>MDU-KD</v>
      </c>
      <c r="E98" s="359" t="str">
        <f ca="1">IF(B98="+","Unit",IF(ISERROR(OFFSET('HARGA SATUAN'!$E$6,MATCH(RAB!C98,'HARGA SATUAN'!$C$7:$C$1492,0),0)),"",OFFSET('HARGA SATUAN'!$E$6,MATCH(RAB!C98,'HARGA SATUAN'!$C$7:$C$1492,0),0)))</f>
        <v>Mtr</v>
      </c>
      <c r="F98" s="484">
        <f>F95*(3*3)</f>
        <v>9</v>
      </c>
      <c r="G98" s="360">
        <f ca="1">IF(ISERROR(OFFSET('HARGA SATUAN'!$I$6,MATCH(RAB!C98,'HARGA SATUAN'!$C$7:$C$1492,0),0)),0,OFFSET('HARGA SATUAN'!$I$6,MATCH(RAB!C98,'HARGA SATUAN'!$C$7:$C$1492,0),0))</f>
        <v>14200</v>
      </c>
      <c r="H98" s="361">
        <f t="shared" ca="1" si="32"/>
        <v>127800</v>
      </c>
      <c r="I98" s="361">
        <f t="shared" ca="1" si="33"/>
        <v>0</v>
      </c>
      <c r="J98" s="361">
        <f t="shared" ca="1" si="34"/>
        <v>0</v>
      </c>
      <c r="K98" s="362">
        <f t="shared" ca="1" si="35"/>
        <v>127800</v>
      </c>
      <c r="L98" s="342"/>
      <c r="M98" s="342"/>
      <c r="N98" s="369"/>
      <c r="O98" s="344"/>
      <c r="P98" s="344"/>
      <c r="Q98" s="344"/>
      <c r="R98" s="344"/>
      <c r="S98" s="344"/>
      <c r="T98" s="403"/>
      <c r="U98" s="403"/>
      <c r="V98" s="403"/>
    </row>
    <row r="99" spans="1:22" s="365" customFormat="1">
      <c r="A99" s="336"/>
      <c r="B99" s="515"/>
      <c r="C99" s="109" t="s">
        <v>1402</v>
      </c>
      <c r="D99" s="358" t="str">
        <f ca="1">IF(ISERROR(OFFSET('HARGA SATUAN'!$D$6,MATCH(RAB!C99,'HARGA SATUAN'!$C$7:$C$1492,0),0)),"",OFFSET('HARGA SATUAN'!$D$6,MATCH(RAB!C99,'HARGA SATUAN'!$C$7:$C$1492,0),0))</f>
        <v>MDU-KD</v>
      </c>
      <c r="E99" s="359" t="str">
        <f ca="1">IF(B99="+","Unit",IF(ISERROR(OFFSET('HARGA SATUAN'!$E$6,MATCH(RAB!C99,'HARGA SATUAN'!$C$7:$C$1492,0),0)),"",OFFSET('HARGA SATUAN'!$E$6,MATCH(RAB!C99,'HARGA SATUAN'!$C$7:$C$1492,0),0)))</f>
        <v>Mtr</v>
      </c>
      <c r="F99" s="484">
        <f>F95*3</f>
        <v>3</v>
      </c>
      <c r="G99" s="360">
        <f ca="1">IF(ISERROR(OFFSET('HARGA SATUAN'!$I$6,MATCH(RAB!C99,'HARGA SATUAN'!$C$7:$C$1492,0),0)),0,OFFSET('HARGA SATUAN'!$I$6,MATCH(RAB!C99,'HARGA SATUAN'!$C$7:$C$1492,0),0))</f>
        <v>53300</v>
      </c>
      <c r="H99" s="361">
        <f t="shared" ca="1" si="32"/>
        <v>159900</v>
      </c>
      <c r="I99" s="361">
        <f t="shared" ca="1" si="33"/>
        <v>0</v>
      </c>
      <c r="J99" s="361">
        <f t="shared" ca="1" si="34"/>
        <v>0</v>
      </c>
      <c r="K99" s="362">
        <f t="shared" ca="1" si="35"/>
        <v>159900</v>
      </c>
      <c r="L99" s="406" t="e">
        <f ca="1">PROPER([94]!terbilang(K159))</f>
        <v>#NAME?</v>
      </c>
      <c r="M99" s="406"/>
      <c r="N99" s="369"/>
      <c r="O99" s="344"/>
      <c r="P99" s="344"/>
      <c r="Q99" s="344"/>
    </row>
    <row r="100" spans="1:22">
      <c r="B100" s="515">
        <v>3</v>
      </c>
      <c r="C100" s="109" t="s">
        <v>559</v>
      </c>
      <c r="D100" s="358" t="str">
        <f ca="1">IF(ISERROR(OFFSET('HARGA SATUAN'!$D$6,MATCH(RAB!C100,'HARGA SATUAN'!$C$7:$C$1492,0),0)),"",OFFSET('HARGA SATUAN'!$D$6,MATCH(RAB!C100,'HARGA SATUAN'!$C$7:$C$1492,0),0))</f>
        <v>MDU-KD</v>
      </c>
      <c r="E100" s="359" t="str">
        <f ca="1">IF(B100="+","Unit",IF(ISERROR(OFFSET('HARGA SATUAN'!$E$6,MATCH(RAB!C100,'HARGA SATUAN'!$C$7:$C$1492,0),0)),"",OFFSET('HARGA SATUAN'!$E$6,MATCH(RAB!C100,'HARGA SATUAN'!$C$7:$C$1492,0),0)))</f>
        <v>Bh</v>
      </c>
      <c r="F100" s="484">
        <f>F95*3</f>
        <v>3</v>
      </c>
      <c r="G100" s="360">
        <f ca="1">IF(ISERROR(OFFSET('HARGA SATUAN'!$I$6,MATCH(RAB!C100,'HARGA SATUAN'!$C$7:$C$1492,0),0)),0,OFFSET('HARGA SATUAN'!$I$6,MATCH(RAB!C100,'HARGA SATUAN'!$C$7:$C$1492,0),0))</f>
        <v>725900</v>
      </c>
      <c r="H100" s="361">
        <f t="shared" ca="1" si="32"/>
        <v>2177700</v>
      </c>
      <c r="I100" s="361">
        <f t="shared" ca="1" si="33"/>
        <v>0</v>
      </c>
      <c r="J100" s="361">
        <f t="shared" ca="1" si="34"/>
        <v>0</v>
      </c>
      <c r="K100" s="362">
        <f t="shared" ca="1" si="35"/>
        <v>2177700</v>
      </c>
    </row>
    <row r="101" spans="1:22">
      <c r="B101" s="515">
        <v>4</v>
      </c>
      <c r="C101" s="516" t="s">
        <v>535</v>
      </c>
      <c r="D101" s="358" t="str">
        <f ca="1">IF(ISERROR(OFFSET('HARGA SATUAN'!$D$6,MATCH(RAB!C101,'HARGA SATUAN'!$C$7:$C$1492,0),0)),"",OFFSET('HARGA SATUAN'!$D$6,MATCH(RAB!C101,'HARGA SATUAN'!$C$7:$C$1492,0),0))</f>
        <v>MDU-KD</v>
      </c>
      <c r="E101" s="359" t="str">
        <f ca="1">IF(B101="+","Unit",IF(ISERROR(OFFSET('HARGA SATUAN'!$E$6,MATCH(RAB!C101,'HARGA SATUAN'!$C$7:$C$1492,0),0)),"",OFFSET('HARGA SATUAN'!$E$6,MATCH(RAB!C101,'HARGA SATUAN'!$C$7:$C$1492,0),0)))</f>
        <v>Bh</v>
      </c>
      <c r="F101" s="484">
        <f>F95*3</f>
        <v>3</v>
      </c>
      <c r="G101" s="360">
        <f ca="1">IF(ISERROR(OFFSET('HARGA SATUAN'!$I$6,MATCH(RAB!C101,'HARGA SATUAN'!$C$7:$C$1492,0),0)),0,OFFSET('HARGA SATUAN'!$I$6,MATCH(RAB!C101,'HARGA SATUAN'!$C$7:$C$1492,0),0))</f>
        <v>848250</v>
      </c>
      <c r="H101" s="361">
        <f t="shared" ca="1" si="32"/>
        <v>2544750</v>
      </c>
      <c r="I101" s="361">
        <f t="shared" ca="1" si="33"/>
        <v>0</v>
      </c>
      <c r="J101" s="361">
        <f t="shared" ca="1" si="34"/>
        <v>0</v>
      </c>
      <c r="K101" s="362">
        <f t="shared" ca="1" si="35"/>
        <v>2544750</v>
      </c>
    </row>
    <row r="102" spans="1:22">
      <c r="B102" s="515">
        <v>5</v>
      </c>
      <c r="C102" s="516" t="s">
        <v>55</v>
      </c>
      <c r="D102" s="358" t="str">
        <f ca="1">IF(ISERROR(OFFSET('HARGA SATUAN'!$D$6,MATCH(RAB!C102,'HARGA SATUAN'!$C$7:$C$1492,0),0)),"",OFFSET('HARGA SATUAN'!$D$6,MATCH(RAB!C102,'HARGA SATUAN'!$C$7:$C$1492,0),0))</f>
        <v>HDW</v>
      </c>
      <c r="E102" s="359" t="str">
        <f ca="1">IF(B102="+","Unit",IF(ISERROR(OFFSET('HARGA SATUAN'!$E$6,MATCH(RAB!C102,'HARGA SATUAN'!$C$7:$C$1492,0),0)),"",OFFSET('HARGA SATUAN'!$E$6,MATCH(RAB!C102,'HARGA SATUAN'!$C$7:$C$1492,0),0)))</f>
        <v>Bh</v>
      </c>
      <c r="F102" s="484">
        <f>F95*3</f>
        <v>3</v>
      </c>
      <c r="G102" s="360">
        <f ca="1">IF(ISERROR(OFFSET('HARGA SATUAN'!$I$6,MATCH(RAB!C102,'HARGA SATUAN'!$C$7:$C$1492,0),0)),0,OFFSET('HARGA SATUAN'!$I$6,MATCH(RAB!C102,'HARGA SATUAN'!$C$7:$C$1492,0),0))</f>
        <v>18000</v>
      </c>
      <c r="H102" s="361">
        <f t="shared" ca="1" si="32"/>
        <v>0</v>
      </c>
      <c r="I102" s="361">
        <f t="shared" ca="1" si="33"/>
        <v>54000</v>
      </c>
      <c r="J102" s="361">
        <f t="shared" ca="1" si="34"/>
        <v>0</v>
      </c>
      <c r="K102" s="362">
        <f t="shared" ca="1" si="35"/>
        <v>54000</v>
      </c>
    </row>
    <row r="103" spans="1:22">
      <c r="B103" s="515">
        <v>6</v>
      </c>
      <c r="C103" s="109" t="s">
        <v>1578</v>
      </c>
      <c r="D103" s="358" t="str">
        <f ca="1">IF(ISERROR(OFFSET('HARGA SATUAN'!$D$6,MATCH(RAB!C103,'HARGA SATUAN'!$C$7:$C$1492,0),0)),"",OFFSET('HARGA SATUAN'!$D$6,MATCH(RAB!C103,'HARGA SATUAN'!$C$7:$C$1492,0),0))</f>
        <v>HDW</v>
      </c>
      <c r="E103" s="359" t="str">
        <f ca="1">IF(B103="+","Unit",IF(ISERROR(OFFSET('HARGA SATUAN'!$E$6,MATCH(RAB!C103,'HARGA SATUAN'!$C$7:$C$1492,0),0)),"",OFFSET('HARGA SATUAN'!$E$6,MATCH(RAB!C103,'HARGA SATUAN'!$C$7:$C$1492,0),0)))</f>
        <v>Bh</v>
      </c>
      <c r="F103" s="484">
        <f>F95*13</f>
        <v>13</v>
      </c>
      <c r="G103" s="360">
        <f ca="1">IF(ISERROR(OFFSET('HARGA SATUAN'!$I$6,MATCH(RAB!C103,'HARGA SATUAN'!$C$7:$C$1492,0),0)),0,OFFSET('HARGA SATUAN'!$I$6,MATCH(RAB!C103,'HARGA SATUAN'!$C$7:$C$1492,0),0))</f>
        <v>73300</v>
      </c>
      <c r="H103" s="361">
        <f t="shared" ca="1" si="32"/>
        <v>0</v>
      </c>
      <c r="I103" s="361">
        <f t="shared" ca="1" si="33"/>
        <v>952900</v>
      </c>
      <c r="J103" s="361">
        <f t="shared" ca="1" si="34"/>
        <v>0</v>
      </c>
      <c r="K103" s="362">
        <f t="shared" ca="1" si="35"/>
        <v>952900</v>
      </c>
    </row>
    <row r="104" spans="1:22">
      <c r="B104" s="515">
        <v>7</v>
      </c>
      <c r="C104" s="516" t="s">
        <v>163</v>
      </c>
      <c r="D104" s="358" t="str">
        <f ca="1">IF(ISERROR(OFFSET('HARGA SATUAN'!$D$6,MATCH(RAB!C104,'HARGA SATUAN'!$C$7:$C$1492,0),0)),"",OFFSET('HARGA SATUAN'!$D$6,MATCH(RAB!C104,'HARGA SATUAN'!$C$7:$C$1492,0),0))</f>
        <v>HDW</v>
      </c>
      <c r="E104" s="359" t="str">
        <f ca="1">IF(B104="+","Unit",IF(ISERROR(OFFSET('HARGA SATUAN'!$E$6,MATCH(RAB!C104,'HARGA SATUAN'!$C$7:$C$1492,0),0)),"",OFFSET('HARGA SATUAN'!$E$6,MATCH(RAB!C104,'HARGA SATUAN'!$C$7:$C$1492,0),0)))</f>
        <v>Bh</v>
      </c>
      <c r="F104" s="484">
        <f>F95*28</f>
        <v>28</v>
      </c>
      <c r="G104" s="360">
        <f ca="1">IF(ISERROR(OFFSET('HARGA SATUAN'!$I$6,MATCH(RAB!C104,'HARGA SATUAN'!$C$7:$C$1492,0),0)),0,OFFSET('HARGA SATUAN'!$I$6,MATCH(RAB!C104,'HARGA SATUAN'!$C$7:$C$1492,0),0))</f>
        <v>7938</v>
      </c>
      <c r="H104" s="361">
        <f t="shared" ca="1" si="32"/>
        <v>0</v>
      </c>
      <c r="I104" s="361">
        <f t="shared" ca="1" si="33"/>
        <v>222264</v>
      </c>
      <c r="J104" s="361">
        <f t="shared" ca="1" si="34"/>
        <v>0</v>
      </c>
      <c r="K104" s="362">
        <f t="shared" ca="1" si="35"/>
        <v>222264</v>
      </c>
    </row>
    <row r="105" spans="1:22">
      <c r="B105" s="515">
        <v>8</v>
      </c>
      <c r="C105" s="516" t="s">
        <v>176</v>
      </c>
      <c r="D105" s="358" t="str">
        <f ca="1">IF(ISERROR(OFFSET('HARGA SATUAN'!$D$6,MATCH(RAB!C105,'HARGA SATUAN'!$C$7:$C$1492,0),0)),"",OFFSET('HARGA SATUAN'!$D$6,MATCH(RAB!C105,'HARGA SATUAN'!$C$7:$C$1492,0),0))</f>
        <v>HDW</v>
      </c>
      <c r="E105" s="359" t="str">
        <f ca="1">IF(B105="+","Unit",IF(ISERROR(OFFSET('HARGA SATUAN'!$E$6,MATCH(RAB!C105,'HARGA SATUAN'!$C$7:$C$1492,0),0)),"",OFFSET('HARGA SATUAN'!$E$6,MATCH(RAB!C105,'HARGA SATUAN'!$C$7:$C$1492,0),0)))</f>
        <v>Bh</v>
      </c>
      <c r="F105" s="484">
        <f>F95*2</f>
        <v>2</v>
      </c>
      <c r="G105" s="360">
        <f ca="1">IF(ISERROR(OFFSET('HARGA SATUAN'!$I$6,MATCH(RAB!C105,'HARGA SATUAN'!$C$7:$C$1492,0),0)),0,OFFSET('HARGA SATUAN'!$I$6,MATCH(RAB!C105,'HARGA SATUAN'!$C$7:$C$1492,0),0))</f>
        <v>404600</v>
      </c>
      <c r="H105" s="361">
        <f t="shared" ca="1" si="32"/>
        <v>0</v>
      </c>
      <c r="I105" s="361">
        <f t="shared" ca="1" si="33"/>
        <v>809200</v>
      </c>
      <c r="J105" s="361">
        <f t="shared" ca="1" si="34"/>
        <v>0</v>
      </c>
      <c r="K105" s="362">
        <f t="shared" ca="1" si="35"/>
        <v>809200</v>
      </c>
    </row>
    <row r="106" spans="1:22">
      <c r="B106" s="515">
        <v>9</v>
      </c>
      <c r="C106" s="516" t="s">
        <v>184</v>
      </c>
      <c r="D106" s="358" t="str">
        <f ca="1">IF(ISERROR(OFFSET('HARGA SATUAN'!$D$6,MATCH(RAB!C106,'HARGA SATUAN'!$C$7:$C$1492,0),0)),"",OFFSET('HARGA SATUAN'!$D$6,MATCH(RAB!C106,'HARGA SATUAN'!$C$7:$C$1492,0),0))</f>
        <v>HDW</v>
      </c>
      <c r="E106" s="359" t="str">
        <f ca="1">IF(B106="+","Unit",IF(ISERROR(OFFSET('HARGA SATUAN'!$E$6,MATCH(RAB!C106,'HARGA SATUAN'!$C$7:$C$1492,0),0)),"",OFFSET('HARGA SATUAN'!$E$6,MATCH(RAB!C106,'HARGA SATUAN'!$C$7:$C$1492,0),0)))</f>
        <v>Bh</v>
      </c>
      <c r="F106" s="484">
        <f>F95*3</f>
        <v>3</v>
      </c>
      <c r="G106" s="360">
        <f ca="1">IF(ISERROR(OFFSET('HARGA SATUAN'!$I$6,MATCH(RAB!C106,'HARGA SATUAN'!$C$7:$C$1492,0),0)),0,OFFSET('HARGA SATUAN'!$I$6,MATCH(RAB!C106,'HARGA SATUAN'!$C$7:$C$1492,0),0))</f>
        <v>15900</v>
      </c>
      <c r="H106" s="361">
        <f t="shared" ca="1" si="32"/>
        <v>0</v>
      </c>
      <c r="I106" s="361">
        <f t="shared" ca="1" si="33"/>
        <v>47700</v>
      </c>
      <c r="J106" s="361">
        <f t="shared" ca="1" si="34"/>
        <v>0</v>
      </c>
      <c r="K106" s="362">
        <f t="shared" ca="1" si="35"/>
        <v>47700</v>
      </c>
    </row>
    <row r="107" spans="1:22">
      <c r="B107" s="515">
        <v>10</v>
      </c>
      <c r="C107" s="516" t="s">
        <v>593</v>
      </c>
      <c r="D107" s="358" t="str">
        <f ca="1">IF(ISERROR(OFFSET('HARGA SATUAN'!$D$6,MATCH(RAB!C107,'HARGA SATUAN'!$C$7:$C$1492,0),0)),"",OFFSET('HARGA SATUAN'!$D$6,MATCH(RAB!C107,'HARGA SATUAN'!$C$7:$C$1492,0),0))</f>
        <v>HDW</v>
      </c>
      <c r="E107" s="359" t="str">
        <f ca="1">IF(B107="+","Unit",IF(ISERROR(OFFSET('HARGA SATUAN'!$E$6,MATCH(RAB!C107,'HARGA SATUAN'!$C$7:$C$1492,0),0)),"",OFFSET('HARGA SATUAN'!$E$6,MATCH(RAB!C107,'HARGA SATUAN'!$C$7:$C$1492,0),0)))</f>
        <v>Bh</v>
      </c>
      <c r="F107" s="484">
        <f>F95*5</f>
        <v>5</v>
      </c>
      <c r="G107" s="360">
        <f ca="1">IF(ISERROR(OFFSET('HARGA SATUAN'!$I$6,MATCH(RAB!C107,'HARGA SATUAN'!$C$7:$C$1492,0),0)),0,OFFSET('HARGA SATUAN'!$I$6,MATCH(RAB!C107,'HARGA SATUAN'!$C$7:$C$1492,0),0))</f>
        <v>380500</v>
      </c>
      <c r="H107" s="361">
        <f t="shared" ca="1" si="32"/>
        <v>0</v>
      </c>
      <c r="I107" s="361">
        <f t="shared" ca="1" si="33"/>
        <v>1902500</v>
      </c>
      <c r="J107" s="361">
        <f t="shared" ca="1" si="34"/>
        <v>0</v>
      </c>
      <c r="K107" s="362">
        <f t="shared" ca="1" si="35"/>
        <v>1902500</v>
      </c>
    </row>
    <row r="108" spans="1:22">
      <c r="B108" s="515">
        <v>11</v>
      </c>
      <c r="C108" s="516" t="s">
        <v>594</v>
      </c>
      <c r="D108" s="358" t="str">
        <f ca="1">IF(ISERROR(OFFSET('HARGA SATUAN'!$D$6,MATCH(RAB!C108,'HARGA SATUAN'!$C$7:$C$1492,0),0)),"",OFFSET('HARGA SATUAN'!$D$6,MATCH(RAB!C108,'HARGA SATUAN'!$C$7:$C$1492,0),0))</f>
        <v>HDW</v>
      </c>
      <c r="E108" s="359" t="str">
        <f ca="1">IF(B108="+","Unit",IF(ISERROR(OFFSET('HARGA SATUAN'!$E$6,MATCH(RAB!C108,'HARGA SATUAN'!$C$7:$C$1492,0),0)),"",OFFSET('HARGA SATUAN'!$E$6,MATCH(RAB!C108,'HARGA SATUAN'!$C$7:$C$1492,0),0)))</f>
        <v>Bh</v>
      </c>
      <c r="F108" s="484">
        <f>F95*4</f>
        <v>4</v>
      </c>
      <c r="G108" s="360">
        <f ca="1">IF(ISERROR(OFFSET('HARGA SATUAN'!$I$6,MATCH(RAB!C108,'HARGA SATUAN'!$C$7:$C$1492,0),0)),0,OFFSET('HARGA SATUAN'!$I$6,MATCH(RAB!C108,'HARGA SATUAN'!$C$7:$C$1492,0),0))</f>
        <v>559200</v>
      </c>
      <c r="H108" s="361">
        <f t="shared" ca="1" si="32"/>
        <v>0</v>
      </c>
      <c r="I108" s="361">
        <f t="shared" ca="1" si="33"/>
        <v>2236800</v>
      </c>
      <c r="J108" s="361">
        <f t="shared" ca="1" si="34"/>
        <v>0</v>
      </c>
      <c r="K108" s="362">
        <f t="shared" ca="1" si="35"/>
        <v>2236800</v>
      </c>
    </row>
    <row r="109" spans="1:22">
      <c r="B109" s="515">
        <v>12</v>
      </c>
      <c r="C109" s="516" t="s">
        <v>208</v>
      </c>
      <c r="D109" s="358" t="str">
        <f ca="1">IF(ISERROR(OFFSET('HARGA SATUAN'!$D$6,MATCH(RAB!C109,'HARGA SATUAN'!$C$7:$C$1492,0),0)),"",OFFSET('HARGA SATUAN'!$D$6,MATCH(RAB!C109,'HARGA SATUAN'!$C$7:$C$1492,0),0))</f>
        <v>HDW</v>
      </c>
      <c r="E109" s="359" t="str">
        <f ca="1">IF(B109="+","Unit",IF(ISERROR(OFFSET('HARGA SATUAN'!$E$6,MATCH(RAB!C109,'HARGA SATUAN'!$C$7:$C$1492,0),0)),"",OFFSET('HARGA SATUAN'!$E$6,MATCH(RAB!C109,'HARGA SATUAN'!$C$7:$C$1492,0),0)))</f>
        <v>Bh</v>
      </c>
      <c r="F109" s="484">
        <f>F95*3</f>
        <v>3</v>
      </c>
      <c r="G109" s="360">
        <f ca="1">IF(ISERROR(OFFSET('HARGA SATUAN'!$I$6,MATCH(RAB!C109,'HARGA SATUAN'!$C$7:$C$1492,0),0)),0,OFFSET('HARGA SATUAN'!$I$6,MATCH(RAB!C109,'HARGA SATUAN'!$C$7:$C$1492,0),0))</f>
        <v>173400</v>
      </c>
      <c r="H109" s="361">
        <f t="shared" ca="1" si="32"/>
        <v>0</v>
      </c>
      <c r="I109" s="361">
        <f t="shared" ca="1" si="33"/>
        <v>520200</v>
      </c>
      <c r="J109" s="361">
        <f t="shared" ca="1" si="34"/>
        <v>0</v>
      </c>
      <c r="K109" s="362">
        <f t="shared" ca="1" si="35"/>
        <v>520200</v>
      </c>
    </row>
    <row r="110" spans="1:22">
      <c r="B110" s="515">
        <v>13</v>
      </c>
      <c r="C110" s="516" t="s">
        <v>247</v>
      </c>
      <c r="D110" s="358" t="str">
        <f ca="1">IF(ISERROR(OFFSET('HARGA SATUAN'!$D$6,MATCH(RAB!C110,'HARGA SATUAN'!$C$7:$C$1492,0),0)),"",OFFSET('HARGA SATUAN'!$D$6,MATCH(RAB!C110,'HARGA SATUAN'!$C$7:$C$1492,0),0))</f>
        <v>HDW</v>
      </c>
      <c r="E110" s="359" t="str">
        <f ca="1">IF(B110="+","Unit",IF(ISERROR(OFFSET('HARGA SATUAN'!$E$6,MATCH(RAB!C110,'HARGA SATUAN'!$C$7:$C$1492,0),0)),"",OFFSET('HARGA SATUAN'!$E$6,MATCH(RAB!C110,'HARGA SATUAN'!$C$7:$C$1492,0),0)))</f>
        <v>Bh</v>
      </c>
      <c r="F110" s="484">
        <f>F95*2</f>
        <v>2</v>
      </c>
      <c r="G110" s="360">
        <f ca="1">IF(ISERROR(OFFSET('HARGA SATUAN'!$I$6,MATCH(RAB!C110,'HARGA SATUAN'!$C$7:$C$1492,0),0)),0,OFFSET('HARGA SATUAN'!$I$6,MATCH(RAB!C110,'HARGA SATUAN'!$C$7:$C$1492,0),0))</f>
        <v>57690</v>
      </c>
      <c r="H110" s="361">
        <f t="shared" ca="1" si="32"/>
        <v>0</v>
      </c>
      <c r="I110" s="361">
        <f t="shared" ca="1" si="33"/>
        <v>115380</v>
      </c>
      <c r="J110" s="361">
        <f t="shared" ca="1" si="34"/>
        <v>0</v>
      </c>
      <c r="K110" s="362">
        <f t="shared" ca="1" si="35"/>
        <v>115380</v>
      </c>
    </row>
    <row r="111" spans="1:22">
      <c r="B111" s="515">
        <v>14</v>
      </c>
      <c r="C111" s="516" t="s">
        <v>248</v>
      </c>
      <c r="D111" s="358" t="str">
        <f ca="1">IF(ISERROR(OFFSET('HARGA SATUAN'!$D$6,MATCH(RAB!C111,'HARGA SATUAN'!$C$7:$C$1492,0),0)),"",OFFSET('HARGA SATUAN'!$D$6,MATCH(RAB!C111,'HARGA SATUAN'!$C$7:$C$1492,0),0))</f>
        <v>HDW</v>
      </c>
      <c r="E111" s="359" t="str">
        <f ca="1">IF(B111="+","Unit",IF(ISERROR(OFFSET('HARGA SATUAN'!$E$6,MATCH(RAB!C111,'HARGA SATUAN'!$C$7:$C$1492,0),0)),"",OFFSET('HARGA SATUAN'!$E$6,MATCH(RAB!C111,'HARGA SATUAN'!$C$7:$C$1492,0),0)))</f>
        <v>Bh</v>
      </c>
      <c r="F111" s="484">
        <f>F95*2</f>
        <v>2</v>
      </c>
      <c r="G111" s="360">
        <f ca="1">IF(ISERROR(OFFSET('HARGA SATUAN'!$I$6,MATCH(RAB!C111,'HARGA SATUAN'!$C$7:$C$1492,0),0)),0,OFFSET('HARGA SATUAN'!$I$6,MATCH(RAB!C111,'HARGA SATUAN'!$C$7:$C$1492,0),0))</f>
        <v>60300</v>
      </c>
      <c r="H111" s="361">
        <f t="shared" ca="1" si="32"/>
        <v>0</v>
      </c>
      <c r="I111" s="361">
        <f t="shared" ca="1" si="33"/>
        <v>120600</v>
      </c>
      <c r="J111" s="361">
        <f t="shared" ca="1" si="34"/>
        <v>0</v>
      </c>
      <c r="K111" s="362">
        <f t="shared" ca="1" si="35"/>
        <v>120600</v>
      </c>
    </row>
    <row r="112" spans="1:22">
      <c r="B112" s="515">
        <v>15</v>
      </c>
      <c r="C112" s="516" t="s">
        <v>267</v>
      </c>
      <c r="D112" s="358" t="str">
        <f ca="1">IF(ISERROR(OFFSET('HARGA SATUAN'!$D$6,MATCH(RAB!C112,'HARGA SATUAN'!$C$7:$C$1492,0),0)),"",OFFSET('HARGA SATUAN'!$D$6,MATCH(RAB!C112,'HARGA SATUAN'!$C$7:$C$1492,0),0))</f>
        <v>HDW</v>
      </c>
      <c r="E112" s="359" t="str">
        <f ca="1">IF(B112="+","Unit",IF(ISERROR(OFFSET('HARGA SATUAN'!$E$6,MATCH(RAB!C112,'HARGA SATUAN'!$C$7:$C$1492,0),0)),"",OFFSET('HARGA SATUAN'!$E$6,MATCH(RAB!C112,'HARGA SATUAN'!$C$7:$C$1492,0),0)))</f>
        <v>Bh</v>
      </c>
      <c r="F112" s="484">
        <f>F95*4</f>
        <v>4</v>
      </c>
      <c r="G112" s="360">
        <f ca="1">IF(ISERROR(OFFSET('HARGA SATUAN'!$I$6,MATCH(RAB!C112,'HARGA SATUAN'!$C$7:$C$1492,0),0)),0,OFFSET('HARGA SATUAN'!$I$6,MATCH(RAB!C112,'HARGA SATUAN'!$C$7:$C$1492,0),0))</f>
        <v>129000</v>
      </c>
      <c r="H112" s="361">
        <f t="shared" ca="1" si="32"/>
        <v>0</v>
      </c>
      <c r="I112" s="361">
        <f t="shared" ca="1" si="33"/>
        <v>516000</v>
      </c>
      <c r="J112" s="361">
        <f t="shared" ca="1" si="34"/>
        <v>0</v>
      </c>
      <c r="K112" s="362">
        <f t="shared" ca="1" si="35"/>
        <v>516000</v>
      </c>
    </row>
    <row r="113" spans="2:11">
      <c r="B113" s="515">
        <v>16</v>
      </c>
      <c r="C113" s="516" t="s">
        <v>786</v>
      </c>
      <c r="D113" s="358" t="str">
        <f ca="1">IF(ISERROR(OFFSET('HARGA SATUAN'!$D$6,MATCH(RAB!C113,'HARGA SATUAN'!$C$7:$C$1492,0),0)),"",OFFSET('HARGA SATUAN'!$D$6,MATCH(RAB!C113,'HARGA SATUAN'!$C$7:$C$1492,0),0))</f>
        <v>JASA</v>
      </c>
      <c r="E113" s="359" t="str">
        <f ca="1">IF(B113="+","Unit",IF(ISERROR(OFFSET('HARGA SATUAN'!$E$6,MATCH(RAB!C113,'HARGA SATUAN'!$C$7:$C$1492,0),0)),"",OFFSET('HARGA SATUAN'!$E$6,MATCH(RAB!C113,'HARGA SATUAN'!$C$7:$C$1492,0),0)))</f>
        <v>Unit</v>
      </c>
      <c r="F113" s="484">
        <f>F95*1</f>
        <v>1</v>
      </c>
      <c r="G113" s="360">
        <f ca="1">IF(ISERROR(OFFSET('HARGA SATUAN'!$I$6,MATCH(RAB!C113,'HARGA SATUAN'!$C$7:$C$1492,0),0)),0,OFFSET('HARGA SATUAN'!$I$6,MATCH(RAB!C113,'HARGA SATUAN'!$C$7:$C$1492,0),0))</f>
        <v>3686500</v>
      </c>
      <c r="H113" s="361">
        <f t="shared" ca="1" si="32"/>
        <v>0</v>
      </c>
      <c r="I113" s="361">
        <f t="shared" ca="1" si="33"/>
        <v>0</v>
      </c>
      <c r="J113" s="361">
        <f t="shared" ca="1" si="34"/>
        <v>3686500</v>
      </c>
      <c r="K113" s="362">
        <f t="shared" ca="1" si="35"/>
        <v>3686500</v>
      </c>
    </row>
    <row r="114" spans="2:11">
      <c r="B114" s="501"/>
      <c r="C114" s="109"/>
      <c r="D114" s="358" t="str">
        <f ca="1">IF(ISERROR(OFFSET('HARGA SATUAN'!$D$6,MATCH(RAB!C114,'HARGA SATUAN'!$C$7:$C$1492,0),0)),"",OFFSET('HARGA SATUAN'!$D$6,MATCH(RAB!C114,'HARGA SATUAN'!$C$7:$C$1492,0),0))</f>
        <v/>
      </c>
      <c r="E114" s="359" t="str">
        <f ca="1">IF(B114="+","Unit",IF(ISERROR(OFFSET('HARGA SATUAN'!$E$6,MATCH(RAB!C114,'HARGA SATUAN'!$C$7:$C$1492,0),0)),"",OFFSET('HARGA SATUAN'!$E$6,MATCH(RAB!C114,'HARGA SATUAN'!$C$7:$C$1492,0),0)))</f>
        <v/>
      </c>
      <c r="F114" s="484"/>
      <c r="G114" s="360">
        <f ca="1">IF(ISERROR(OFFSET('HARGA SATUAN'!$I$6,MATCH(RAB!C114,'HARGA SATUAN'!$C$7:$C$1492,0),0)),0,OFFSET('HARGA SATUAN'!$I$6,MATCH(RAB!C114,'HARGA SATUAN'!$C$7:$C$1492,0),0))</f>
        <v>0</v>
      </c>
      <c r="H114" s="361">
        <f t="shared" ca="1" si="32"/>
        <v>0</v>
      </c>
      <c r="I114" s="361">
        <f t="shared" ca="1" si="33"/>
        <v>0</v>
      </c>
      <c r="J114" s="361">
        <f t="shared" ca="1" si="34"/>
        <v>0</v>
      </c>
      <c r="K114" s="362">
        <f t="shared" ca="1" si="35"/>
        <v>0</v>
      </c>
    </row>
    <row r="115" spans="2:11">
      <c r="B115" s="508" t="s">
        <v>1035</v>
      </c>
      <c r="C115" s="511" t="s">
        <v>1625</v>
      </c>
      <c r="D115" s="358" t="str">
        <f ca="1">IF(ISERROR(OFFSET('HARGA SATUAN'!$D$6,MATCH(RAB!C115,'HARGA SATUAN'!$C$7:$C$1492,0),0)),"",OFFSET('HARGA SATUAN'!$D$6,MATCH(RAB!C115,'HARGA SATUAN'!$C$7:$C$1492,0),0))</f>
        <v/>
      </c>
      <c r="E115" s="359" t="str">
        <f ca="1">IF(B115="+","Unit",IF(ISERROR(OFFSET('HARGA SATUAN'!$E$6,MATCH(RAB!C115,'HARGA SATUAN'!$C$7:$C$1492,0),0)),"",OFFSET('HARGA SATUAN'!$E$6,MATCH(RAB!C115,'HARGA SATUAN'!$C$7:$C$1492,0),0)))</f>
        <v>Unit</v>
      </c>
      <c r="F115" s="484">
        <v>1</v>
      </c>
      <c r="G115" s="360">
        <f ca="1">IF(ISERROR(OFFSET('HARGA SATUAN'!$I$6,MATCH(RAB!C115,'HARGA SATUAN'!$C$7:$C$1492,0),0)),0,OFFSET('HARGA SATUAN'!$I$6,MATCH(RAB!C115,'HARGA SATUAN'!$C$7:$C$1492,0),0))</f>
        <v>0</v>
      </c>
      <c r="H115" s="361">
        <f t="shared" ca="1" si="32"/>
        <v>0</v>
      </c>
      <c r="I115" s="361">
        <f t="shared" ca="1" si="33"/>
        <v>0</v>
      </c>
      <c r="J115" s="361">
        <f t="shared" ca="1" si="34"/>
        <v>0</v>
      </c>
      <c r="K115" s="362">
        <f t="shared" ca="1" si="35"/>
        <v>0</v>
      </c>
    </row>
    <row r="116" spans="2:11">
      <c r="B116" s="508">
        <v>1</v>
      </c>
      <c r="C116" s="506" t="s">
        <v>29</v>
      </c>
      <c r="D116" s="358" t="str">
        <f ca="1">IF(ISERROR(OFFSET('HARGA SATUAN'!$D$6,MATCH(RAB!C116,'HARGA SATUAN'!$C$7:$C$1492,0),0)),"",OFFSET('HARGA SATUAN'!$D$6,MATCH(RAB!C116,'HARGA SATUAN'!$C$7:$C$1492,0),0))</f>
        <v>HDW</v>
      </c>
      <c r="E116" s="359" t="str">
        <f ca="1">IF(B116="+","Unit",IF(ISERROR(OFFSET('HARGA SATUAN'!$E$6,MATCH(RAB!C116,'HARGA SATUAN'!$C$7:$C$1492,0),0)),"",OFFSET('HARGA SATUAN'!$E$6,MATCH(RAB!C116,'HARGA SATUAN'!$C$7:$C$1492,0),0)))</f>
        <v>Bh</v>
      </c>
      <c r="F116" s="484">
        <f>F115*1</f>
        <v>1</v>
      </c>
      <c r="G116" s="360">
        <f ca="1">IF(ISERROR(OFFSET('HARGA SATUAN'!$I$6,MATCH(RAB!C116,'HARGA SATUAN'!$C$7:$C$1492,0),0)),0,OFFSET('HARGA SATUAN'!$I$6,MATCH(RAB!C116,'HARGA SATUAN'!$C$7:$C$1492,0),0))</f>
        <v>185200</v>
      </c>
      <c r="H116" s="361">
        <f t="shared" ca="1" si="32"/>
        <v>0</v>
      </c>
      <c r="I116" s="361">
        <f t="shared" ca="1" si="33"/>
        <v>185200</v>
      </c>
      <c r="J116" s="361">
        <f t="shared" ca="1" si="34"/>
        <v>0</v>
      </c>
      <c r="K116" s="362">
        <f t="shared" ca="1" si="35"/>
        <v>185200</v>
      </c>
    </row>
    <row r="117" spans="2:11">
      <c r="B117" s="504">
        <v>2</v>
      </c>
      <c r="C117" s="505" t="s">
        <v>30</v>
      </c>
      <c r="D117" s="358" t="str">
        <f ca="1">IF(ISERROR(OFFSET('HARGA SATUAN'!$D$6,MATCH(RAB!C117,'HARGA SATUAN'!$C$7:$C$1492,0),0)),"",OFFSET('HARGA SATUAN'!$D$6,MATCH(RAB!C117,'HARGA SATUAN'!$C$7:$C$1492,0),0))</f>
        <v>HDW</v>
      </c>
      <c r="E117" s="359" t="str">
        <f ca="1">IF(B117="+","Unit",IF(ISERROR(OFFSET('HARGA SATUAN'!$E$6,MATCH(RAB!C117,'HARGA SATUAN'!$C$7:$C$1492,0),0)),"",OFFSET('HARGA SATUAN'!$E$6,MATCH(RAB!C117,'HARGA SATUAN'!$C$7:$C$1492,0),0)))</f>
        <v>Bh</v>
      </c>
      <c r="F117" s="484">
        <f>F115*1</f>
        <v>1</v>
      </c>
      <c r="G117" s="360">
        <f ca="1">IF(ISERROR(OFFSET('HARGA SATUAN'!$I$6,MATCH(RAB!C117,'HARGA SATUAN'!$C$7:$C$1492,0),0)),0,OFFSET('HARGA SATUAN'!$I$6,MATCH(RAB!C117,'HARGA SATUAN'!$C$7:$C$1492,0),0))</f>
        <v>47459</v>
      </c>
      <c r="H117" s="361">
        <f t="shared" ca="1" si="32"/>
        <v>0</v>
      </c>
      <c r="I117" s="361">
        <f t="shared" ca="1" si="33"/>
        <v>47459</v>
      </c>
      <c r="J117" s="361">
        <f t="shared" ca="1" si="34"/>
        <v>0</v>
      </c>
      <c r="K117" s="362">
        <f t="shared" ca="1" si="35"/>
        <v>47459</v>
      </c>
    </row>
    <row r="118" spans="2:11">
      <c r="B118" s="504">
        <v>3</v>
      </c>
      <c r="C118" s="505" t="s">
        <v>31</v>
      </c>
      <c r="D118" s="358" t="str">
        <f ca="1">IF(ISERROR(OFFSET('HARGA SATUAN'!$D$6,MATCH(RAB!C118,'HARGA SATUAN'!$C$7:$C$1492,0),0)),"",OFFSET('HARGA SATUAN'!$D$6,MATCH(RAB!C118,'HARGA SATUAN'!$C$7:$C$1492,0),0))</f>
        <v>HDW</v>
      </c>
      <c r="E118" s="359" t="str">
        <f ca="1">IF(B118="+","Unit",IF(ISERROR(OFFSET('HARGA SATUAN'!$E$6,MATCH(RAB!C118,'HARGA SATUAN'!$C$7:$C$1492,0),0)),"",OFFSET('HARGA SATUAN'!$E$6,MATCH(RAB!C118,'HARGA SATUAN'!$C$7:$C$1492,0),0)))</f>
        <v>Bh</v>
      </c>
      <c r="F118" s="484">
        <f>F115*1</f>
        <v>1</v>
      </c>
      <c r="G118" s="360">
        <f ca="1">IF(ISERROR(OFFSET('HARGA SATUAN'!$I$6,MATCH(RAB!C118,'HARGA SATUAN'!$C$7:$C$1492,0),0)),0,OFFSET('HARGA SATUAN'!$I$6,MATCH(RAB!C118,'HARGA SATUAN'!$C$7:$C$1492,0),0))</f>
        <v>4880</v>
      </c>
      <c r="H118" s="361">
        <f t="shared" ca="1" si="32"/>
        <v>0</v>
      </c>
      <c r="I118" s="361">
        <f t="shared" ca="1" si="33"/>
        <v>4880</v>
      </c>
      <c r="J118" s="361">
        <f t="shared" ca="1" si="34"/>
        <v>0</v>
      </c>
      <c r="K118" s="362">
        <f t="shared" ca="1" si="35"/>
        <v>4880</v>
      </c>
    </row>
    <row r="119" spans="2:11">
      <c r="B119" s="504">
        <v>4</v>
      </c>
      <c r="C119" s="505" t="s">
        <v>32</v>
      </c>
      <c r="D119" s="358" t="str">
        <f ca="1">IF(ISERROR(OFFSET('HARGA SATUAN'!$D$6,MATCH(RAB!C119,'HARGA SATUAN'!$C$7:$C$1492,0),0)),"",OFFSET('HARGA SATUAN'!$D$6,MATCH(RAB!C119,'HARGA SATUAN'!$C$7:$C$1492,0),0))</f>
        <v>HDW</v>
      </c>
      <c r="E119" s="359" t="str">
        <f ca="1">IF(B119="+","Unit",IF(ISERROR(OFFSET('HARGA SATUAN'!$E$6,MATCH(RAB!C119,'HARGA SATUAN'!$C$7:$C$1492,0),0)),"",OFFSET('HARGA SATUAN'!$E$6,MATCH(RAB!C119,'HARGA SATUAN'!$C$7:$C$1492,0),0)))</f>
        <v>Mtr</v>
      </c>
      <c r="F119" s="484">
        <f>F115*10</f>
        <v>10</v>
      </c>
      <c r="G119" s="360">
        <f ca="1">IF(ISERROR(OFFSET('HARGA SATUAN'!$I$6,MATCH(RAB!C119,'HARGA SATUAN'!$C$7:$C$1492,0),0)),0,OFFSET('HARGA SATUAN'!$I$6,MATCH(RAB!C119,'HARGA SATUAN'!$C$7:$C$1492,0),0))</f>
        <v>30000</v>
      </c>
      <c r="H119" s="361">
        <f t="shared" ca="1" si="32"/>
        <v>0</v>
      </c>
      <c r="I119" s="361">
        <f t="shared" ca="1" si="33"/>
        <v>300000</v>
      </c>
      <c r="J119" s="361">
        <f t="shared" ca="1" si="34"/>
        <v>0</v>
      </c>
      <c r="K119" s="362">
        <f t="shared" ca="1" si="35"/>
        <v>300000</v>
      </c>
    </row>
    <row r="120" spans="2:11">
      <c r="B120" s="504">
        <v>5</v>
      </c>
      <c r="C120" s="505" t="s">
        <v>33</v>
      </c>
      <c r="D120" s="358" t="str">
        <f ca="1">IF(ISERROR(OFFSET('HARGA SATUAN'!$D$6,MATCH(RAB!C120,'HARGA SATUAN'!$C$7:$C$1492,0),0)),"",OFFSET('HARGA SATUAN'!$D$6,MATCH(RAB!C120,'HARGA SATUAN'!$C$7:$C$1492,0),0))</f>
        <v>HDW</v>
      </c>
      <c r="E120" s="359" t="str">
        <f ca="1">IF(B120="+","Unit",IF(ISERROR(OFFSET('HARGA SATUAN'!$E$6,MATCH(RAB!C120,'HARGA SATUAN'!$C$7:$C$1492,0),0)),"",OFFSET('HARGA SATUAN'!$E$6,MATCH(RAB!C120,'HARGA SATUAN'!$C$7:$C$1492,0),0)))</f>
        <v>Bh</v>
      </c>
      <c r="F120" s="484">
        <f>F115*2</f>
        <v>2</v>
      </c>
      <c r="G120" s="360">
        <f ca="1">IF(ISERROR(OFFSET('HARGA SATUAN'!$I$6,MATCH(RAB!C120,'HARGA SATUAN'!$C$7:$C$1492,0),0)),0,OFFSET('HARGA SATUAN'!$I$6,MATCH(RAB!C120,'HARGA SATUAN'!$C$7:$C$1492,0),0))</f>
        <v>9500</v>
      </c>
      <c r="H120" s="361">
        <f t="shared" ca="1" si="32"/>
        <v>0</v>
      </c>
      <c r="I120" s="361">
        <f t="shared" ca="1" si="33"/>
        <v>19000</v>
      </c>
      <c r="J120" s="361">
        <f t="shared" ca="1" si="34"/>
        <v>0</v>
      </c>
      <c r="K120" s="362">
        <f t="shared" ca="1" si="35"/>
        <v>19000</v>
      </c>
    </row>
    <row r="121" spans="2:11">
      <c r="B121" s="504">
        <v>6</v>
      </c>
      <c r="C121" s="505" t="s">
        <v>34</v>
      </c>
      <c r="D121" s="358" t="str">
        <f ca="1">IF(ISERROR(OFFSET('HARGA SATUAN'!$D$6,MATCH(RAB!C121,'HARGA SATUAN'!$C$7:$C$1492,0),0)),"",OFFSET('HARGA SATUAN'!$D$6,MATCH(RAB!C121,'HARGA SATUAN'!$C$7:$C$1492,0),0))</f>
        <v>HDW</v>
      </c>
      <c r="E121" s="359" t="str">
        <f ca="1">IF(B121="+","Unit",IF(ISERROR(OFFSET('HARGA SATUAN'!$E$6,MATCH(RAB!C121,'HARGA SATUAN'!$C$7:$C$1492,0),0)),"",OFFSET('HARGA SATUAN'!$E$6,MATCH(RAB!C121,'HARGA SATUAN'!$C$7:$C$1492,0),0)))</f>
        <v>Bh</v>
      </c>
      <c r="F121" s="484">
        <f>F115*5.5</f>
        <v>5.5</v>
      </c>
      <c r="G121" s="360">
        <f ca="1">IF(ISERROR(OFFSET('HARGA SATUAN'!$I$6,MATCH(RAB!C121,'HARGA SATUAN'!$C$7:$C$1492,0),0)),0,OFFSET('HARGA SATUAN'!$I$6,MATCH(RAB!C121,'HARGA SATUAN'!$C$7:$C$1492,0),0))</f>
        <v>6100</v>
      </c>
      <c r="H121" s="361">
        <f t="shared" ca="1" si="32"/>
        <v>0</v>
      </c>
      <c r="I121" s="361">
        <f t="shared" ca="1" si="33"/>
        <v>33550</v>
      </c>
      <c r="J121" s="361">
        <f t="shared" ca="1" si="34"/>
        <v>0</v>
      </c>
      <c r="K121" s="362">
        <f t="shared" ca="1" si="35"/>
        <v>33550</v>
      </c>
    </row>
    <row r="122" spans="2:11">
      <c r="B122" s="504">
        <v>7</v>
      </c>
      <c r="C122" s="505" t="s">
        <v>35</v>
      </c>
      <c r="D122" s="358" t="str">
        <f ca="1">IF(ISERROR(OFFSET('HARGA SATUAN'!$D$6,MATCH(RAB!C122,'HARGA SATUAN'!$C$7:$C$1492,0),0)),"",OFFSET('HARGA SATUAN'!$D$6,MATCH(RAB!C122,'HARGA SATUAN'!$C$7:$C$1492,0),0))</f>
        <v>HDW</v>
      </c>
      <c r="E122" s="359" t="str">
        <f ca="1">IF(B122="+","Unit",IF(ISERROR(OFFSET('HARGA SATUAN'!$E$6,MATCH(RAB!C122,'HARGA SATUAN'!$C$7:$C$1492,0),0)),"",OFFSET('HARGA SATUAN'!$E$6,MATCH(RAB!C122,'HARGA SATUAN'!$C$7:$C$1492,0),0)))</f>
        <v>Bh</v>
      </c>
      <c r="F122" s="484">
        <f>F115*6</f>
        <v>6</v>
      </c>
      <c r="G122" s="360">
        <f ca="1">IF(ISERROR(OFFSET('HARGA SATUAN'!$I$6,MATCH(RAB!C122,'HARGA SATUAN'!$C$7:$C$1492,0),0)),0,OFFSET('HARGA SATUAN'!$I$6,MATCH(RAB!C122,'HARGA SATUAN'!$C$7:$C$1492,0),0))</f>
        <v>2300</v>
      </c>
      <c r="H122" s="361">
        <f t="shared" ca="1" si="32"/>
        <v>0</v>
      </c>
      <c r="I122" s="361">
        <f t="shared" ca="1" si="33"/>
        <v>13800</v>
      </c>
      <c r="J122" s="361">
        <f t="shared" ca="1" si="34"/>
        <v>0</v>
      </c>
      <c r="K122" s="362">
        <f t="shared" ca="1" si="35"/>
        <v>13800</v>
      </c>
    </row>
    <row r="123" spans="2:11">
      <c r="B123" s="504">
        <v>8</v>
      </c>
      <c r="C123" s="505" t="s">
        <v>1626</v>
      </c>
      <c r="D123" s="358" t="str">
        <f ca="1">IF(ISERROR(OFFSET('HARGA SATUAN'!$D$6,MATCH(RAB!C123,'HARGA SATUAN'!$C$7:$C$1492,0),0)),"",OFFSET('HARGA SATUAN'!$D$6,MATCH(RAB!C123,'HARGA SATUAN'!$C$7:$C$1492,0),0))</f>
        <v>HDW</v>
      </c>
      <c r="E123" s="359" t="str">
        <f ca="1">IF(B123="+","Unit",IF(ISERROR(OFFSET('HARGA SATUAN'!$E$6,MATCH(RAB!C123,'HARGA SATUAN'!$C$7:$C$1492,0),0)),"",OFFSET('HARGA SATUAN'!$E$6,MATCH(RAB!C123,'HARGA SATUAN'!$C$7:$C$1492,0),0)))</f>
        <v>Mtr</v>
      </c>
      <c r="F123" s="484">
        <f>F115*4.8</f>
        <v>4.8</v>
      </c>
      <c r="G123" s="360">
        <f ca="1">IF(ISERROR(OFFSET('HARGA SATUAN'!$I$6,MATCH(RAB!C123,'HARGA SATUAN'!$C$7:$C$1492,0),0)),0,OFFSET('HARGA SATUAN'!$I$6,MATCH(RAB!C123,'HARGA SATUAN'!$C$7:$C$1492,0),0))</f>
        <v>23310</v>
      </c>
      <c r="H123" s="361">
        <f t="shared" ca="1" si="32"/>
        <v>0</v>
      </c>
      <c r="I123" s="361">
        <f t="shared" ca="1" si="33"/>
        <v>111888</v>
      </c>
      <c r="J123" s="361">
        <f t="shared" ca="1" si="34"/>
        <v>0</v>
      </c>
      <c r="K123" s="362">
        <f t="shared" ca="1" si="35"/>
        <v>111888</v>
      </c>
    </row>
    <row r="124" spans="2:11">
      <c r="B124" s="504">
        <v>9</v>
      </c>
      <c r="C124" s="505" t="s">
        <v>736</v>
      </c>
      <c r="D124" s="358" t="str">
        <f ca="1">IF(ISERROR(OFFSET('HARGA SATUAN'!$D$6,MATCH(RAB!C124,'HARGA SATUAN'!$C$7:$C$1492,0),0)),"",OFFSET('HARGA SATUAN'!$D$6,MATCH(RAB!C124,'HARGA SATUAN'!$C$7:$C$1492,0),0))</f>
        <v>JASA</v>
      </c>
      <c r="E124" s="359" t="str">
        <f ca="1">IF(B124="+","Unit",IF(ISERROR(OFFSET('HARGA SATUAN'!$E$6,MATCH(RAB!C124,'HARGA SATUAN'!$C$7:$C$1492,0),0)),"",OFFSET('HARGA SATUAN'!$E$6,MATCH(RAB!C124,'HARGA SATUAN'!$C$7:$C$1492,0),0)))</f>
        <v>Unit</v>
      </c>
      <c r="F124" s="484">
        <f>F115*1</f>
        <v>1</v>
      </c>
      <c r="G124" s="360">
        <f ca="1">IF(ISERROR(OFFSET('HARGA SATUAN'!$I$6,MATCH(RAB!C124,'HARGA SATUAN'!$C$7:$C$1492,0),0)),0,OFFSET('HARGA SATUAN'!$I$6,MATCH(RAB!C124,'HARGA SATUAN'!$C$7:$C$1492,0),0))</f>
        <v>65400</v>
      </c>
      <c r="H124" s="361">
        <f t="shared" ca="1" si="32"/>
        <v>0</v>
      </c>
      <c r="I124" s="361">
        <f t="shared" ca="1" si="33"/>
        <v>0</v>
      </c>
      <c r="J124" s="361">
        <f t="shared" ca="1" si="34"/>
        <v>65400</v>
      </c>
      <c r="K124" s="362">
        <f t="shared" ca="1" si="35"/>
        <v>65400</v>
      </c>
    </row>
    <row r="125" spans="2:11">
      <c r="B125" s="504"/>
      <c r="C125" s="505"/>
      <c r="D125" s="358" t="str">
        <f ca="1">IF(ISERROR(OFFSET('HARGA SATUAN'!$D$6,MATCH(RAB!C125,'HARGA SATUAN'!$C$7:$C$1492,0),0)),"",OFFSET('HARGA SATUAN'!$D$6,MATCH(RAB!C125,'HARGA SATUAN'!$C$7:$C$1492,0),0))</f>
        <v/>
      </c>
      <c r="E125" s="359" t="str">
        <f ca="1">IF(B125="+","Unit",IF(ISERROR(OFFSET('HARGA SATUAN'!$E$6,MATCH(RAB!C125,'HARGA SATUAN'!$C$7:$C$1492,0),0)),"",OFFSET('HARGA SATUAN'!$E$6,MATCH(RAB!C125,'HARGA SATUAN'!$C$7:$C$1492,0),0)))</f>
        <v/>
      </c>
      <c r="F125" s="484"/>
      <c r="G125" s="360">
        <f ca="1">IF(ISERROR(OFFSET('HARGA SATUAN'!$I$6,MATCH(RAB!C125,'HARGA SATUAN'!$C$7:$C$1492,0),0)),0,OFFSET('HARGA SATUAN'!$I$6,MATCH(RAB!C125,'HARGA SATUAN'!$C$7:$C$1492,0),0))</f>
        <v>0</v>
      </c>
      <c r="H125" s="361">
        <f t="shared" ref="H125:H152" ca="1" si="36">IF(OR(D125="MDU",D125="MDU-KD"),(IF($O$3="RAB NON MDU","PLN KD",G125*F125)),0)</f>
        <v>0</v>
      </c>
      <c r="I125" s="361">
        <f t="shared" ref="I125:I152" ca="1" si="37">IF(D125="HDW",G125*F125,0)</f>
        <v>0</v>
      </c>
      <c r="J125" s="361">
        <f t="shared" ref="J125:J152" ca="1" si="38">IF(D125="JASA",G125*F125,0)</f>
        <v>0</v>
      </c>
      <c r="K125" s="362">
        <f t="shared" ref="K125:K152" ca="1" si="39">SUM(H125:J125)</f>
        <v>0</v>
      </c>
    </row>
    <row r="126" spans="2:11">
      <c r="B126" s="373" t="s">
        <v>1550</v>
      </c>
      <c r="C126" s="374" t="s">
        <v>1457</v>
      </c>
      <c r="D126" s="358" t="str">
        <f ca="1">IF(ISERROR(OFFSET('HARGA SATUAN'!$D$6,MATCH(RAB!C126,'HARGA SATUAN'!$C$7:$C$1492,0),0)),"",OFFSET('HARGA SATUAN'!$D$6,MATCH(RAB!C126,'HARGA SATUAN'!$C$7:$C$1492,0),0))</f>
        <v/>
      </c>
      <c r="E126" s="359" t="str">
        <f ca="1">IF(B126="+","Unit",IF(ISERROR(OFFSET('HARGA SATUAN'!$E$6,MATCH(RAB!C126,'HARGA SATUAN'!$C$7:$C$1492,0),0)),"",OFFSET('HARGA SATUAN'!$E$6,MATCH(RAB!C126,'HARGA SATUAN'!$C$7:$C$1492,0),0)))</f>
        <v/>
      </c>
      <c r="F126" s="484"/>
      <c r="G126" s="360">
        <f ca="1">IF(ISERROR(OFFSET('HARGA SATUAN'!$I$6,MATCH(RAB!C126,'HARGA SATUAN'!$C$7:$C$1492,0),0)),0,OFFSET('HARGA SATUAN'!$I$6,MATCH(RAB!C126,'HARGA SATUAN'!$C$7:$C$1492,0),0))</f>
        <v>0</v>
      </c>
      <c r="H126" s="361">
        <f t="shared" ca="1" si="36"/>
        <v>0</v>
      </c>
      <c r="I126" s="361">
        <f t="shared" ca="1" si="37"/>
        <v>0</v>
      </c>
      <c r="J126" s="361">
        <f t="shared" ca="1" si="38"/>
        <v>0</v>
      </c>
      <c r="K126" s="362">
        <f t="shared" ca="1" si="39"/>
        <v>0</v>
      </c>
    </row>
    <row r="127" spans="2:11">
      <c r="B127" s="504"/>
      <c r="C127" s="505"/>
      <c r="D127" s="358" t="str">
        <f ca="1">IF(ISERROR(OFFSET('HARGA SATUAN'!$D$6,MATCH(RAB!C127,'HARGA SATUAN'!$C$7:$C$1492,0),0)),"",OFFSET('HARGA SATUAN'!$D$6,MATCH(RAB!C127,'HARGA SATUAN'!$C$7:$C$1492,0),0))</f>
        <v/>
      </c>
      <c r="E127" s="359" t="str">
        <f ca="1">IF(B127="+","Unit",IF(ISERROR(OFFSET('HARGA SATUAN'!$E$6,MATCH(RAB!C127,'HARGA SATUAN'!$C$7:$C$1492,0),0)),"",OFFSET('HARGA SATUAN'!$E$6,MATCH(RAB!C127,'HARGA SATUAN'!$C$7:$C$1492,0),0)))</f>
        <v/>
      </c>
      <c r="F127" s="484"/>
      <c r="G127" s="360">
        <f ca="1">IF(ISERROR(OFFSET('HARGA SATUAN'!$I$6,MATCH(RAB!C127,'HARGA SATUAN'!$C$7:$C$1492,0),0)),0,OFFSET('HARGA SATUAN'!$I$6,MATCH(RAB!C127,'HARGA SATUAN'!$C$7:$C$1492,0),0))</f>
        <v>0</v>
      </c>
      <c r="H127" s="361">
        <f t="shared" ca="1" si="36"/>
        <v>0</v>
      </c>
      <c r="I127" s="361">
        <f t="shared" ca="1" si="37"/>
        <v>0</v>
      </c>
      <c r="J127" s="361">
        <f t="shared" ca="1" si="38"/>
        <v>0</v>
      </c>
      <c r="K127" s="362">
        <f t="shared" ca="1" si="39"/>
        <v>0</v>
      </c>
    </row>
    <row r="128" spans="2:11">
      <c r="B128" s="497" t="s">
        <v>1035</v>
      </c>
      <c r="C128" s="498" t="s">
        <v>1627</v>
      </c>
      <c r="D128" s="358" t="str">
        <f ca="1">IF(ISERROR(OFFSET('HARGA SATUAN'!$D$6,MATCH(RAB!C128,'HARGA SATUAN'!$C$7:$C$1492,0),0)),"",OFFSET('HARGA SATUAN'!$D$6,MATCH(RAB!C128,'HARGA SATUAN'!$C$7:$C$1492,0),0))</f>
        <v/>
      </c>
      <c r="E128" s="359" t="str">
        <f ca="1">IF(B128="+","Unit",IF(ISERROR(OFFSET('HARGA SATUAN'!$E$6,MATCH(RAB!C128,'HARGA SATUAN'!$C$7:$C$1492,0),0)),"",OFFSET('HARGA SATUAN'!$E$6,MATCH(RAB!C128,'HARGA SATUAN'!$C$7:$C$1492,0),0)))</f>
        <v>Unit</v>
      </c>
      <c r="F128" s="503">
        <v>1</v>
      </c>
      <c r="G128" s="360">
        <f ca="1">IF(ISERROR(OFFSET('HARGA SATUAN'!$I$6,MATCH(RAB!C128,'HARGA SATUAN'!$C$7:$C$1492,0),0)),0,OFFSET('HARGA SATUAN'!$I$6,MATCH(RAB!C128,'HARGA SATUAN'!$C$7:$C$1492,0),0))</f>
        <v>0</v>
      </c>
      <c r="H128" s="361">
        <f t="shared" ca="1" si="36"/>
        <v>0</v>
      </c>
      <c r="I128" s="361">
        <f t="shared" ca="1" si="37"/>
        <v>0</v>
      </c>
      <c r="J128" s="361">
        <f t="shared" ca="1" si="38"/>
        <v>0</v>
      </c>
      <c r="K128" s="362">
        <f t="shared" ca="1" si="39"/>
        <v>0</v>
      </c>
    </row>
    <row r="129" spans="2:11" ht="30">
      <c r="B129" s="504">
        <v>1</v>
      </c>
      <c r="C129" s="109" t="s">
        <v>1196</v>
      </c>
      <c r="D129" s="358" t="str">
        <f ca="1">IF(ISERROR(OFFSET('HARGA SATUAN'!$D$6,MATCH(RAB!C129,'HARGA SATUAN'!$C$7:$C$1492,0),0)),"",OFFSET('HARGA SATUAN'!$D$6,MATCH(RAB!C129,'HARGA SATUAN'!$C$7:$C$1492,0),0))</f>
        <v>MDU-KD</v>
      </c>
      <c r="E129" s="359" t="str">
        <f ca="1">IF(B129="+","Unit",IF(ISERROR(OFFSET('HARGA SATUAN'!$E$6,MATCH(RAB!C129,'HARGA SATUAN'!$C$7:$C$1492,0),0)),"",OFFSET('HARGA SATUAN'!$E$6,MATCH(RAB!C129,'HARGA SATUAN'!$C$7:$C$1492,0),0)))</f>
        <v>Bh</v>
      </c>
      <c r="F129" s="503">
        <f>F128*1</f>
        <v>1</v>
      </c>
      <c r="G129" s="360">
        <f ca="1">IF(ISERROR(OFFSET('HARGA SATUAN'!$I$6,MATCH(RAB!C129,'HARGA SATUAN'!$C$7:$C$1492,0),0)),0,OFFSET('HARGA SATUAN'!$I$6,MATCH(RAB!C129,'HARGA SATUAN'!$C$7:$C$1492,0),0))</f>
        <v>1504200</v>
      </c>
      <c r="H129" s="361">
        <f t="shared" ca="1" si="36"/>
        <v>1504200</v>
      </c>
      <c r="I129" s="361">
        <f t="shared" ca="1" si="37"/>
        <v>0</v>
      </c>
      <c r="J129" s="361">
        <f t="shared" ca="1" si="38"/>
        <v>0</v>
      </c>
      <c r="K129" s="362">
        <f t="shared" ca="1" si="39"/>
        <v>1504200</v>
      </c>
    </row>
    <row r="130" spans="2:11">
      <c r="B130" s="504">
        <v>2</v>
      </c>
      <c r="C130" s="512" t="s">
        <v>518</v>
      </c>
      <c r="D130" s="358" t="str">
        <f ca="1">IF(ISERROR(OFFSET('HARGA SATUAN'!$D$6,MATCH(RAB!C130,'HARGA SATUAN'!$C$7:$C$1492,0),0)),"",OFFSET('HARGA SATUAN'!$D$6,MATCH(RAB!C130,'HARGA SATUAN'!$C$7:$C$1492,0),0))</f>
        <v>MDU-KD</v>
      </c>
      <c r="E130" s="359" t="str">
        <f ca="1">IF(B130="+","Unit",IF(ISERROR(OFFSET('HARGA SATUAN'!$E$6,MATCH(RAB!C130,'HARGA SATUAN'!$C$7:$C$1492,0),0)),"",OFFSET('HARGA SATUAN'!$E$6,MATCH(RAB!C130,'HARGA SATUAN'!$C$7:$C$1492,0),0)))</f>
        <v>Unit</v>
      </c>
      <c r="F130" s="503">
        <f>F128*1</f>
        <v>1</v>
      </c>
      <c r="G130" s="360">
        <f ca="1">IF(ISERROR(OFFSET('HARGA SATUAN'!$I$6,MATCH(RAB!C130,'HARGA SATUAN'!$C$7:$C$1492,0),0)),0,OFFSET('HARGA SATUAN'!$I$6,MATCH(RAB!C130,'HARGA SATUAN'!$C$7:$C$1492,0),0))</f>
        <v>14217900</v>
      </c>
      <c r="H130" s="361">
        <f t="shared" ca="1" si="36"/>
        <v>14217900</v>
      </c>
      <c r="I130" s="361">
        <f t="shared" ca="1" si="37"/>
        <v>0</v>
      </c>
      <c r="J130" s="361">
        <f t="shared" ca="1" si="38"/>
        <v>0</v>
      </c>
      <c r="K130" s="362">
        <f t="shared" ca="1" si="39"/>
        <v>14217900</v>
      </c>
    </row>
    <row r="131" spans="2:11">
      <c r="B131" s="504">
        <v>3</v>
      </c>
      <c r="C131" s="512" t="s">
        <v>1142</v>
      </c>
      <c r="D131" s="358" t="str">
        <f ca="1">IF(ISERROR(OFFSET('HARGA SATUAN'!$D$6,MATCH(RAB!C131,'HARGA SATUAN'!$C$7:$C$1492,0),0)),"",OFFSET('HARGA SATUAN'!$D$6,MATCH(RAB!C131,'HARGA SATUAN'!$C$7:$C$1492,0),0))</f>
        <v>HDW</v>
      </c>
      <c r="E131" s="359" t="str">
        <f ca="1">IF(B131="+","Unit",IF(ISERROR(OFFSET('HARGA SATUAN'!$E$6,MATCH(RAB!C131,'HARGA SATUAN'!$C$7:$C$1492,0),0)),"",OFFSET('HARGA SATUAN'!$E$6,MATCH(RAB!C131,'HARGA SATUAN'!$C$7:$C$1492,0),0)))</f>
        <v>Unit</v>
      </c>
      <c r="F131" s="503">
        <f>F128*1</f>
        <v>1</v>
      </c>
      <c r="G131" s="360">
        <f ca="1">IF(ISERROR(OFFSET('HARGA SATUAN'!$I$6,MATCH(RAB!C131,'HARGA SATUAN'!$C$7:$C$1492,0),0)),0,OFFSET('HARGA SATUAN'!$I$6,MATCH(RAB!C131,'HARGA SATUAN'!$C$7:$C$1492,0),0))</f>
        <v>1113900</v>
      </c>
      <c r="H131" s="361">
        <f t="shared" ca="1" si="36"/>
        <v>0</v>
      </c>
      <c r="I131" s="361">
        <f t="shared" ca="1" si="37"/>
        <v>1113900</v>
      </c>
      <c r="J131" s="361">
        <f t="shared" ca="1" si="38"/>
        <v>0</v>
      </c>
      <c r="K131" s="362">
        <f t="shared" ca="1" si="39"/>
        <v>1113900</v>
      </c>
    </row>
    <row r="132" spans="2:11">
      <c r="B132" s="504">
        <v>4</v>
      </c>
      <c r="C132" s="109" t="s">
        <v>1462</v>
      </c>
      <c r="D132" s="358" t="str">
        <f ca="1">IF(ISERROR(OFFSET('HARGA SATUAN'!$D$6,MATCH(RAB!C132,'HARGA SATUAN'!$C$7:$C$1492,0),0)),"",OFFSET('HARGA SATUAN'!$D$6,MATCH(RAB!C132,'HARGA SATUAN'!$C$7:$C$1492,0),0))</f>
        <v>MDU-KD</v>
      </c>
      <c r="E132" s="359" t="str">
        <f ca="1">IF(B132="+","Unit",IF(ISERROR(OFFSET('HARGA SATUAN'!$E$6,MATCH(RAB!C132,'HARGA SATUAN'!$C$7:$C$1492,0),0)),"",OFFSET('HARGA SATUAN'!$E$6,MATCH(RAB!C132,'HARGA SATUAN'!$C$7:$C$1492,0),0)))</f>
        <v>Mtr</v>
      </c>
      <c r="F132" s="503">
        <v>12</v>
      </c>
      <c r="G132" s="360">
        <f ca="1">IF(ISERROR(OFFSET('HARGA SATUAN'!$I$6,MATCH(RAB!C132,'HARGA SATUAN'!$C$7:$C$1492,0),0)),0,OFFSET('HARGA SATUAN'!$I$6,MATCH(RAB!C132,'HARGA SATUAN'!$C$7:$C$1492,0),0))</f>
        <v>54500</v>
      </c>
      <c r="H132" s="361">
        <f t="shared" ca="1" si="36"/>
        <v>654000</v>
      </c>
      <c r="I132" s="361">
        <f t="shared" ca="1" si="37"/>
        <v>0</v>
      </c>
      <c r="J132" s="361">
        <f t="shared" ca="1" si="38"/>
        <v>0</v>
      </c>
      <c r="K132" s="362">
        <f t="shared" ca="1" si="39"/>
        <v>654000</v>
      </c>
    </row>
    <row r="133" spans="2:11">
      <c r="B133" s="504">
        <v>5</v>
      </c>
      <c r="C133" s="512" t="s">
        <v>799</v>
      </c>
      <c r="D133" s="358" t="str">
        <f ca="1">IF(ISERROR(OFFSET('HARGA SATUAN'!$D$6,MATCH(RAB!C133,'HARGA SATUAN'!$C$7:$C$1492,0),0)),"",OFFSET('HARGA SATUAN'!$D$6,MATCH(RAB!C133,'HARGA SATUAN'!$C$7:$C$1492,0),0))</f>
        <v>JASA</v>
      </c>
      <c r="E133" s="359" t="str">
        <f ca="1">IF(B133="+","Unit",IF(ISERROR(OFFSET('HARGA SATUAN'!$E$6,MATCH(RAB!C133,'HARGA SATUAN'!$C$7:$C$1492,0),0)),"",OFFSET('HARGA SATUAN'!$E$6,MATCH(RAB!C133,'HARGA SATUAN'!$C$7:$C$1492,0),0)))</f>
        <v>Unit</v>
      </c>
      <c r="F133" s="503">
        <f>F128*1</f>
        <v>1</v>
      </c>
      <c r="G133" s="360">
        <f ca="1">IF(ISERROR(OFFSET('HARGA SATUAN'!$I$6,MATCH(RAB!C133,'HARGA SATUAN'!$C$7:$C$1492,0),0)),0,OFFSET('HARGA SATUAN'!$I$6,MATCH(RAB!C133,'HARGA SATUAN'!$C$7:$C$1492,0),0))</f>
        <v>106400</v>
      </c>
      <c r="H133" s="361">
        <f t="shared" ca="1" si="36"/>
        <v>0</v>
      </c>
      <c r="I133" s="361">
        <f t="shared" ca="1" si="37"/>
        <v>0</v>
      </c>
      <c r="J133" s="361">
        <f t="shared" ca="1" si="38"/>
        <v>106400</v>
      </c>
      <c r="K133" s="362">
        <f t="shared" ca="1" si="39"/>
        <v>106400</v>
      </c>
    </row>
    <row r="134" spans="2:11">
      <c r="B134" s="504"/>
      <c r="C134" s="505"/>
      <c r="D134" s="358" t="str">
        <f ca="1">IF(ISERROR(OFFSET('HARGA SATUAN'!$D$6,MATCH(RAB!C134,'HARGA SATUAN'!$C$7:$C$1492,0),0)),"",OFFSET('HARGA SATUAN'!$D$6,MATCH(RAB!C134,'HARGA SATUAN'!$C$7:$C$1492,0),0))</f>
        <v/>
      </c>
      <c r="E134" s="359" t="str">
        <f ca="1">IF(B134="+","Unit",IF(ISERROR(OFFSET('HARGA SATUAN'!$E$6,MATCH(RAB!C134,'HARGA SATUAN'!$C$7:$C$1492,0),0)),"",OFFSET('HARGA SATUAN'!$E$6,MATCH(RAB!C134,'HARGA SATUAN'!$C$7:$C$1492,0),0)))</f>
        <v/>
      </c>
      <c r="F134" s="484"/>
      <c r="G134" s="360">
        <f ca="1">IF(ISERROR(OFFSET('HARGA SATUAN'!$I$6,MATCH(RAB!C134,'HARGA SATUAN'!$C$7:$C$1492,0),0)),0,OFFSET('HARGA SATUAN'!$I$6,MATCH(RAB!C134,'HARGA SATUAN'!$C$7:$C$1492,0),0))</f>
        <v>0</v>
      </c>
      <c r="H134" s="361">
        <f t="shared" ca="1" si="36"/>
        <v>0</v>
      </c>
      <c r="I134" s="361">
        <f t="shared" ca="1" si="37"/>
        <v>0</v>
      </c>
      <c r="J134" s="361">
        <f t="shared" ca="1" si="38"/>
        <v>0</v>
      </c>
      <c r="K134" s="362">
        <f t="shared" ca="1" si="39"/>
        <v>0</v>
      </c>
    </row>
    <row r="135" spans="2:11">
      <c r="B135" s="504" t="s">
        <v>1035</v>
      </c>
      <c r="C135" s="512" t="s">
        <v>1628</v>
      </c>
      <c r="D135" s="358" t="str">
        <f ca="1">IF(ISERROR(OFFSET('HARGA SATUAN'!$D$6,MATCH(RAB!C135,'HARGA SATUAN'!$C$7:$C$1492,0),0)),"",OFFSET('HARGA SATUAN'!$D$6,MATCH(RAB!C135,'HARGA SATUAN'!$C$7:$C$1492,0),0))</f>
        <v/>
      </c>
      <c r="E135" s="359" t="str">
        <f ca="1">IF(B135="+","Unit",IF(ISERROR(OFFSET('HARGA SATUAN'!$E$6,MATCH(RAB!C135,'HARGA SATUAN'!$C$7:$C$1492,0),0)),"",OFFSET('HARGA SATUAN'!$E$6,MATCH(RAB!C135,'HARGA SATUAN'!$C$7:$C$1492,0),0)))</f>
        <v>Unit</v>
      </c>
      <c r="F135" s="503">
        <v>1</v>
      </c>
      <c r="G135" s="360">
        <f ca="1">IF(ISERROR(OFFSET('HARGA SATUAN'!$I$6,MATCH(RAB!C135,'HARGA SATUAN'!$C$7:$C$1492,0),0)),0,OFFSET('HARGA SATUAN'!$I$6,MATCH(RAB!C135,'HARGA SATUAN'!$C$7:$C$1492,0),0))</f>
        <v>0</v>
      </c>
      <c r="H135" s="361">
        <f t="shared" ca="1" si="36"/>
        <v>0</v>
      </c>
      <c r="I135" s="361">
        <f t="shared" ca="1" si="37"/>
        <v>0</v>
      </c>
      <c r="J135" s="361">
        <f t="shared" ca="1" si="38"/>
        <v>0</v>
      </c>
      <c r="K135" s="362">
        <f t="shared" ca="1" si="39"/>
        <v>0</v>
      </c>
    </row>
    <row r="136" spans="2:11">
      <c r="B136" s="504">
        <v>1</v>
      </c>
      <c r="C136" s="512" t="s">
        <v>163</v>
      </c>
      <c r="D136" s="358" t="str">
        <f ca="1">IF(ISERROR(OFFSET('HARGA SATUAN'!$D$6,MATCH(RAB!C136,'HARGA SATUAN'!$C$7:$C$1492,0),0)),"",OFFSET('HARGA SATUAN'!$D$6,MATCH(RAB!C136,'HARGA SATUAN'!$C$7:$C$1492,0),0))</f>
        <v>HDW</v>
      </c>
      <c r="E136" s="359" t="str">
        <f ca="1">IF(B136="+","Unit",IF(ISERROR(OFFSET('HARGA SATUAN'!$E$6,MATCH(RAB!C136,'HARGA SATUAN'!$C$7:$C$1492,0),0)),"",OFFSET('HARGA SATUAN'!$E$6,MATCH(RAB!C136,'HARGA SATUAN'!$C$7:$C$1492,0),0)))</f>
        <v>Bh</v>
      </c>
      <c r="F136" s="503">
        <f>F135*4</f>
        <v>4</v>
      </c>
      <c r="G136" s="360">
        <f ca="1">IF(ISERROR(OFFSET('HARGA SATUAN'!$I$6,MATCH(RAB!C136,'HARGA SATUAN'!$C$7:$C$1492,0),0)),0,OFFSET('HARGA SATUAN'!$I$6,MATCH(RAB!C136,'HARGA SATUAN'!$C$7:$C$1492,0),0))</f>
        <v>7938</v>
      </c>
      <c r="H136" s="361">
        <f t="shared" ca="1" si="36"/>
        <v>0</v>
      </c>
      <c r="I136" s="361">
        <f t="shared" ca="1" si="37"/>
        <v>31752</v>
      </c>
      <c r="J136" s="361">
        <f t="shared" ca="1" si="38"/>
        <v>0</v>
      </c>
      <c r="K136" s="362">
        <f t="shared" ca="1" si="39"/>
        <v>31752</v>
      </c>
    </row>
    <row r="137" spans="2:11">
      <c r="B137" s="504">
        <v>2</v>
      </c>
      <c r="C137" s="512" t="s">
        <v>593</v>
      </c>
      <c r="D137" s="358" t="str">
        <f ca="1">IF(ISERROR(OFFSET('HARGA SATUAN'!$D$6,MATCH(RAB!C137,'HARGA SATUAN'!$C$7:$C$1492,0),0)),"",OFFSET('HARGA SATUAN'!$D$6,MATCH(RAB!C137,'HARGA SATUAN'!$C$7:$C$1492,0),0))</f>
        <v>HDW</v>
      </c>
      <c r="E137" s="359" t="str">
        <f ca="1">IF(B137="+","Unit",IF(ISERROR(OFFSET('HARGA SATUAN'!$E$6,MATCH(RAB!C137,'HARGA SATUAN'!$C$7:$C$1492,0),0)),"",OFFSET('HARGA SATUAN'!$E$6,MATCH(RAB!C137,'HARGA SATUAN'!$C$7:$C$1492,0),0)))</f>
        <v>Bh</v>
      </c>
      <c r="F137" s="503">
        <f>F135*1</f>
        <v>1</v>
      </c>
      <c r="G137" s="360">
        <f ca="1">IF(ISERROR(OFFSET('HARGA SATUAN'!$I$6,MATCH(RAB!C137,'HARGA SATUAN'!$C$7:$C$1492,0),0)),0,OFFSET('HARGA SATUAN'!$I$6,MATCH(RAB!C137,'HARGA SATUAN'!$C$7:$C$1492,0),0))</f>
        <v>380500</v>
      </c>
      <c r="H137" s="361">
        <f t="shared" ca="1" si="36"/>
        <v>0</v>
      </c>
      <c r="I137" s="361">
        <f t="shared" ca="1" si="37"/>
        <v>380500</v>
      </c>
      <c r="J137" s="361">
        <f t="shared" ca="1" si="38"/>
        <v>0</v>
      </c>
      <c r="K137" s="362">
        <f t="shared" ca="1" si="39"/>
        <v>380500</v>
      </c>
    </row>
    <row r="138" spans="2:11">
      <c r="B138" s="504">
        <v>3</v>
      </c>
      <c r="C138" s="512" t="s">
        <v>248</v>
      </c>
      <c r="D138" s="358" t="str">
        <f ca="1">IF(ISERROR(OFFSET('HARGA SATUAN'!$D$6,MATCH(RAB!C138,'HARGA SATUAN'!$C$7:$C$1492,0),0)),"",OFFSET('HARGA SATUAN'!$D$6,MATCH(RAB!C138,'HARGA SATUAN'!$C$7:$C$1492,0),0))</f>
        <v>HDW</v>
      </c>
      <c r="E138" s="359" t="str">
        <f ca="1">IF(B138="+","Unit",IF(ISERROR(OFFSET('HARGA SATUAN'!$E$6,MATCH(RAB!C138,'HARGA SATUAN'!$C$7:$C$1492,0),0)),"",OFFSET('HARGA SATUAN'!$E$6,MATCH(RAB!C138,'HARGA SATUAN'!$C$7:$C$1492,0),0)))</f>
        <v>Bh</v>
      </c>
      <c r="F138" s="503">
        <f>F135*2</f>
        <v>2</v>
      </c>
      <c r="G138" s="360">
        <f ca="1">IF(ISERROR(OFFSET('HARGA SATUAN'!$I$6,MATCH(RAB!C138,'HARGA SATUAN'!$C$7:$C$1492,0),0)),0,OFFSET('HARGA SATUAN'!$I$6,MATCH(RAB!C138,'HARGA SATUAN'!$C$7:$C$1492,0),0))</f>
        <v>60300</v>
      </c>
      <c r="H138" s="361">
        <f t="shared" ca="1" si="36"/>
        <v>0</v>
      </c>
      <c r="I138" s="361">
        <f t="shared" ca="1" si="37"/>
        <v>120600</v>
      </c>
      <c r="J138" s="361">
        <f t="shared" ca="1" si="38"/>
        <v>0</v>
      </c>
      <c r="K138" s="362">
        <f t="shared" ca="1" si="39"/>
        <v>120600</v>
      </c>
    </row>
    <row r="139" spans="2:11">
      <c r="B139" s="504">
        <v>4</v>
      </c>
      <c r="C139" s="505" t="s">
        <v>595</v>
      </c>
      <c r="D139" s="358" t="str">
        <f ca="1">IF(ISERROR(OFFSET('HARGA SATUAN'!$D$6,MATCH(RAB!C139,'HARGA SATUAN'!$C$7:$C$1492,0),0)),"",OFFSET('HARGA SATUAN'!$D$6,MATCH(RAB!C139,'HARGA SATUAN'!$C$7:$C$1492,0),0))</f>
        <v>HDW</v>
      </c>
      <c r="E139" s="359" t="str">
        <f ca="1">IF(B139="+","Unit",IF(ISERROR(OFFSET('HARGA SATUAN'!$E$6,MATCH(RAB!C139,'HARGA SATUAN'!$C$7:$C$1492,0),0)),"",OFFSET('HARGA SATUAN'!$E$6,MATCH(RAB!C139,'HARGA SATUAN'!$C$7:$C$1492,0),0)))</f>
        <v>Bh</v>
      </c>
      <c r="F139" s="484">
        <f>F135*1</f>
        <v>1</v>
      </c>
      <c r="G139" s="360">
        <f ca="1">IF(ISERROR(OFFSET('HARGA SATUAN'!$I$6,MATCH(RAB!C139,'HARGA SATUAN'!$C$7:$C$1492,0),0)),0,OFFSET('HARGA SATUAN'!$I$6,MATCH(RAB!C139,'HARGA SATUAN'!$C$7:$C$1492,0),0))</f>
        <v>78500</v>
      </c>
      <c r="H139" s="361">
        <f t="shared" ca="1" si="36"/>
        <v>0</v>
      </c>
      <c r="I139" s="361">
        <f t="shared" ca="1" si="37"/>
        <v>78500</v>
      </c>
      <c r="J139" s="361">
        <f t="shared" ca="1" si="38"/>
        <v>0</v>
      </c>
      <c r="K139" s="362">
        <f t="shared" ca="1" si="39"/>
        <v>78500</v>
      </c>
    </row>
    <row r="140" spans="2:11">
      <c r="B140" s="504">
        <v>5</v>
      </c>
      <c r="C140" s="505" t="s">
        <v>229</v>
      </c>
      <c r="D140" s="358" t="str">
        <f ca="1">IF(ISERROR(OFFSET('HARGA SATUAN'!$D$6,MATCH(RAB!C140,'HARGA SATUAN'!$C$7:$C$1492,0),0)),"",OFFSET('HARGA SATUAN'!$D$6,MATCH(RAB!C140,'HARGA SATUAN'!$C$7:$C$1492,0),0))</f>
        <v>HDW</v>
      </c>
      <c r="E140" s="359" t="str">
        <f ca="1">IF(B140="+","Unit",IF(ISERROR(OFFSET('HARGA SATUAN'!$E$6,MATCH(RAB!C140,'HARGA SATUAN'!$C$7:$C$1492,0),0)),"",OFFSET('HARGA SATUAN'!$E$6,MATCH(RAB!C140,'HARGA SATUAN'!$C$7:$C$1492,0),0)))</f>
        <v>Bh</v>
      </c>
      <c r="F140" s="484">
        <f>F135*1</f>
        <v>1</v>
      </c>
      <c r="G140" s="360">
        <f ca="1">IF(ISERROR(OFFSET('HARGA SATUAN'!$I$6,MATCH(RAB!C140,'HARGA SATUAN'!$C$7:$C$1492,0),0)),0,OFFSET('HARGA SATUAN'!$I$6,MATCH(RAB!C140,'HARGA SATUAN'!$C$7:$C$1492,0),0))</f>
        <v>4212</v>
      </c>
      <c r="H140" s="361">
        <f t="shared" ca="1" si="36"/>
        <v>0</v>
      </c>
      <c r="I140" s="361">
        <f t="shared" ca="1" si="37"/>
        <v>4212</v>
      </c>
      <c r="J140" s="361">
        <f t="shared" ca="1" si="38"/>
        <v>0</v>
      </c>
      <c r="K140" s="362">
        <f t="shared" ca="1" si="39"/>
        <v>4212</v>
      </c>
    </row>
    <row r="141" spans="2:11">
      <c r="B141" s="504">
        <v>6</v>
      </c>
      <c r="C141" s="505" t="s">
        <v>266</v>
      </c>
      <c r="D141" s="358" t="str">
        <f ca="1">IF(ISERROR(OFFSET('HARGA SATUAN'!$D$6,MATCH(RAB!C141,'HARGA SATUAN'!$C$7:$C$1492,0),0)),"",OFFSET('HARGA SATUAN'!$D$6,MATCH(RAB!C141,'HARGA SATUAN'!$C$7:$C$1492,0),0))</f>
        <v>HDW</v>
      </c>
      <c r="E141" s="359" t="str">
        <f ca="1">IF(B141="+","Unit",IF(ISERROR(OFFSET('HARGA SATUAN'!$E$6,MATCH(RAB!C141,'HARGA SATUAN'!$C$7:$C$1492,0),0)),"",OFFSET('HARGA SATUAN'!$E$6,MATCH(RAB!C141,'HARGA SATUAN'!$C$7:$C$1492,0),0)))</f>
        <v>Mtr</v>
      </c>
      <c r="F141" s="484">
        <f>F135*1</f>
        <v>1</v>
      </c>
      <c r="G141" s="360">
        <f ca="1">IF(ISERROR(OFFSET('HARGA SATUAN'!$I$6,MATCH(RAB!C141,'HARGA SATUAN'!$C$7:$C$1492,0),0)),0,OFFSET('HARGA SATUAN'!$I$6,MATCH(RAB!C141,'HARGA SATUAN'!$C$7:$C$1492,0),0))</f>
        <v>23310</v>
      </c>
      <c r="H141" s="361">
        <f t="shared" ca="1" si="36"/>
        <v>0</v>
      </c>
      <c r="I141" s="361">
        <f t="shared" ca="1" si="37"/>
        <v>23310</v>
      </c>
      <c r="J141" s="361">
        <f t="shared" ca="1" si="38"/>
        <v>0</v>
      </c>
      <c r="K141" s="362">
        <f t="shared" ca="1" si="39"/>
        <v>23310</v>
      </c>
    </row>
    <row r="142" spans="2:11">
      <c r="B142" s="504">
        <v>7</v>
      </c>
      <c r="C142" s="505" t="s">
        <v>35</v>
      </c>
      <c r="D142" s="358" t="str">
        <f ca="1">IF(ISERROR(OFFSET('HARGA SATUAN'!$D$6,MATCH(RAB!C142,'HARGA SATUAN'!$C$7:$C$1492,0),0)),"",OFFSET('HARGA SATUAN'!$D$6,MATCH(RAB!C142,'HARGA SATUAN'!$C$7:$C$1492,0),0))</f>
        <v>HDW</v>
      </c>
      <c r="E142" s="359" t="str">
        <f ca="1">IF(B142="+","Unit",IF(ISERROR(OFFSET('HARGA SATUAN'!$E$6,MATCH(RAB!C142,'HARGA SATUAN'!$C$7:$C$1492,0),0)),"",OFFSET('HARGA SATUAN'!$E$6,MATCH(RAB!C142,'HARGA SATUAN'!$C$7:$C$1492,0),0)))</f>
        <v>Bh</v>
      </c>
      <c r="F142" s="484">
        <f>F135*1</f>
        <v>1</v>
      </c>
      <c r="G142" s="360">
        <f ca="1">IF(ISERROR(OFFSET('HARGA SATUAN'!$I$6,MATCH(RAB!C142,'HARGA SATUAN'!$C$7:$C$1492,0),0)),0,OFFSET('HARGA SATUAN'!$I$6,MATCH(RAB!C142,'HARGA SATUAN'!$C$7:$C$1492,0),0))</f>
        <v>2300</v>
      </c>
      <c r="H142" s="361">
        <f t="shared" ca="1" si="36"/>
        <v>0</v>
      </c>
      <c r="I142" s="361">
        <f t="shared" ca="1" si="37"/>
        <v>2300</v>
      </c>
      <c r="J142" s="361">
        <f t="shared" ca="1" si="38"/>
        <v>0</v>
      </c>
      <c r="K142" s="362">
        <f t="shared" ca="1" si="39"/>
        <v>2300</v>
      </c>
    </row>
    <row r="143" spans="2:11">
      <c r="B143" s="504"/>
      <c r="C143" s="505"/>
      <c r="D143" s="358"/>
      <c r="E143" s="359"/>
      <c r="F143" s="484"/>
      <c r="G143" s="360"/>
      <c r="H143" s="361"/>
      <c r="I143" s="361"/>
      <c r="J143" s="361"/>
      <c r="K143" s="362"/>
    </row>
    <row r="144" spans="2:11">
      <c r="B144" s="504" t="s">
        <v>1035</v>
      </c>
      <c r="C144" s="505" t="s">
        <v>1629</v>
      </c>
      <c r="D144" s="358" t="str">
        <f ca="1">IF(ISERROR(OFFSET('HARGA SATUAN'!$D$6,MATCH(RAB!C144,'HARGA SATUAN'!$C$7:$C$1492,0),0)),"",OFFSET('HARGA SATUAN'!$D$6,MATCH(RAB!C144,'HARGA SATUAN'!$C$7:$C$1492,0),0))</f>
        <v/>
      </c>
      <c r="E144" s="359" t="str">
        <f ca="1">IF(B144="+","Unit",IF(ISERROR(OFFSET('HARGA SATUAN'!$E$6,MATCH(RAB!C144,'HARGA SATUAN'!$C$7:$C$1492,0),0)),"",OFFSET('HARGA SATUAN'!$E$6,MATCH(RAB!C144,'HARGA SATUAN'!$C$7:$C$1492,0),0)))</f>
        <v>Unit</v>
      </c>
      <c r="F144" s="484">
        <v>1</v>
      </c>
      <c r="G144" s="360">
        <f ca="1">IF(ISERROR(OFFSET('HARGA SATUAN'!$I$6,MATCH(RAB!C144,'HARGA SATUAN'!$C$7:$C$1492,0),0)),0,OFFSET('HARGA SATUAN'!$I$6,MATCH(RAB!C144,'HARGA SATUAN'!$C$7:$C$1492,0),0))</f>
        <v>0</v>
      </c>
      <c r="H144" s="361">
        <f t="shared" ca="1" si="36"/>
        <v>0</v>
      </c>
      <c r="I144" s="361">
        <f t="shared" ca="1" si="37"/>
        <v>0</v>
      </c>
      <c r="J144" s="361">
        <f t="shared" ca="1" si="38"/>
        <v>0</v>
      </c>
      <c r="K144" s="362">
        <f t="shared" ca="1" si="39"/>
        <v>0</v>
      </c>
    </row>
    <row r="145" spans="2:13">
      <c r="B145" s="504">
        <v>1</v>
      </c>
      <c r="C145" s="505" t="s">
        <v>29</v>
      </c>
      <c r="D145" s="358" t="str">
        <f ca="1">IF(ISERROR(OFFSET('HARGA SATUAN'!$D$6,MATCH(RAB!C145,'HARGA SATUAN'!$C$7:$C$1492,0),0)),"",OFFSET('HARGA SATUAN'!$D$6,MATCH(RAB!C145,'HARGA SATUAN'!$C$7:$C$1492,0),0))</f>
        <v>HDW</v>
      </c>
      <c r="E145" s="359" t="str">
        <f ca="1">IF(B145="+","Unit",IF(ISERROR(OFFSET('HARGA SATUAN'!$E$6,MATCH(RAB!C145,'HARGA SATUAN'!$C$7:$C$1492,0),0)),"",OFFSET('HARGA SATUAN'!$E$6,MATCH(RAB!C145,'HARGA SATUAN'!$C$7:$C$1492,0),0)))</f>
        <v>Bh</v>
      </c>
      <c r="F145" s="484">
        <f>F144*1</f>
        <v>1</v>
      </c>
      <c r="G145" s="360">
        <f ca="1">IF(ISERROR(OFFSET('HARGA SATUAN'!$I$6,MATCH(RAB!C145,'HARGA SATUAN'!$C$7:$C$1492,0),0)),0,OFFSET('HARGA SATUAN'!$I$6,MATCH(RAB!C145,'HARGA SATUAN'!$C$7:$C$1492,0),0))</f>
        <v>185200</v>
      </c>
      <c r="H145" s="361">
        <f t="shared" ca="1" si="36"/>
        <v>0</v>
      </c>
      <c r="I145" s="361">
        <f t="shared" ca="1" si="37"/>
        <v>185200</v>
      </c>
      <c r="J145" s="361">
        <f t="shared" ca="1" si="38"/>
        <v>0</v>
      </c>
      <c r="K145" s="362">
        <f t="shared" ca="1" si="39"/>
        <v>185200</v>
      </c>
    </row>
    <row r="146" spans="2:13">
      <c r="B146" s="504">
        <v>2</v>
      </c>
      <c r="C146" s="505" t="s">
        <v>30</v>
      </c>
      <c r="D146" s="358" t="str">
        <f ca="1">IF(ISERROR(OFFSET('HARGA SATUAN'!$D$6,MATCH(RAB!C146,'HARGA SATUAN'!$C$7:$C$1492,0),0)),"",OFFSET('HARGA SATUAN'!$D$6,MATCH(RAB!C146,'HARGA SATUAN'!$C$7:$C$1492,0),0))</f>
        <v>HDW</v>
      </c>
      <c r="E146" s="359" t="str">
        <f ca="1">IF(B146="+","Unit",IF(ISERROR(OFFSET('HARGA SATUAN'!$E$6,MATCH(RAB!C146,'HARGA SATUAN'!$C$7:$C$1492,0),0)),"",OFFSET('HARGA SATUAN'!$E$6,MATCH(RAB!C146,'HARGA SATUAN'!$C$7:$C$1492,0),0)))</f>
        <v>Bh</v>
      </c>
      <c r="F146" s="484">
        <f>F144*1</f>
        <v>1</v>
      </c>
      <c r="G146" s="360">
        <f ca="1">IF(ISERROR(OFFSET('HARGA SATUAN'!$I$6,MATCH(RAB!C146,'HARGA SATUAN'!$C$7:$C$1492,0),0)),0,OFFSET('HARGA SATUAN'!$I$6,MATCH(RAB!C146,'HARGA SATUAN'!$C$7:$C$1492,0),0))</f>
        <v>47459</v>
      </c>
      <c r="H146" s="361">
        <f t="shared" ca="1" si="36"/>
        <v>0</v>
      </c>
      <c r="I146" s="361">
        <f t="shared" ca="1" si="37"/>
        <v>47459</v>
      </c>
      <c r="J146" s="361">
        <f t="shared" ca="1" si="38"/>
        <v>0</v>
      </c>
      <c r="K146" s="362">
        <f t="shared" ca="1" si="39"/>
        <v>47459</v>
      </c>
    </row>
    <row r="147" spans="2:13">
      <c r="B147" s="504">
        <v>3</v>
      </c>
      <c r="C147" s="505" t="s">
        <v>32</v>
      </c>
      <c r="D147" s="358" t="str">
        <f ca="1">IF(ISERROR(OFFSET('HARGA SATUAN'!$D$6,MATCH(RAB!C147,'HARGA SATUAN'!$C$7:$C$1492,0),0)),"",OFFSET('HARGA SATUAN'!$D$6,MATCH(RAB!C147,'HARGA SATUAN'!$C$7:$C$1492,0),0))</f>
        <v>HDW</v>
      </c>
      <c r="E147" s="359" t="str">
        <f ca="1">IF(B147="+","Unit",IF(ISERROR(OFFSET('HARGA SATUAN'!$E$6,MATCH(RAB!C147,'HARGA SATUAN'!$C$7:$C$1492,0),0)),"",OFFSET('HARGA SATUAN'!$E$6,MATCH(RAB!C147,'HARGA SATUAN'!$C$7:$C$1492,0),0)))</f>
        <v>Mtr</v>
      </c>
      <c r="F147" s="484">
        <f>F144*1.5</f>
        <v>1.5</v>
      </c>
      <c r="G147" s="360">
        <f ca="1">IF(ISERROR(OFFSET('HARGA SATUAN'!$I$6,MATCH(RAB!C147,'HARGA SATUAN'!$C$7:$C$1492,0),0)),0,OFFSET('HARGA SATUAN'!$I$6,MATCH(RAB!C147,'HARGA SATUAN'!$C$7:$C$1492,0),0))</f>
        <v>30000</v>
      </c>
      <c r="H147" s="361">
        <f t="shared" ca="1" si="36"/>
        <v>0</v>
      </c>
      <c r="I147" s="361">
        <f t="shared" ca="1" si="37"/>
        <v>45000</v>
      </c>
      <c r="J147" s="361">
        <f t="shared" ca="1" si="38"/>
        <v>0</v>
      </c>
      <c r="K147" s="362">
        <f t="shared" ca="1" si="39"/>
        <v>45000</v>
      </c>
    </row>
    <row r="148" spans="2:13">
      <c r="B148" s="504">
        <v>4</v>
      </c>
      <c r="C148" s="505" t="s">
        <v>33</v>
      </c>
      <c r="D148" s="358" t="str">
        <f ca="1">IF(ISERROR(OFFSET('HARGA SATUAN'!$D$6,MATCH(RAB!C148,'HARGA SATUAN'!$C$7:$C$1492,0),0)),"",OFFSET('HARGA SATUAN'!$D$6,MATCH(RAB!C148,'HARGA SATUAN'!$C$7:$C$1492,0),0))</f>
        <v>HDW</v>
      </c>
      <c r="E148" s="359" t="str">
        <f ca="1">IF(B148="+","Unit",IF(ISERROR(OFFSET('HARGA SATUAN'!$E$6,MATCH(RAB!C148,'HARGA SATUAN'!$C$7:$C$1492,0),0)),"",OFFSET('HARGA SATUAN'!$E$6,MATCH(RAB!C148,'HARGA SATUAN'!$C$7:$C$1492,0),0)))</f>
        <v>Bh</v>
      </c>
      <c r="F148" s="484">
        <f>F144*2</f>
        <v>2</v>
      </c>
      <c r="G148" s="360">
        <f ca="1">IF(ISERROR(OFFSET('HARGA SATUAN'!$I$6,MATCH(RAB!C148,'HARGA SATUAN'!$C$7:$C$1492,0),0)),0,OFFSET('HARGA SATUAN'!$I$6,MATCH(RAB!C148,'HARGA SATUAN'!$C$7:$C$1492,0),0))</f>
        <v>9500</v>
      </c>
      <c r="H148" s="361">
        <f t="shared" ca="1" si="36"/>
        <v>0</v>
      </c>
      <c r="I148" s="361">
        <f t="shared" ca="1" si="37"/>
        <v>19000</v>
      </c>
      <c r="J148" s="361">
        <f t="shared" ca="1" si="38"/>
        <v>0</v>
      </c>
      <c r="K148" s="362">
        <f t="shared" ca="1" si="39"/>
        <v>19000</v>
      </c>
    </row>
    <row r="149" spans="2:13">
      <c r="B149" s="504">
        <v>5</v>
      </c>
      <c r="C149" s="505" t="s">
        <v>735</v>
      </c>
      <c r="D149" s="358" t="str">
        <f ca="1">IF(ISERROR(OFFSET('HARGA SATUAN'!$D$6,MATCH(RAB!C149,'HARGA SATUAN'!$C$7:$C$1492,0),0)),"",OFFSET('HARGA SATUAN'!$D$6,MATCH(RAB!C149,'HARGA SATUAN'!$C$7:$C$1492,0),0))</f>
        <v>JASA</v>
      </c>
      <c r="E149" s="359" t="str">
        <f ca="1">IF(B149="+","Unit",IF(ISERROR(OFFSET('HARGA SATUAN'!$E$6,MATCH(RAB!C149,'HARGA SATUAN'!$C$7:$C$1492,0),0)),"",OFFSET('HARGA SATUAN'!$E$6,MATCH(RAB!C149,'HARGA SATUAN'!$C$7:$C$1492,0),0)))</f>
        <v>Unit</v>
      </c>
      <c r="F149" s="484">
        <f>F144*1</f>
        <v>1</v>
      </c>
      <c r="G149" s="360">
        <f ca="1">IF(ISERROR(OFFSET('HARGA SATUAN'!$I$6,MATCH(RAB!C149,'HARGA SATUAN'!$C$7:$C$1492,0),0)),0,OFFSET('HARGA SATUAN'!$I$6,MATCH(RAB!C149,'HARGA SATUAN'!$C$7:$C$1492,0),0))</f>
        <v>56400</v>
      </c>
      <c r="H149" s="361">
        <f t="shared" ca="1" si="36"/>
        <v>0</v>
      </c>
      <c r="I149" s="361">
        <f t="shared" ca="1" si="37"/>
        <v>0</v>
      </c>
      <c r="J149" s="361">
        <f t="shared" ca="1" si="38"/>
        <v>56400</v>
      </c>
      <c r="K149" s="362">
        <f t="shared" ca="1" si="39"/>
        <v>56400</v>
      </c>
    </row>
    <row r="150" spans="2:13">
      <c r="B150" s="504"/>
      <c r="C150" s="505"/>
      <c r="D150" s="358" t="str">
        <f ca="1">IF(ISERROR(OFFSET('HARGA SATUAN'!$D$6,MATCH(RAB!C150,'HARGA SATUAN'!$C$7:$C$1492,0),0)),"",OFFSET('HARGA SATUAN'!$D$6,MATCH(RAB!C150,'HARGA SATUAN'!$C$7:$C$1492,0),0))</f>
        <v/>
      </c>
      <c r="E150" s="359" t="str">
        <f ca="1">IF(B150="+","Unit",IF(ISERROR(OFFSET('HARGA SATUAN'!$E$6,MATCH(RAB!C150,'HARGA SATUAN'!$C$7:$C$1492,0),0)),"",OFFSET('HARGA SATUAN'!$E$6,MATCH(RAB!C150,'HARGA SATUAN'!$C$7:$C$1492,0),0)))</f>
        <v/>
      </c>
      <c r="F150" s="484"/>
      <c r="G150" s="360">
        <f ca="1">IF(ISERROR(OFFSET('HARGA SATUAN'!$I$6,MATCH(RAB!C150,'HARGA SATUAN'!$C$7:$C$1492,0),0)),0,OFFSET('HARGA SATUAN'!$I$6,MATCH(RAB!C150,'HARGA SATUAN'!$C$7:$C$1492,0),0))</f>
        <v>0</v>
      </c>
      <c r="H150" s="361">
        <f t="shared" ca="1" si="36"/>
        <v>0</v>
      </c>
      <c r="I150" s="361">
        <f t="shared" ca="1" si="37"/>
        <v>0</v>
      </c>
      <c r="J150" s="361">
        <f t="shared" ca="1" si="38"/>
        <v>0</v>
      </c>
      <c r="K150" s="362">
        <f t="shared" ca="1" si="39"/>
        <v>0</v>
      </c>
    </row>
    <row r="151" spans="2:13">
      <c r="B151" s="373" t="s">
        <v>1550</v>
      </c>
      <c r="C151" s="374" t="s">
        <v>1611</v>
      </c>
      <c r="D151" s="358" t="str">
        <f ca="1">IF(ISERROR(OFFSET('HARGA SATUAN'!$D$6,MATCH(RAB!C151,'HARGA SATUAN'!$C$7:$C$1492,0),0)),"",OFFSET('HARGA SATUAN'!$D$6,MATCH(RAB!C151,'HARGA SATUAN'!$C$7:$C$1492,0),0))</f>
        <v/>
      </c>
      <c r="E151" s="359" t="str">
        <f ca="1">IF(B151="+","Unit",IF(ISERROR(OFFSET('HARGA SATUAN'!$E$6,MATCH(RAB!C151,'HARGA SATUAN'!$C$7:$C$1492,0),0)),"",OFFSET('HARGA SATUAN'!$E$6,MATCH(RAB!C151,'HARGA SATUAN'!$C$7:$C$1492,0),0)))</f>
        <v/>
      </c>
      <c r="F151" s="484"/>
      <c r="G151" s="360">
        <f ca="1">IF(ISERROR(OFFSET('HARGA SATUAN'!$I$6,MATCH(RAB!C151,'HARGA SATUAN'!$C$7:$C$1492,0),0)),0,OFFSET('HARGA SATUAN'!$I$6,MATCH(RAB!C151,'HARGA SATUAN'!$C$7:$C$1492,0),0))</f>
        <v>0</v>
      </c>
      <c r="H151" s="361">
        <f t="shared" ca="1" si="36"/>
        <v>0</v>
      </c>
      <c r="I151" s="361">
        <f t="shared" ca="1" si="37"/>
        <v>0</v>
      </c>
      <c r="J151" s="361">
        <f t="shared" ca="1" si="38"/>
        <v>0</v>
      </c>
      <c r="K151" s="362">
        <f t="shared" ca="1" si="39"/>
        <v>0</v>
      </c>
    </row>
    <row r="152" spans="2:13">
      <c r="B152" s="375"/>
      <c r="C152" s="109"/>
      <c r="D152" s="358" t="str">
        <f ca="1">IF(ISERROR(OFFSET('HARGA SATUAN'!$D$6,MATCH(RAB!C152,'HARGA SATUAN'!$C$7:$C$1492,0),0)),"",OFFSET('HARGA SATUAN'!$D$6,MATCH(RAB!C152,'HARGA SATUAN'!$C$7:$C$1492,0),0))</f>
        <v/>
      </c>
      <c r="E152" s="359" t="str">
        <f ca="1">IF(B152="+","Unit",IF(ISERROR(OFFSET('HARGA SATUAN'!$E$6,MATCH(RAB!C152,'HARGA SATUAN'!$C$7:$C$1492,0),0)),"",OFFSET('HARGA SATUAN'!$E$6,MATCH(RAB!C152,'HARGA SATUAN'!$C$7:$C$1492,0),0)))</f>
        <v/>
      </c>
      <c r="F152" s="484"/>
      <c r="G152" s="360">
        <f ca="1">IF(ISERROR(OFFSET('HARGA SATUAN'!$I$6,MATCH(RAB!C152,'HARGA SATUAN'!$C$7:$C$1492,0),0)),0,OFFSET('HARGA SATUAN'!$I$6,MATCH(RAB!C152,'HARGA SATUAN'!$C$7:$C$1492,0),0))</f>
        <v>0</v>
      </c>
      <c r="H152" s="361">
        <f t="shared" ca="1" si="36"/>
        <v>0</v>
      </c>
      <c r="I152" s="361">
        <f t="shared" ca="1" si="37"/>
        <v>0</v>
      </c>
      <c r="J152" s="361">
        <f t="shared" ca="1" si="38"/>
        <v>0</v>
      </c>
      <c r="K152" s="362">
        <f t="shared" ca="1" si="39"/>
        <v>0</v>
      </c>
    </row>
    <row r="153" spans="2:13">
      <c r="B153" s="376"/>
      <c r="C153" s="377" t="s">
        <v>475</v>
      </c>
      <c r="D153" s="358" t="str">
        <f ca="1">IF(ISERROR(OFFSET('HARGA SATUAN'!$D$6,MATCH(RAB!C153,'HARGA SATUAN'!$C$7:$C$1492,0),0)),"",OFFSET('HARGA SATUAN'!$D$6,MATCH(RAB!C153,'HARGA SATUAN'!$C$7:$C$1492,0),0))</f>
        <v/>
      </c>
      <c r="E153" s="359" t="str">
        <f ca="1">IF(B153="+","Unit",IF(ISERROR(OFFSET('HARGA SATUAN'!$E$6,MATCH(RAB!C153,'HARGA SATUAN'!$C$7:$C$1492,0),0)),"",OFFSET('HARGA SATUAN'!$E$6,MATCH(RAB!C153,'HARGA SATUAN'!$C$7:$C$1492,0),0)))</f>
        <v/>
      </c>
      <c r="F153" s="484"/>
      <c r="G153" s="360">
        <f ca="1">IF(ISERROR(OFFSET('HARGA SATUAN'!$I$6,MATCH(RAB!C153,'HARGA SATUAN'!$C$7:$C$1492,0),0)),0,OFFSET('HARGA SATUAN'!$I$6,MATCH(RAB!C153,'HARGA SATUAN'!$C$7:$C$1492,0),0))</f>
        <v>0</v>
      </c>
      <c r="H153" s="361">
        <f t="shared" ca="1" si="32"/>
        <v>0</v>
      </c>
      <c r="I153" s="361">
        <f t="shared" ca="1" si="33"/>
        <v>0</v>
      </c>
      <c r="J153" s="361">
        <f t="shared" ca="1" si="34"/>
        <v>0</v>
      </c>
      <c r="K153" s="362">
        <f t="shared" ca="1" si="35"/>
        <v>0</v>
      </c>
    </row>
    <row r="154" spans="2:13">
      <c r="B154" s="379">
        <v>1</v>
      </c>
      <c r="C154" s="380" t="s">
        <v>1091</v>
      </c>
      <c r="D154" s="381" t="str">
        <f ca="1">IF(ISERROR(OFFSET('HARGA SATUAN'!$D$6,MATCH(RAB!C154,'HARGA SATUAN'!$C$7:$C$1492,0),0)),"",OFFSET('HARGA SATUAN'!$D$6,MATCH(RAB!C154,'HARGA SATUAN'!$C$7:$C$1492,0),0))</f>
        <v>JASA</v>
      </c>
      <c r="E154" s="382" t="str">
        <f ca="1">IF(ISERROR(OFFSET('HARGA SATUAN'!$E$6,MATCH(RAB!C154,'HARGA SATUAN'!$C$7:$C$1492,0),0)),"",OFFSET('HARGA SATUAN'!$E$6,MATCH(RAB!C154,'HARGA SATUAN'!$C$7:$C$1492,0),0))</f>
        <v>Lot</v>
      </c>
      <c r="F154" s="383">
        <v>1</v>
      </c>
      <c r="G154" s="384">
        <f ca="1">IF(ISERROR(OFFSET('HARGA SATUAN'!$I$6,MATCH(RAB!C154,'HARGA SATUAN'!$C$7:$C$1492,0),0)),0,OFFSET('HARGA SATUAN'!$I$6,MATCH(RAB!C154,'HARGA SATUAN'!$C$7:$C$1492,0),0))</f>
        <v>2.5000000000000001E-2</v>
      </c>
      <c r="H154" s="385">
        <f ca="1">2.5%*(SUM(H14:H153))</f>
        <v>2069516.25</v>
      </c>
      <c r="I154" s="385">
        <f t="shared" ref="I154" ca="1" si="40">2.5%*(SUM(I14:I153))</f>
        <v>657257.77166666673</v>
      </c>
      <c r="J154" s="385">
        <f ca="1">2.5%*(SUM(J14:J153))</f>
        <v>118535.83333333333</v>
      </c>
      <c r="K154" s="386">
        <f ca="1">SUM(H154:J154)</f>
        <v>2845309.855</v>
      </c>
    </row>
    <row r="155" spans="2:13">
      <c r="B155" s="387"/>
      <c r="C155" s="388"/>
      <c r="D155" s="358" t="str">
        <f ca="1">IF(ISERROR(OFFSET('HARGA SATUAN'!$D$6,MATCH(RAB!C155,'HARGA SATUAN'!$C$7:$C$1492,0),0)),"",OFFSET('HARGA SATUAN'!$D$6,MATCH(RAB!C155,'HARGA SATUAN'!$C$7:$C$1492,0),0))</f>
        <v/>
      </c>
      <c r="E155" s="359" t="str">
        <f ca="1">IF(ISERROR(OFFSET('HARGA SATUAN'!$E$6,MATCH(RAB!C155,'HARGA SATUAN'!$C$7:$C$1492,0),0)),"",OFFSET('HARGA SATUAN'!$E$6,MATCH(RAB!C155,'HARGA SATUAN'!$C$7:$C$1492,0),0))</f>
        <v/>
      </c>
      <c r="F155" s="378"/>
      <c r="G155" s="360" t="str">
        <f ca="1">IF(ISERROR(OFFSET('HARGA SATUAN'!$I$6,MATCH(RAB!C155,'HARGA SATUAN'!$C$7:$C$1492,0),0)),"",OFFSET('HARGA SATUAN'!$I$6,MATCH(RAB!C155,'HARGA SATUAN'!$C$7:$C$1492,0),0))</f>
        <v/>
      </c>
      <c r="H155" s="361">
        <f ca="1">IF(OR(D155="MDU",D155="MDU-KD"),IF(G155="PLN",0,G155*F155),0)</f>
        <v>0</v>
      </c>
      <c r="I155" s="361">
        <f ca="1">IF(D155="HDW",IF(G155="PLN",0,G155*F155),0)</f>
        <v>0</v>
      </c>
      <c r="J155" s="361">
        <f ca="1">IF(D155="JASA",IF(G155="PLN",0,G155*F155),0)</f>
        <v>0</v>
      </c>
      <c r="K155" s="362">
        <f ca="1">SUM(H155:J155)</f>
        <v>0</v>
      </c>
    </row>
    <row r="156" spans="2:13" ht="15.75" thickBot="1">
      <c r="B156" s="389"/>
      <c r="C156" s="390"/>
      <c r="D156" s="391"/>
      <c r="E156" s="392"/>
      <c r="F156" s="392"/>
      <c r="G156" s="392"/>
      <c r="H156" s="393"/>
      <c r="I156" s="393"/>
      <c r="J156" s="393"/>
      <c r="K156" s="394"/>
    </row>
    <row r="157" spans="2:13">
      <c r="B157" s="395"/>
      <c r="C157" s="624" t="s">
        <v>1008</v>
      </c>
      <c r="D157" s="624"/>
      <c r="E157" s="624"/>
      <c r="F157" s="624"/>
      <c r="G157" s="396" t="s">
        <v>9</v>
      </c>
      <c r="H157" s="397">
        <f ca="1">SUM(H14:H155)</f>
        <v>84850166.25</v>
      </c>
      <c r="I157" s="397">
        <f ca="1">SUM(I14:I155)</f>
        <v>26947568.638333336</v>
      </c>
      <c r="J157" s="397">
        <f ca="1">SUM(J14:J155)</f>
        <v>4859969.166666666</v>
      </c>
      <c r="K157" s="397">
        <f ca="1">SUM(K14:K155)</f>
        <v>116657704.05500001</v>
      </c>
    </row>
    <row r="158" spans="2:13">
      <c r="B158" s="400"/>
      <c r="C158" s="640" t="s">
        <v>1460</v>
      </c>
      <c r="D158" s="640"/>
      <c r="E158" s="640"/>
      <c r="F158" s="640"/>
      <c r="G158" s="401" t="s">
        <v>9</v>
      </c>
      <c r="H158" s="402">
        <f ca="1">H157*0.11</f>
        <v>9333518.2874999996</v>
      </c>
      <c r="I158" s="402">
        <f ca="1">I157*0.11</f>
        <v>2964232.5502166669</v>
      </c>
      <c r="J158" s="402">
        <f ca="1">J157*0.11</f>
        <v>534596.60833333328</v>
      </c>
      <c r="K158" s="402">
        <f ca="1">K157*0.11</f>
        <v>12832347.446050001</v>
      </c>
    </row>
    <row r="159" spans="2:13" ht="15.75" thickBot="1">
      <c r="B159" s="400"/>
      <c r="C159" s="638" t="s">
        <v>463</v>
      </c>
      <c r="D159" s="638"/>
      <c r="E159" s="638"/>
      <c r="F159" s="638"/>
      <c r="G159" s="404" t="s">
        <v>9</v>
      </c>
      <c r="H159" s="405">
        <f ca="1">SUM(H157:H158)</f>
        <v>94183684.537499994</v>
      </c>
      <c r="I159" s="405">
        <f ca="1">SUM(I157:I158)</f>
        <v>29911801.188550003</v>
      </c>
      <c r="J159" s="404">
        <f ca="1">SUM(J157:J158)</f>
        <v>5394565.7749999994</v>
      </c>
      <c r="K159" s="404">
        <f ca="1">SUM(K157:K158)</f>
        <v>129490051.50105001</v>
      </c>
      <c r="M159" s="487"/>
    </row>
    <row r="160" spans="2:13">
      <c r="B160" s="641" t="str">
        <f ca="1">"Terbilang : "&amp;PROPER(IF(K159=0,"nol",IF(K159&lt;0,"minus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IF(--MID(TEXT(ABS(K159),"000000000000000"),1,3)=0,"",MID(TEXT(ABS(K159),"000000000000000"),1,1)&amp;" ratus "&amp;MID(TEXT(ABS(K159),"000000000000000"),2,1)&amp;" puluh "&amp;MID(TEXT(ABS(K159),"000000000000000"),3,1)&amp;" trilyun ")&amp; IF(--MID(TEXT(ABS(K159),"000000000000000"),4,3)=0,"",MID(TEXT(ABS(K159),"000000000000000"),4,1)&amp;" ratus "&amp;MID(TEXT(ABS(K159),"000000000000000"),5,1)&amp;" puluh "&amp;MID(TEXT(ABS(K159),"000000000000000"),6,1)&amp;" milyar ")&amp; IF(--MID(TEXT(ABS(K159),"000000000000000"),7,3)=0,"",MID(TEXT(ABS(K159),"000000000000000"),7,1)&amp;" ratus "&amp;MID(TEXT(ABS(K159),"000000000000000"),8,1)&amp;" puluh "&amp;MID(TEXT(ABS(K159),"000000000000000"),9,1)&amp;" juta ")&amp; IF(--MID(TEXT(ABS(K159),"000000000000000"),10,3)=0,"",IF(--MID(TEXT(ABS(K159),"000000000000000"),10,3)=1,"*",MID(TEXT(ABS(K159),"000000000000000"),10,1)&amp;" ratus "&amp;MID(TEXT(ABS(K159),"000000000000000"),11,1)&amp;" puluh ")&amp;MID(TEXT(ABS(K159),"000000000000000"),12,1)&amp;" ribu ")&amp; IF(--MID(TEXT(ABS(K159),"000000000000000"),13,3)=0,"",MID(TEXT(ABS(K159),"000000000000000"),13,1)&amp;" ratus "&amp;MID(TEXT(ABS(K159),"000000000000000"),14,1)&amp;" puluh "&amp;MID(TEXT(ABS(K159),"000000000000000"),15,1)),1,"satu"),2,"dua"),3,"tiga"),4,"empat"),5,"lima"),6,"enam"),7,"tujuh"),8,"delapan"),9,"sembilan"),"0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Dua Puluh Sembilan Juta Empat Ratus Sembilan Puluh Ribu Lima Puluh Dua Rupiah</v>
      </c>
      <c r="C160" s="642"/>
      <c r="D160" s="642"/>
      <c r="E160" s="642"/>
      <c r="F160" s="642"/>
      <c r="G160" s="642"/>
      <c r="H160" s="642"/>
      <c r="I160" s="642"/>
      <c r="J160" s="642"/>
      <c r="K160" s="643"/>
    </row>
    <row r="161" spans="2:11">
      <c r="B161" s="644"/>
      <c r="C161" s="645"/>
      <c r="D161" s="645"/>
      <c r="E161" s="645"/>
      <c r="F161" s="645"/>
      <c r="G161" s="645"/>
      <c r="H161" s="645"/>
      <c r="I161" s="645"/>
      <c r="J161" s="645"/>
      <c r="K161" s="646"/>
    </row>
    <row r="162" spans="2:11" ht="15.75" thickBot="1">
      <c r="B162" s="407" t="str">
        <f>"Harga yang dipakai adalah "&amp;'HARGA SATUAN'!I5&amp;""</f>
        <v>Harga yang dipakai adalah RAB HSS 2023</v>
      </c>
      <c r="C162" s="408"/>
      <c r="D162" s="409"/>
      <c r="E162" s="409"/>
      <c r="F162" s="409"/>
      <c r="G162" s="410"/>
      <c r="H162" s="410"/>
      <c r="I162" s="410"/>
      <c r="J162" s="410"/>
      <c r="K162" s="411"/>
    </row>
    <row r="163" spans="2:11">
      <c r="C163" s="412"/>
      <c r="E163" s="414"/>
      <c r="F163" s="414"/>
      <c r="G163" s="414"/>
    </row>
    <row r="164" spans="2:11">
      <c r="C164" s="337"/>
      <c r="E164" s="414"/>
      <c r="F164" s="414"/>
      <c r="G164" s="414"/>
      <c r="H164" s="647"/>
      <c r="I164" s="647"/>
      <c r="J164" s="648"/>
      <c r="K164" s="648"/>
    </row>
    <row r="165" spans="2:11">
      <c r="C165" s="337"/>
      <c r="E165" s="414"/>
      <c r="F165" s="414"/>
      <c r="G165" s="414"/>
      <c r="H165" s="415"/>
      <c r="I165" s="637" t="s">
        <v>1640</v>
      </c>
      <c r="J165" s="637"/>
      <c r="K165" s="637"/>
    </row>
    <row r="166" spans="2:11">
      <c r="C166" s="337"/>
      <c r="E166" s="414"/>
      <c r="F166" s="414"/>
      <c r="G166" s="414"/>
      <c r="H166" s="415"/>
      <c r="I166" s="637" t="s">
        <v>1641</v>
      </c>
      <c r="J166" s="637"/>
      <c r="K166" s="637"/>
    </row>
    <row r="167" spans="2:11">
      <c r="C167" s="337"/>
      <c r="E167" s="414"/>
      <c r="F167" s="414"/>
      <c r="G167" s="414"/>
      <c r="H167" s="416"/>
      <c r="I167" s="417"/>
      <c r="J167" s="417"/>
      <c r="K167" s="417"/>
    </row>
    <row r="168" spans="2:11">
      <c r="C168" s="337"/>
      <c r="E168" s="414"/>
      <c r="F168" s="414"/>
      <c r="G168" s="414"/>
      <c r="H168" s="416"/>
      <c r="I168" s="416"/>
      <c r="J168" s="416"/>
      <c r="K168" s="416"/>
    </row>
    <row r="169" spans="2:11">
      <c r="C169" s="337"/>
      <c r="E169" s="414"/>
      <c r="F169" s="414"/>
      <c r="G169" s="414"/>
      <c r="H169" s="416"/>
      <c r="I169" s="416"/>
      <c r="J169" s="416"/>
      <c r="K169" s="416"/>
    </row>
    <row r="170" spans="2:11">
      <c r="C170" s="337"/>
      <c r="E170" s="414"/>
      <c r="F170" s="414"/>
      <c r="G170" s="414"/>
      <c r="H170" s="416"/>
      <c r="I170" s="416"/>
      <c r="J170" s="416"/>
      <c r="K170" s="416"/>
    </row>
    <row r="171" spans="2:11">
      <c r="C171" s="337"/>
      <c r="E171" s="414"/>
      <c r="F171" s="414"/>
      <c r="G171" s="414"/>
      <c r="H171" s="418"/>
      <c r="I171" s="637" t="s">
        <v>1642</v>
      </c>
      <c r="J171" s="637"/>
      <c r="K171" s="637"/>
    </row>
    <row r="172" spans="2:11">
      <c r="C172" s="412"/>
      <c r="E172" s="414"/>
      <c r="F172" s="414"/>
      <c r="G172" s="414"/>
      <c r="H172" s="416"/>
      <c r="I172" s="416"/>
      <c r="J172" s="416"/>
      <c r="K172" s="416"/>
    </row>
    <row r="173" spans="2:11">
      <c r="C173" s="412"/>
      <c r="E173" s="414"/>
      <c r="F173" s="414"/>
      <c r="G173" s="414"/>
      <c r="H173" s="416"/>
      <c r="I173" s="416"/>
      <c r="J173" s="416"/>
      <c r="K173" s="416"/>
    </row>
    <row r="174" spans="2:11">
      <c r="C174" s="412"/>
      <c r="E174" s="414"/>
      <c r="F174" s="414"/>
      <c r="G174" s="414"/>
      <c r="H174" s="416"/>
      <c r="I174" s="416"/>
      <c r="J174" s="416"/>
      <c r="K174" s="416"/>
    </row>
  </sheetData>
  <sheetProtection sort="0" autoFilter="0"/>
  <protectedRanges>
    <protectedRange sqref="B152 B107:B114" name="Range1_1"/>
    <protectedRange sqref="F14:F16 F20:F22" name="Range1_1_2_2"/>
    <protectedRange sqref="B151:C151 B57:C58 B64:C65 B66:B69 B126:C126 B70:C86 B93:C94 C107:C114" name="Range1_1_1"/>
    <protectedRange sqref="C152" name="Range1_1_3_12"/>
    <protectedRange sqref="C39 C41:C56" name="Range1_1_3_2"/>
    <protectedRange sqref="F17:F19" name="Range1_1_2_2_1_1"/>
    <protectedRange sqref="B26:C26 B28:C37 B23:B25" name="Range1_1_1_1"/>
    <protectedRange sqref="B27:C27" name="Range1_6_1_1"/>
    <protectedRange sqref="F23:F37" name="Range1_1_2_2_1_3"/>
    <protectedRange sqref="C24" name="Range1_1_3_3"/>
    <protectedRange sqref="C25" name="Range1_1_3_4"/>
    <protectedRange sqref="C40" name="Range1_1_3_5"/>
    <protectedRange sqref="C66" name="Range1_1_3_6"/>
    <protectedRange sqref="C67" name="Range1_1_3_8"/>
    <protectedRange sqref="C68" name="Range1_1_3_9"/>
    <protectedRange sqref="C69" name="Range1_1_3_10"/>
    <protectedRange sqref="C132" name="Range1_1_3_18"/>
    <protectedRange sqref="C99" name="Range1_1_3_16"/>
    <protectedRange sqref="C103" name="Range1_1_3_17"/>
    <protectedRange sqref="C96" name="Range1_1_3_1"/>
  </protectedRanges>
  <mergeCells count="22">
    <mergeCell ref="I166:K166"/>
    <mergeCell ref="I171:K171"/>
    <mergeCell ref="C159:F159"/>
    <mergeCell ref="G6:K6"/>
    <mergeCell ref="I165:K165"/>
    <mergeCell ref="C158:F158"/>
    <mergeCell ref="B160:K161"/>
    <mergeCell ref="H164:K164"/>
    <mergeCell ref="H11:K11"/>
    <mergeCell ref="H12:H13"/>
    <mergeCell ref="J12:J13"/>
    <mergeCell ref="K12:K13"/>
    <mergeCell ref="O3:P4"/>
    <mergeCell ref="B4:K4"/>
    <mergeCell ref="C157:F157"/>
    <mergeCell ref="B11:B13"/>
    <mergeCell ref="C11:C13"/>
    <mergeCell ref="D11:D13"/>
    <mergeCell ref="E11:E13"/>
    <mergeCell ref="F11:F13"/>
    <mergeCell ref="G11:G13"/>
    <mergeCell ref="I12:I13"/>
  </mergeCells>
  <phoneticPr fontId="138" type="noConversion"/>
  <conditionalFormatting sqref="C15">
    <cfRule type="cellIs" dxfId="16" priority="458" operator="equal">
      <formula>0</formula>
    </cfRule>
  </conditionalFormatting>
  <conditionalFormatting sqref="C17:C19">
    <cfRule type="cellIs" dxfId="15" priority="43" operator="equal">
      <formula>0</formula>
    </cfRule>
  </conditionalFormatting>
  <conditionalFormatting sqref="C24:C25">
    <cfRule type="cellIs" dxfId="14" priority="38" operator="equal">
      <formula>0</formula>
    </cfRule>
  </conditionalFormatting>
  <conditionalFormatting sqref="C40">
    <cfRule type="cellIs" dxfId="13" priority="33" operator="equal">
      <formula>0</formula>
    </cfRule>
  </conditionalFormatting>
  <conditionalFormatting sqref="C66:C69">
    <cfRule type="cellIs" dxfId="12" priority="27" operator="equal">
      <formula>0</formula>
    </cfRule>
  </conditionalFormatting>
  <conditionalFormatting sqref="C99:C100">
    <cfRule type="cellIs" dxfId="10" priority="4" operator="equal">
      <formula>0</formula>
    </cfRule>
  </conditionalFormatting>
  <conditionalFormatting sqref="C103">
    <cfRule type="cellIs" dxfId="9" priority="3" operator="equal">
      <formula>0</formula>
    </cfRule>
  </conditionalFormatting>
  <conditionalFormatting sqref="C114">
    <cfRule type="cellIs" dxfId="8" priority="49" operator="equal">
      <formula>0</formula>
    </cfRule>
  </conditionalFormatting>
  <conditionalFormatting sqref="C129">
    <cfRule type="cellIs" dxfId="7" priority="20" operator="equal">
      <formula>0</formula>
    </cfRule>
  </conditionalFormatting>
  <conditionalFormatting sqref="C132">
    <cfRule type="cellIs" dxfId="6" priority="10" operator="equal">
      <formula>0</formula>
    </cfRule>
  </conditionalFormatting>
  <conditionalFormatting sqref="C152">
    <cfRule type="cellIs" dxfId="5" priority="56" operator="equal">
      <formula>0</formula>
    </cfRule>
  </conditionalFormatting>
  <conditionalFormatting sqref="E1:E3 G1:G13 E5:E13 H12:I12 O13 S14:V56 E154:G154 H154:K156 E155:H155 E156:F156">
    <cfRule type="cellIs" dxfId="4" priority="1038" stopIfTrue="1" operator="equal">
      <formula>0</formula>
    </cfRule>
  </conditionalFormatting>
  <conditionalFormatting sqref="E14:K153">
    <cfRule type="cellIs" dxfId="3" priority="6" stopIfTrue="1" operator="equal">
      <formula>0</formula>
    </cfRule>
  </conditionalFormatting>
  <conditionalFormatting sqref="G155:G65621 E160:E65621">
    <cfRule type="cellIs" dxfId="2" priority="172" stopIfTrue="1" operator="equal">
      <formula>0</formula>
    </cfRule>
  </conditionalFormatting>
  <conditionalFormatting sqref="C96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23:F38 F134 F139:F153 F58:F83 F85:F127 C97:C98 H14:K156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ignoredErrors>
    <ignoredError sqref="L99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29" zoomScaleNormal="115" zoomScaleSheetLayoutView="100" workbookViewId="0">
      <selection activeCell="AB53" sqref="AB53:AD53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51" t="s">
        <v>1439</v>
      </c>
      <c r="X2" s="652"/>
      <c r="Y2" s="652"/>
      <c r="Z2" s="652"/>
      <c r="AA2" s="652"/>
      <c r="AB2" s="652"/>
      <c r="AC2" s="652"/>
      <c r="AD2" s="653"/>
    </row>
    <row r="3" spans="3:30">
      <c r="C3" s="238"/>
      <c r="W3" s="654"/>
      <c r="X3" s="655"/>
      <c r="Y3" s="655"/>
      <c r="Z3" s="655"/>
      <c r="AA3" s="655"/>
      <c r="AB3" s="655"/>
      <c r="AC3" s="655"/>
      <c r="AD3" s="656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7" t="s">
        <v>990</v>
      </c>
      <c r="Y5" s="657"/>
      <c r="Z5" s="657"/>
      <c r="AA5" s="657" t="s">
        <v>988</v>
      </c>
      <c r="AB5" s="657"/>
      <c r="AC5" s="657" t="s">
        <v>989</v>
      </c>
      <c r="AD5" s="658"/>
    </row>
    <row r="6" spans="3:30">
      <c r="C6" s="238"/>
      <c r="W6" s="241">
        <v>1</v>
      </c>
      <c r="X6" s="657" t="s">
        <v>993</v>
      </c>
      <c r="Y6" s="657"/>
      <c r="Z6" s="657"/>
      <c r="AA6" s="657"/>
      <c r="AB6" s="657"/>
      <c r="AC6" s="657"/>
      <c r="AD6" s="658"/>
    </row>
    <row r="7" spans="3:30">
      <c r="C7" s="238"/>
      <c r="E7" s="493"/>
      <c r="W7" s="241">
        <v>2</v>
      </c>
      <c r="X7" s="657" t="s">
        <v>994</v>
      </c>
      <c r="Y7" s="657"/>
      <c r="Z7" s="657"/>
      <c r="AA7" s="657"/>
      <c r="AB7" s="657"/>
      <c r="AC7" s="657"/>
      <c r="AD7" s="658"/>
    </row>
    <row r="8" spans="3:30">
      <c r="C8" s="238"/>
      <c r="W8" s="241">
        <v>3</v>
      </c>
      <c r="X8" s="657" t="s">
        <v>995</v>
      </c>
      <c r="Y8" s="657"/>
      <c r="Z8" s="657"/>
      <c r="AA8" s="657"/>
      <c r="AB8" s="657"/>
      <c r="AC8" s="657"/>
      <c r="AD8" s="658"/>
    </row>
    <row r="9" spans="3:30">
      <c r="C9" s="238"/>
      <c r="W9" s="241">
        <v>4</v>
      </c>
      <c r="X9" s="657" t="s">
        <v>996</v>
      </c>
      <c r="Y9" s="657"/>
      <c r="Z9" s="657"/>
      <c r="AA9" s="657"/>
      <c r="AB9" s="657"/>
      <c r="AC9" s="657"/>
      <c r="AD9" s="658"/>
    </row>
    <row r="10" spans="3:30">
      <c r="C10" s="238"/>
      <c r="W10" s="241">
        <v>5</v>
      </c>
      <c r="X10" s="657" t="s">
        <v>997</v>
      </c>
      <c r="Y10" s="657"/>
      <c r="Z10" s="657"/>
      <c r="AA10" s="657"/>
      <c r="AB10" s="657"/>
      <c r="AC10" s="657"/>
      <c r="AD10" s="658"/>
    </row>
    <row r="11" spans="3:30">
      <c r="C11" s="238"/>
      <c r="W11" s="241">
        <v>6</v>
      </c>
      <c r="X11" s="657" t="s">
        <v>998</v>
      </c>
      <c r="Y11" s="657"/>
      <c r="Z11" s="657"/>
      <c r="AA11" s="657"/>
      <c r="AB11" s="657"/>
      <c r="AC11" s="657"/>
      <c r="AD11" s="658"/>
    </row>
    <row r="12" spans="3:30">
      <c r="C12" s="238"/>
      <c r="W12" s="241">
        <v>7</v>
      </c>
      <c r="X12" s="657" t="s">
        <v>999</v>
      </c>
      <c r="Y12" s="657"/>
      <c r="Z12" s="657"/>
      <c r="AA12" s="657"/>
      <c r="AB12" s="657"/>
      <c r="AC12" s="657"/>
      <c r="AD12" s="658"/>
    </row>
    <row r="13" spans="3:30" ht="12.75" customHeight="1">
      <c r="C13" s="238"/>
      <c r="W13" s="241">
        <v>8</v>
      </c>
      <c r="X13" s="657" t="s">
        <v>1000</v>
      </c>
      <c r="Y13" s="657"/>
      <c r="Z13" s="657"/>
      <c r="AA13" s="657"/>
      <c r="AB13" s="657"/>
      <c r="AC13" s="657"/>
      <c r="AD13" s="658"/>
    </row>
    <row r="14" spans="3:30">
      <c r="C14" s="238"/>
      <c r="W14" s="241">
        <v>9</v>
      </c>
      <c r="X14" s="657" t="s">
        <v>1001</v>
      </c>
      <c r="Y14" s="657"/>
      <c r="Z14" s="657"/>
      <c r="AA14" s="657"/>
      <c r="AB14" s="657"/>
      <c r="AC14" s="657"/>
      <c r="AD14" s="658"/>
    </row>
    <row r="15" spans="3:30">
      <c r="C15" s="238"/>
      <c r="W15" s="241">
        <v>10</v>
      </c>
      <c r="X15" s="657" t="s">
        <v>1010</v>
      </c>
      <c r="Y15" s="657"/>
      <c r="Z15" s="657"/>
      <c r="AA15" s="657"/>
      <c r="AB15" s="657"/>
      <c r="AC15" s="657"/>
      <c r="AD15" s="658"/>
    </row>
    <row r="16" spans="3:30">
      <c r="C16" s="238"/>
      <c r="W16" s="241">
        <v>11</v>
      </c>
      <c r="X16" s="657" t="s">
        <v>1458</v>
      </c>
      <c r="Y16" s="657"/>
      <c r="Z16" s="657"/>
      <c r="AA16" s="657"/>
      <c r="AB16" s="657"/>
      <c r="AC16" s="657"/>
      <c r="AD16" s="658"/>
    </row>
    <row r="17" spans="3:30">
      <c r="C17" s="238"/>
      <c r="S17" s="242"/>
      <c r="W17" s="241">
        <v>12</v>
      </c>
      <c r="X17" s="657" t="s">
        <v>1011</v>
      </c>
      <c r="Y17" s="657"/>
      <c r="Z17" s="657"/>
      <c r="AA17" s="657"/>
      <c r="AB17" s="657"/>
      <c r="AC17" s="657"/>
      <c r="AD17" s="658"/>
    </row>
    <row r="18" spans="3:30">
      <c r="C18" s="243"/>
      <c r="D18" s="244"/>
      <c r="E18" s="244"/>
      <c r="W18" s="241">
        <v>13</v>
      </c>
      <c r="X18" s="657"/>
      <c r="Y18" s="657"/>
      <c r="Z18" s="657"/>
      <c r="AA18" s="657"/>
      <c r="AB18" s="657"/>
      <c r="AC18" s="657"/>
      <c r="AD18" s="658"/>
    </row>
    <row r="19" spans="3:30">
      <c r="C19" s="238"/>
      <c r="W19" s="245"/>
      <c r="X19" s="672"/>
      <c r="Y19" s="672"/>
      <c r="Z19" s="672"/>
      <c r="AA19" s="672"/>
      <c r="AB19" s="672"/>
      <c r="AC19" s="672"/>
      <c r="AD19" s="673"/>
    </row>
    <row r="20" spans="3:30">
      <c r="C20" s="238"/>
      <c r="W20" s="659" t="s">
        <v>992</v>
      </c>
      <c r="X20" s="660"/>
      <c r="Y20" s="660"/>
      <c r="Z20" s="660"/>
      <c r="AA20" s="660"/>
      <c r="AB20" s="660"/>
      <c r="AC20" s="660"/>
      <c r="AD20" s="661"/>
    </row>
    <row r="21" spans="3:30">
      <c r="C21" s="238"/>
      <c r="W21" s="662" t="s">
        <v>985</v>
      </c>
      <c r="X21" s="663"/>
      <c r="Y21" s="663"/>
      <c r="Z21" s="664"/>
      <c r="AA21" s="665" t="s">
        <v>986</v>
      </c>
      <c r="AB21" s="666"/>
      <c r="AC21" s="666"/>
      <c r="AD21" s="667"/>
    </row>
    <row r="22" spans="3:30">
      <c r="C22" s="238"/>
      <c r="W22" s="674" t="s">
        <v>1620</v>
      </c>
      <c r="X22" s="675"/>
      <c r="Y22" s="518" t="s">
        <v>1058</v>
      </c>
      <c r="Z22" s="519">
        <v>2</v>
      </c>
      <c r="AA22" s="668"/>
      <c r="AB22" s="669"/>
      <c r="AC22" s="248"/>
      <c r="AD22" s="249"/>
    </row>
    <row r="23" spans="3:30">
      <c r="C23" s="238"/>
      <c r="W23" s="676" t="s">
        <v>1638</v>
      </c>
      <c r="X23" s="677"/>
      <c r="Y23" s="518" t="s">
        <v>1058</v>
      </c>
      <c r="Z23" s="519">
        <v>2</v>
      </c>
      <c r="AA23" s="670"/>
      <c r="AB23" s="671"/>
      <c r="AC23" s="248"/>
      <c r="AD23" s="249"/>
    </row>
    <row r="24" spans="3:30">
      <c r="C24" s="238"/>
      <c r="W24" s="676" t="s">
        <v>1619</v>
      </c>
      <c r="X24" s="677"/>
      <c r="Y24" s="518" t="s">
        <v>1058</v>
      </c>
      <c r="Z24" s="519">
        <v>1</v>
      </c>
      <c r="AA24" s="680"/>
      <c r="AB24" s="681"/>
      <c r="AC24" s="248"/>
      <c r="AD24" s="249"/>
    </row>
    <row r="25" spans="3:30">
      <c r="C25" s="238"/>
      <c r="W25" s="676"/>
      <c r="X25" s="677"/>
      <c r="Y25" s="518"/>
      <c r="Z25" s="519"/>
      <c r="AA25" s="670"/>
      <c r="AB25" s="671"/>
      <c r="AC25" s="248"/>
      <c r="AD25" s="249"/>
    </row>
    <row r="26" spans="3:30">
      <c r="C26" s="238"/>
      <c r="W26" s="676" t="s">
        <v>1621</v>
      </c>
      <c r="X26" s="677"/>
      <c r="Y26" s="518" t="s">
        <v>1058</v>
      </c>
      <c r="Z26" s="519">
        <v>2</v>
      </c>
      <c r="AA26" s="670"/>
      <c r="AB26" s="671"/>
      <c r="AC26" s="248"/>
      <c r="AD26" s="249"/>
    </row>
    <row r="27" spans="3:30">
      <c r="C27" s="238"/>
      <c r="W27" s="676" t="s">
        <v>1625</v>
      </c>
      <c r="X27" s="677"/>
      <c r="Y27" s="518" t="s">
        <v>1058</v>
      </c>
      <c r="Z27" s="519">
        <v>2</v>
      </c>
      <c r="AA27" s="678"/>
      <c r="AB27" s="679"/>
      <c r="AC27" s="248"/>
      <c r="AD27" s="249"/>
    </row>
    <row r="28" spans="3:30">
      <c r="C28" s="238"/>
      <c r="E28" s="517" t="s">
        <v>1637</v>
      </c>
      <c r="W28" s="676"/>
      <c r="X28" s="677"/>
      <c r="Y28" s="518"/>
      <c r="Z28" s="519"/>
      <c r="AA28" s="678"/>
      <c r="AB28" s="679"/>
      <c r="AC28" s="248"/>
      <c r="AD28" s="249"/>
    </row>
    <row r="29" spans="3:30">
      <c r="C29" s="238"/>
      <c r="W29" s="676" t="s">
        <v>1639</v>
      </c>
      <c r="X29" s="677"/>
      <c r="Y29" s="518" t="s">
        <v>1058</v>
      </c>
      <c r="Z29" s="519">
        <v>1</v>
      </c>
      <c r="AA29" s="678"/>
      <c r="AB29" s="679"/>
      <c r="AC29" s="248"/>
      <c r="AD29" s="249"/>
    </row>
    <row r="30" spans="3:30" ht="11.25" customHeight="1">
      <c r="C30" s="238"/>
      <c r="W30" s="676" t="s">
        <v>1631</v>
      </c>
      <c r="X30" s="677"/>
      <c r="Y30" s="518" t="s">
        <v>1058</v>
      </c>
      <c r="Z30" s="519">
        <v>1</v>
      </c>
      <c r="AA30" s="678"/>
      <c r="AB30" s="679"/>
      <c r="AC30" s="248"/>
      <c r="AD30" s="249"/>
    </row>
    <row r="31" spans="3:30">
      <c r="C31" s="238"/>
      <c r="U31" s="250"/>
      <c r="W31" s="676" t="s">
        <v>1632</v>
      </c>
      <c r="X31" s="677"/>
      <c r="Y31" s="518" t="s">
        <v>1058</v>
      </c>
      <c r="Z31" s="519">
        <v>1</v>
      </c>
      <c r="AA31" s="678"/>
      <c r="AB31" s="679"/>
      <c r="AC31" s="248"/>
      <c r="AD31" s="249"/>
    </row>
    <row r="32" spans="3:30">
      <c r="C32" s="238"/>
      <c r="U32" s="250"/>
      <c r="W32" s="682" t="s">
        <v>1633</v>
      </c>
      <c r="X32" s="683"/>
      <c r="Y32" s="520" t="s">
        <v>1058</v>
      </c>
      <c r="Z32" s="521">
        <v>1</v>
      </c>
      <c r="AA32" s="678"/>
      <c r="AB32" s="679"/>
      <c r="AC32" s="248"/>
      <c r="AD32" s="249"/>
    </row>
    <row r="33" spans="3:30">
      <c r="C33" s="238"/>
      <c r="W33" s="695"/>
      <c r="X33" s="696"/>
      <c r="Y33" s="522"/>
      <c r="Z33" s="523"/>
      <c r="AA33" s="678"/>
      <c r="AB33" s="679"/>
      <c r="AC33" s="248"/>
      <c r="AD33" s="249"/>
    </row>
    <row r="34" spans="3:30">
      <c r="C34" s="238"/>
      <c r="W34" s="485"/>
      <c r="X34" s="486"/>
      <c r="Y34" s="246"/>
      <c r="Z34" s="247"/>
      <c r="AA34" s="678"/>
      <c r="AB34" s="679"/>
      <c r="AC34" s="248"/>
      <c r="AD34" s="249"/>
    </row>
    <row r="35" spans="3:30">
      <c r="C35" s="238"/>
      <c r="W35" s="693"/>
      <c r="X35" s="694"/>
      <c r="Y35" s="246"/>
      <c r="Z35" s="247"/>
      <c r="AA35" s="678"/>
      <c r="AB35" s="679"/>
      <c r="AC35" s="248"/>
      <c r="AD35" s="249"/>
    </row>
    <row r="36" spans="3:30">
      <c r="C36" s="238"/>
      <c r="W36" s="684"/>
      <c r="X36" s="685"/>
      <c r="Y36" s="246"/>
      <c r="Z36" s="251"/>
      <c r="AA36" s="686"/>
      <c r="AB36" s="679"/>
      <c r="AC36" s="248"/>
      <c r="AD36" s="249"/>
    </row>
    <row r="37" spans="3:30" ht="12.75" customHeight="1">
      <c r="C37" s="238"/>
      <c r="W37" s="687"/>
      <c r="X37" s="688"/>
      <c r="Y37" s="246"/>
      <c r="Z37" s="251"/>
      <c r="AA37" s="689"/>
      <c r="AB37" s="690"/>
      <c r="AC37" s="252"/>
      <c r="AD37" s="253"/>
    </row>
    <row r="38" spans="3:30" ht="12.75" customHeight="1">
      <c r="C38" s="238"/>
      <c r="W38" s="687"/>
      <c r="X38" s="688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87"/>
      <c r="X39" s="688"/>
      <c r="Y39" s="254"/>
      <c r="Z39" s="257"/>
      <c r="AA39" s="691"/>
      <c r="AB39" s="692"/>
      <c r="AC39" s="252"/>
      <c r="AD39" s="253"/>
    </row>
    <row r="40" spans="3:30" ht="12" customHeight="1">
      <c r="C40" s="238"/>
      <c r="W40" s="700"/>
      <c r="X40" s="701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702"/>
      <c r="X41" s="703"/>
      <c r="Y41" s="260"/>
      <c r="Z41" s="261"/>
      <c r="AA41" s="691"/>
      <c r="AB41" s="692"/>
      <c r="AC41" s="252"/>
      <c r="AD41" s="253"/>
    </row>
    <row r="42" spans="3:30" ht="12" customHeight="1">
      <c r="C42" s="238"/>
      <c r="W42" s="704" t="s">
        <v>1459</v>
      </c>
      <c r="X42" s="705"/>
      <c r="Y42" s="705"/>
      <c r="Z42" s="705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97" t="s">
        <v>11</v>
      </c>
      <c r="X44" s="698"/>
      <c r="Y44" s="657"/>
      <c r="Z44" s="657"/>
      <c r="AA44" s="657"/>
      <c r="AB44" s="657"/>
      <c r="AC44" s="657"/>
      <c r="AD44" s="658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97" t="s">
        <v>984</v>
      </c>
      <c r="X45" s="698"/>
      <c r="Y45" s="657">
        <v>1</v>
      </c>
      <c r="Z45" s="657"/>
      <c r="AA45" s="657"/>
      <c r="AB45" s="657" t="s">
        <v>12</v>
      </c>
      <c r="AC45" s="657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97" t="s">
        <v>15</v>
      </c>
      <c r="X46" s="698"/>
      <c r="Y46" s="699"/>
      <c r="Z46" s="699"/>
      <c r="AA46" s="699"/>
      <c r="AB46" s="657" t="s">
        <v>16</v>
      </c>
      <c r="AC46" s="657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710" t="s">
        <v>17</v>
      </c>
      <c r="X47" s="710"/>
      <c r="Y47" s="710"/>
      <c r="Z47" s="710"/>
      <c r="AA47" s="710"/>
      <c r="AB47" s="710"/>
      <c r="AC47" s="710"/>
      <c r="AD47" s="711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12" t="str">
        <f>RAB!G6</f>
        <v>AGR SISWANTO</v>
      </c>
      <c r="X48" s="712"/>
      <c r="Y48" s="712"/>
      <c r="Z48" s="712"/>
      <c r="AA48" s="712"/>
      <c r="AB48" s="712"/>
      <c r="AC48" s="712"/>
      <c r="AD48" s="713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12"/>
      <c r="X49" s="712"/>
      <c r="Y49" s="712"/>
      <c r="Z49" s="712"/>
      <c r="AA49" s="712"/>
      <c r="AB49" s="712"/>
      <c r="AC49" s="712"/>
      <c r="AD49" s="713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712"/>
      <c r="X50" s="712"/>
      <c r="Y50" s="712"/>
      <c r="Z50" s="712"/>
      <c r="AA50" s="712"/>
      <c r="AB50" s="712"/>
      <c r="AC50" s="712"/>
      <c r="AD50" s="713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14"/>
      <c r="X51" s="714"/>
      <c r="Y51" s="714"/>
      <c r="Z51" s="714"/>
      <c r="AA51" s="714"/>
      <c r="AB51" s="714"/>
      <c r="AC51" s="714"/>
      <c r="AD51" s="715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97" t="s">
        <v>18</v>
      </c>
      <c r="X52" s="698"/>
      <c r="Y52" s="657" t="s">
        <v>1612</v>
      </c>
      <c r="Z52" s="657"/>
      <c r="AA52" s="657"/>
      <c r="AB52" s="657"/>
      <c r="AC52" s="657"/>
      <c r="AD52" s="658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97" t="s">
        <v>19</v>
      </c>
      <c r="X53" s="698"/>
      <c r="Y53" s="657" t="s">
        <v>1613</v>
      </c>
      <c r="Z53" s="657"/>
      <c r="AA53" s="657"/>
      <c r="AB53" s="657"/>
      <c r="AC53" s="657"/>
      <c r="AD53" s="658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97" t="s">
        <v>20</v>
      </c>
      <c r="X54" s="698"/>
      <c r="Y54" s="706" t="s">
        <v>1614</v>
      </c>
      <c r="Z54" s="706"/>
      <c r="AA54" s="706"/>
      <c r="AB54" s="657"/>
      <c r="AC54" s="657"/>
      <c r="AD54" s="658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707" t="s">
        <v>21</v>
      </c>
      <c r="X55" s="708"/>
      <c r="Y55" s="706" t="s">
        <v>1643</v>
      </c>
      <c r="Z55" s="706"/>
      <c r="AA55" s="706"/>
      <c r="AB55" s="706"/>
      <c r="AC55" s="706"/>
      <c r="AD55" s="709"/>
    </row>
  </sheetData>
  <mergeCells count="109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33:X33"/>
    <mergeCell ref="W25:X25"/>
    <mergeCell ref="W26:X26"/>
    <mergeCell ref="W27:X27"/>
    <mergeCell ref="W24:X24"/>
    <mergeCell ref="W32:X32"/>
    <mergeCell ref="W28:X28"/>
    <mergeCell ref="W29:X29"/>
    <mergeCell ref="W30:X30"/>
    <mergeCell ref="W31:X31"/>
    <mergeCell ref="AA30:AB30"/>
    <mergeCell ref="AA31:AB31"/>
    <mergeCell ref="AA32:AB32"/>
    <mergeCell ref="AA27:AB27"/>
    <mergeCell ref="AA28:AB28"/>
    <mergeCell ref="AA29:AB29"/>
    <mergeCell ref="AA24:AB24"/>
    <mergeCell ref="AA25:AB25"/>
    <mergeCell ref="AA26:AB26"/>
    <mergeCell ref="W20:AD20"/>
    <mergeCell ref="W21:Z21"/>
    <mergeCell ref="AA21:AD21"/>
    <mergeCell ref="AA22:AB22"/>
    <mergeCell ref="AA23:AB23"/>
    <mergeCell ref="X18:Z18"/>
    <mergeCell ref="AA18:AB18"/>
    <mergeCell ref="AC18:AD18"/>
    <mergeCell ref="X19:Z19"/>
    <mergeCell ref="AA19:AB19"/>
    <mergeCell ref="AC19:AD19"/>
    <mergeCell ref="W22:X22"/>
    <mergeCell ref="W23:X23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topLeftCell="A15" zoomScale="70" zoomScaleNormal="55" zoomScaleSheetLayoutView="70" workbookViewId="0">
      <selection activeCell="X40" sqref="X40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16" t="s">
        <v>1531</v>
      </c>
      <c r="E4" s="717"/>
      <c r="F4" s="717"/>
      <c r="G4" s="717"/>
      <c r="H4" s="717"/>
      <c r="I4" s="717"/>
      <c r="J4" s="717"/>
      <c r="K4" s="717"/>
      <c r="L4" s="717"/>
      <c r="M4" s="717"/>
      <c r="N4" s="717"/>
      <c r="O4" s="717"/>
      <c r="P4" s="717"/>
      <c r="Q4" s="717"/>
      <c r="R4" s="717"/>
      <c r="S4" s="717"/>
      <c r="T4" s="717"/>
      <c r="U4" s="717"/>
      <c r="V4" s="717"/>
      <c r="W4" s="717"/>
      <c r="X4" s="717"/>
      <c r="Y4" s="717"/>
      <c r="Z4" s="717"/>
      <c r="AA4" s="717"/>
      <c r="AB4" s="717"/>
      <c r="AC4" s="718"/>
      <c r="AD4" s="217"/>
      <c r="AE4" s="216"/>
      <c r="AF4" s="216"/>
    </row>
    <row r="5" spans="2:32" ht="13.5" customHeight="1">
      <c r="B5" s="215"/>
      <c r="C5" s="215"/>
      <c r="D5" s="719"/>
      <c r="E5" s="720"/>
      <c r="F5" s="720"/>
      <c r="G5" s="720"/>
      <c r="H5" s="720"/>
      <c r="I5" s="720"/>
      <c r="J5" s="720"/>
      <c r="K5" s="720"/>
      <c r="L5" s="720"/>
      <c r="M5" s="720"/>
      <c r="N5" s="720"/>
      <c r="O5" s="720"/>
      <c r="P5" s="720"/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0"/>
      <c r="AC5" s="721"/>
      <c r="AD5" s="217"/>
      <c r="AE5" s="216"/>
      <c r="AF5" s="216"/>
    </row>
    <row r="6" spans="2:32" ht="12.75" customHeight="1">
      <c r="B6" s="215"/>
      <c r="C6" s="215"/>
      <c r="D6" s="719"/>
      <c r="E6" s="720"/>
      <c r="F6" s="720"/>
      <c r="G6" s="720"/>
      <c r="H6" s="720"/>
      <c r="I6" s="720"/>
      <c r="J6" s="720"/>
      <c r="K6" s="720"/>
      <c r="L6" s="720"/>
      <c r="M6" s="720"/>
      <c r="N6" s="720"/>
      <c r="O6" s="720"/>
      <c r="P6" s="720"/>
      <c r="Q6" s="720"/>
      <c r="R6" s="720"/>
      <c r="S6" s="720"/>
      <c r="T6" s="720"/>
      <c r="U6" s="720"/>
      <c r="V6" s="720"/>
      <c r="W6" s="720"/>
      <c r="X6" s="720"/>
      <c r="Y6" s="720"/>
      <c r="Z6" s="720"/>
      <c r="AA6" s="720"/>
      <c r="AB6" s="720"/>
      <c r="AC6" s="721"/>
      <c r="AE6" s="216"/>
      <c r="AF6" s="216"/>
    </row>
    <row r="7" spans="2:32" ht="12.75" customHeight="1" thickBot="1">
      <c r="B7" s="215"/>
      <c r="C7" s="215"/>
      <c r="D7" s="722"/>
      <c r="E7" s="723"/>
      <c r="F7" s="723"/>
      <c r="G7" s="723"/>
      <c r="H7" s="723"/>
      <c r="I7" s="723"/>
      <c r="J7" s="723"/>
      <c r="K7" s="723"/>
      <c r="L7" s="723"/>
      <c r="M7" s="723"/>
      <c r="N7" s="723"/>
      <c r="O7" s="723"/>
      <c r="P7" s="723"/>
      <c r="Q7" s="723"/>
      <c r="R7" s="723"/>
      <c r="S7" s="723"/>
      <c r="T7" s="723"/>
      <c r="U7" s="723"/>
      <c r="V7" s="723"/>
      <c r="W7" s="723"/>
      <c r="X7" s="723"/>
      <c r="Y7" s="723"/>
      <c r="Z7" s="723"/>
      <c r="AA7" s="723"/>
      <c r="AB7" s="723"/>
      <c r="AC7" s="724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502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40" zoomScaleNormal="40" zoomScaleSheetLayoutView="40" workbookViewId="0">
      <selection activeCell="P29" sqref="P28:P29"/>
    </sheetView>
  </sheetViews>
  <sheetFormatPr defaultColWidth="9.140625" defaultRowHeight="12.75"/>
  <cols>
    <col min="1" max="1" width="1.7109375" style="429" customWidth="1"/>
    <col min="2" max="2" width="10.7109375" style="429" customWidth="1"/>
    <col min="3" max="3" width="2.5703125" style="429" customWidth="1"/>
    <col min="4" max="20" width="9.140625" style="429"/>
    <col min="21" max="21" width="14.5703125" style="429" customWidth="1"/>
    <col min="22" max="22" width="3.140625" style="429" customWidth="1"/>
    <col min="23" max="26" width="9.140625" style="429"/>
    <col min="27" max="27" width="2.85546875" style="429" customWidth="1"/>
    <col min="28" max="30" width="4.7109375" style="429" customWidth="1"/>
    <col min="31" max="31" width="1.7109375" style="429" customWidth="1"/>
    <col min="32" max="16384" width="9.140625" style="429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20" t="s">
        <v>1530</v>
      </c>
      <c r="D3" s="720"/>
      <c r="E3" s="720"/>
      <c r="F3" s="720"/>
      <c r="G3" s="720"/>
      <c r="H3" s="720"/>
      <c r="I3" s="720"/>
      <c r="J3" s="720"/>
      <c r="K3" s="720"/>
      <c r="L3" s="720"/>
      <c r="M3" s="720"/>
      <c r="N3" s="720"/>
      <c r="O3" s="720"/>
      <c r="P3" s="720"/>
      <c r="Q3" s="720"/>
      <c r="R3" s="720"/>
      <c r="S3" s="720"/>
      <c r="T3" s="720"/>
      <c r="U3" s="720"/>
      <c r="V3" s="720"/>
      <c r="W3" s="182"/>
      <c r="X3" s="440"/>
      <c r="Y3" s="440"/>
      <c r="Z3" s="440"/>
      <c r="AA3" s="440"/>
      <c r="AB3" s="440"/>
      <c r="AC3" s="430"/>
    </row>
    <row r="4" spans="1:29" ht="18.75" customHeight="1">
      <c r="A4" s="181"/>
      <c r="C4" s="720"/>
      <c r="D4" s="720"/>
      <c r="E4" s="720"/>
      <c r="F4" s="720"/>
      <c r="G4" s="720"/>
      <c r="H4" s="720"/>
      <c r="I4" s="720"/>
      <c r="J4" s="720"/>
      <c r="K4" s="720"/>
      <c r="L4" s="720"/>
      <c r="M4" s="720"/>
      <c r="N4" s="720"/>
      <c r="O4" s="720"/>
      <c r="P4" s="720"/>
      <c r="Q4" s="720"/>
      <c r="R4" s="720"/>
      <c r="S4" s="720"/>
      <c r="T4" s="720"/>
      <c r="U4" s="720"/>
      <c r="V4" s="720"/>
      <c r="W4" s="182"/>
      <c r="X4" s="440"/>
      <c r="Y4" s="440"/>
      <c r="Z4" s="440"/>
      <c r="AA4" s="440"/>
      <c r="AB4" s="440"/>
      <c r="AC4" s="430"/>
    </row>
    <row r="5" spans="1:29" ht="12.75" customHeight="1">
      <c r="A5" s="181"/>
      <c r="C5" s="431"/>
      <c r="W5" s="182"/>
    </row>
    <row r="6" spans="1:29" ht="12.75" customHeight="1">
      <c r="A6" s="181"/>
      <c r="C6" s="725"/>
      <c r="D6" s="725"/>
      <c r="E6" s="725"/>
      <c r="F6" s="725"/>
      <c r="G6" s="725"/>
      <c r="H6" s="725"/>
      <c r="I6" s="725"/>
      <c r="J6" s="725"/>
      <c r="K6" s="725"/>
      <c r="L6" s="725"/>
      <c r="M6" s="725"/>
      <c r="W6" s="182"/>
      <c r="Y6" s="432"/>
      <c r="Z6" s="432"/>
      <c r="AA6" s="432"/>
      <c r="AB6" s="433"/>
      <c r="AC6" s="433"/>
    </row>
    <row r="7" spans="1:29" ht="18" customHeight="1">
      <c r="A7" s="181"/>
      <c r="C7" s="725"/>
      <c r="D7" s="725"/>
      <c r="E7" s="725"/>
      <c r="F7" s="725"/>
      <c r="G7" s="725"/>
      <c r="H7" s="725"/>
      <c r="I7" s="725"/>
      <c r="J7" s="725"/>
      <c r="K7" s="725"/>
      <c r="L7" s="725"/>
      <c r="M7" s="725"/>
      <c r="W7" s="182"/>
      <c r="Y7" s="432"/>
      <c r="Z7" s="432"/>
      <c r="AA7" s="432"/>
      <c r="AB7" s="433"/>
      <c r="AC7" s="433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4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5"/>
      <c r="S54" s="435"/>
      <c r="T54" s="435"/>
      <c r="U54" s="436"/>
      <c r="V54" s="436"/>
      <c r="W54" s="183"/>
      <c r="X54" s="436"/>
      <c r="Y54" s="436"/>
      <c r="Z54" s="436"/>
      <c r="AA54" s="436"/>
      <c r="AB54" s="436"/>
      <c r="AC54" s="436"/>
      <c r="AD54" s="436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41"/>
      <c r="S55" s="442"/>
      <c r="T55" s="442"/>
      <c r="U55" s="186"/>
      <c r="V55" s="187"/>
      <c r="W55" s="188"/>
      <c r="X55" s="436"/>
      <c r="Y55" s="436"/>
      <c r="Z55" s="436"/>
      <c r="AA55" s="437"/>
      <c r="AB55" s="437"/>
      <c r="AC55" s="437"/>
      <c r="AD55" s="437"/>
    </row>
    <row r="56" spans="1:30">
      <c r="U56" s="436"/>
      <c r="V56" s="437"/>
      <c r="W56" s="436"/>
      <c r="X56" s="436"/>
      <c r="Y56" s="436"/>
      <c r="Z56" s="436"/>
      <c r="AA56" s="437"/>
      <c r="AB56" s="436"/>
      <c r="AC56" s="436"/>
      <c r="AD56" s="436"/>
    </row>
    <row r="57" spans="1:30">
      <c r="U57" s="436"/>
      <c r="V57" s="437"/>
      <c r="W57" s="436"/>
      <c r="X57" s="436"/>
      <c r="Y57" s="436"/>
      <c r="Z57" s="436"/>
      <c r="AA57" s="436"/>
      <c r="AB57" s="436"/>
      <c r="AC57" s="436"/>
      <c r="AD57" s="436"/>
    </row>
    <row r="58" spans="1:30">
      <c r="U58" s="436"/>
      <c r="V58" s="437"/>
      <c r="W58" s="436"/>
      <c r="X58" s="436"/>
      <c r="Y58" s="436"/>
      <c r="Z58" s="436"/>
      <c r="AA58" s="436"/>
      <c r="AB58" s="436"/>
      <c r="AC58" s="436"/>
      <c r="AD58" s="436"/>
    </row>
    <row r="59" spans="1:30">
      <c r="U59" s="436"/>
      <c r="V59" s="437"/>
      <c r="W59" s="436"/>
      <c r="X59" s="436"/>
      <c r="Y59" s="436"/>
      <c r="Z59" s="436"/>
      <c r="AA59" s="436"/>
      <c r="AB59" s="436"/>
      <c r="AC59" s="436"/>
      <c r="AD59" s="436"/>
    </row>
    <row r="60" spans="1:30">
      <c r="U60" s="436"/>
      <c r="V60" s="437"/>
      <c r="W60" s="436"/>
      <c r="X60" s="436"/>
      <c r="Y60" s="436"/>
      <c r="Z60" s="436"/>
      <c r="AA60" s="437"/>
      <c r="AB60" s="436"/>
      <c r="AC60" s="436"/>
      <c r="AD60" s="436"/>
    </row>
    <row r="61" spans="1:30">
      <c r="U61" s="436"/>
      <c r="V61" s="437"/>
      <c r="W61" s="436"/>
      <c r="X61" s="436"/>
      <c r="Y61" s="436"/>
      <c r="Z61" s="436"/>
      <c r="AA61" s="436"/>
      <c r="AB61" s="436"/>
      <c r="AC61" s="436"/>
      <c r="AD61" s="436"/>
    </row>
    <row r="62" spans="1:30">
      <c r="U62" s="436"/>
      <c r="V62" s="437"/>
      <c r="W62" s="436"/>
      <c r="X62" s="436"/>
      <c r="Y62" s="436"/>
      <c r="Z62" s="436"/>
      <c r="AA62" s="436"/>
      <c r="AB62" s="436"/>
      <c r="AC62" s="436"/>
      <c r="AD62" s="436"/>
    </row>
    <row r="63" spans="1:30">
      <c r="U63" s="436"/>
      <c r="V63" s="437"/>
      <c r="W63" s="436"/>
      <c r="X63" s="436"/>
      <c r="Y63" s="436"/>
      <c r="Z63" s="436"/>
      <c r="AA63" s="436"/>
      <c r="AB63" s="436"/>
      <c r="AC63" s="436"/>
      <c r="AD63" s="436"/>
    </row>
    <row r="64" spans="1:30">
      <c r="U64" s="436"/>
      <c r="V64" s="437"/>
      <c r="W64" s="436"/>
      <c r="X64" s="436"/>
      <c r="Y64" s="436"/>
      <c r="Z64" s="436"/>
      <c r="AA64" s="436"/>
      <c r="AB64" s="436"/>
      <c r="AC64" s="436"/>
      <c r="AD64" s="436"/>
    </row>
    <row r="65" spans="5:30">
      <c r="U65" s="436"/>
      <c r="V65" s="437"/>
      <c r="W65" s="436"/>
      <c r="X65" s="436"/>
      <c r="Y65" s="436"/>
      <c r="Z65" s="436"/>
      <c r="AA65" s="436"/>
      <c r="AB65" s="436"/>
      <c r="AC65" s="436"/>
      <c r="AD65" s="436"/>
    </row>
    <row r="66" spans="5:30" ht="6" customHeight="1"/>
    <row r="73" spans="5:30">
      <c r="M73" s="438"/>
    </row>
    <row r="74" spans="5:30" ht="15" customHeight="1">
      <c r="E74" s="439"/>
      <c r="M74" s="438"/>
    </row>
    <row r="75" spans="5:30" ht="15" customHeight="1">
      <c r="E75" s="439"/>
      <c r="M75" s="438"/>
    </row>
    <row r="76" spans="5:30" ht="15" customHeight="1">
      <c r="E76" s="439"/>
      <c r="M76" s="438"/>
    </row>
    <row r="77" spans="5:30" ht="15" customHeight="1">
      <c r="E77" s="439"/>
      <c r="M77" s="438"/>
    </row>
    <row r="78" spans="5:30" ht="15" customHeight="1">
      <c r="E78" s="439"/>
      <c r="M78" s="438"/>
    </row>
    <row r="79" spans="5:30" ht="15" customHeight="1">
      <c r="E79" s="439"/>
      <c r="M79" s="438"/>
    </row>
    <row r="80" spans="5:30" ht="15" customHeight="1">
      <c r="E80" s="439"/>
      <c r="M80" s="438"/>
    </row>
    <row r="81" spans="5:13" ht="15" customHeight="1">
      <c r="E81" s="439"/>
      <c r="M81" s="438"/>
    </row>
    <row r="82" spans="5:13" ht="15" customHeight="1">
      <c r="E82" s="439"/>
      <c r="M82" s="438"/>
    </row>
    <row r="83" spans="5:13" ht="15" customHeight="1">
      <c r="E83" s="439"/>
      <c r="M83" s="438"/>
    </row>
    <row r="84" spans="5:13" ht="15" customHeight="1">
      <c r="E84" s="439"/>
      <c r="M84" s="438"/>
    </row>
    <row r="85" spans="5:13" ht="15" customHeight="1">
      <c r="E85" s="439"/>
      <c r="M85" s="438"/>
    </row>
    <row r="86" spans="5:13" ht="15" customHeight="1">
      <c r="E86" s="439"/>
      <c r="M86" s="438"/>
    </row>
    <row r="87" spans="5:13" ht="15" customHeight="1">
      <c r="E87" s="439"/>
      <c r="M87" s="438"/>
    </row>
    <row r="88" spans="5:13" ht="15" customHeight="1">
      <c r="E88" s="439"/>
      <c r="M88" s="438"/>
    </row>
    <row r="89" spans="5:13" ht="15" customHeight="1">
      <c r="E89" s="439"/>
      <c r="M89" s="438"/>
    </row>
    <row r="90" spans="5:13" ht="15" customHeight="1">
      <c r="E90" s="439"/>
      <c r="M90" s="438"/>
    </row>
    <row r="91" spans="5:13" ht="15" customHeight="1">
      <c r="E91" s="439"/>
      <c r="M91" s="438"/>
    </row>
    <row r="92" spans="5:13" ht="15" customHeight="1">
      <c r="E92" s="439"/>
      <c r="M92" s="438"/>
    </row>
    <row r="93" spans="5:13" ht="15" customHeight="1">
      <c r="E93" s="439"/>
      <c r="M93" s="438"/>
    </row>
    <row r="94" spans="5:13" ht="15" customHeight="1">
      <c r="E94" s="439"/>
      <c r="M94" s="438"/>
    </row>
    <row r="95" spans="5:13" ht="15" customHeight="1">
      <c r="E95" s="439"/>
      <c r="M95" s="438"/>
    </row>
    <row r="96" spans="5:13" ht="15" customHeight="1">
      <c r="E96" s="439"/>
    </row>
    <row r="97" spans="5:5" ht="15" customHeight="1">
      <c r="E97" s="439"/>
    </row>
    <row r="98" spans="5:5" ht="15" customHeight="1">
      <c r="E98" s="439"/>
    </row>
    <row r="99" spans="5:5" ht="15" customHeight="1">
      <c r="E99" s="439"/>
    </row>
    <row r="100" spans="5:5" ht="15" customHeight="1">
      <c r="E100" s="439"/>
    </row>
    <row r="101" spans="5:5" ht="15" customHeight="1">
      <c r="E101" s="439"/>
    </row>
    <row r="102" spans="5:5" ht="15" customHeight="1">
      <c r="E102" s="439"/>
    </row>
    <row r="103" spans="5:5" ht="15" customHeight="1">
      <c r="E103" s="439"/>
    </row>
    <row r="104" spans="5:5" ht="15" customHeight="1">
      <c r="E104" s="439"/>
    </row>
    <row r="105" spans="5:5" ht="15" customHeight="1">
      <c r="E105" s="439"/>
    </row>
    <row r="106" spans="5:5" ht="15" customHeight="1">
      <c r="E106" s="439"/>
    </row>
    <row r="107" spans="5:5" ht="15" customHeight="1">
      <c r="E107" s="439"/>
    </row>
    <row r="108" spans="5:5" ht="15" customHeight="1">
      <c r="E108" s="439"/>
    </row>
    <row r="109" spans="5:5" ht="15" customHeight="1">
      <c r="E109" s="439"/>
    </row>
    <row r="110" spans="5:5" ht="15" customHeight="1">
      <c r="E110" s="439"/>
    </row>
    <row r="111" spans="5:5" ht="15" customHeight="1">
      <c r="E111" s="439"/>
    </row>
    <row r="112" spans="5:5" ht="15" customHeight="1">
      <c r="E112" s="439"/>
    </row>
    <row r="113" spans="5:5" ht="15" customHeight="1">
      <c r="E113" s="439"/>
    </row>
    <row r="114" spans="5:5" ht="15" customHeight="1">
      <c r="E114" s="439"/>
    </row>
    <row r="115" spans="5:5" ht="15" customHeight="1">
      <c r="E115" s="439"/>
    </row>
    <row r="116" spans="5:5" ht="15" customHeight="1">
      <c r="E116" s="439"/>
    </row>
    <row r="117" spans="5:5" ht="15" customHeight="1">
      <c r="E117" s="439"/>
    </row>
    <row r="118" spans="5:5" ht="15" customHeight="1">
      <c r="E118" s="439"/>
    </row>
    <row r="119" spans="5:5" ht="15" customHeight="1">
      <c r="E119" s="439"/>
    </row>
    <row r="120" spans="5:5">
      <c r="E120" s="439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61">
        <v>1</v>
      </c>
    </row>
    <row r="2" spans="1:11" ht="48" customHeight="1">
      <c r="A2" s="461">
        <v>3</v>
      </c>
    </row>
    <row r="4" spans="1:11" ht="48" customHeight="1">
      <c r="C4" s="461">
        <v>1</v>
      </c>
    </row>
    <row r="5" spans="1:11" ht="48" customHeight="1">
      <c r="C5" s="461">
        <v>3</v>
      </c>
    </row>
    <row r="7" spans="1:11" ht="48" customHeight="1">
      <c r="E7" s="461">
        <v>1</v>
      </c>
    </row>
    <row r="8" spans="1:11" ht="48" customHeight="1">
      <c r="E8" s="461">
        <v>3</v>
      </c>
    </row>
    <row r="10" spans="1:11" ht="48" customHeight="1">
      <c r="G10" s="461">
        <v>3</v>
      </c>
    </row>
    <row r="11" spans="1:11" ht="48" customHeight="1">
      <c r="G11" s="461">
        <v>1</v>
      </c>
    </row>
    <row r="13" spans="1:11" ht="48" customHeight="1">
      <c r="I13" s="461">
        <v>3</v>
      </c>
    </row>
    <row r="14" spans="1:11" ht="48" customHeight="1">
      <c r="I14" s="461">
        <v>1</v>
      </c>
    </row>
    <row r="16" spans="1:11" ht="48" customHeight="1">
      <c r="K16" s="461">
        <v>3</v>
      </c>
    </row>
    <row r="17" spans="11:21" ht="48" customHeight="1">
      <c r="K17" s="461">
        <v>1</v>
      </c>
    </row>
    <row r="19" spans="11:21" ht="48" customHeight="1">
      <c r="M19" s="461">
        <v>3</v>
      </c>
    </row>
    <row r="20" spans="11:21" ht="48" customHeight="1">
      <c r="M20" s="461">
        <v>1</v>
      </c>
    </row>
    <row r="22" spans="11:21" ht="48" customHeight="1">
      <c r="O22" s="461">
        <v>3</v>
      </c>
    </row>
    <row r="23" spans="11:21" ht="48" customHeight="1">
      <c r="O23" s="461">
        <v>1</v>
      </c>
    </row>
    <row r="25" spans="11:21" ht="57" customHeight="1">
      <c r="Q25" s="461">
        <v>3</v>
      </c>
    </row>
    <row r="26" spans="11:21" ht="57" customHeight="1">
      <c r="Q26" s="461">
        <v>1</v>
      </c>
    </row>
    <row r="28" spans="11:21" ht="57" customHeight="1">
      <c r="S28" s="461">
        <v>3</v>
      </c>
    </row>
    <row r="29" spans="11:21" ht="57" customHeight="1">
      <c r="S29" s="461">
        <v>1</v>
      </c>
    </row>
    <row r="31" spans="11:21" ht="57" customHeight="1">
      <c r="U31" s="461">
        <v>3</v>
      </c>
    </row>
    <row r="32" spans="11:21" ht="57" customHeight="1">
      <c r="U32" s="46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2023-02-27T08:00:50Z</cp:lastPrinted>
  <dcterms:created xsi:type="dcterms:W3CDTF">2011-02-06T11:57:38Z</dcterms:created>
  <dcterms:modified xsi:type="dcterms:W3CDTF">2024-01-09T03:31:01Z</dcterms:modified>
</cp:coreProperties>
</file>