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3\"/>
    </mc:Choice>
  </mc:AlternateContent>
  <xr:revisionPtr revIDLastSave="0" documentId="13_ncr:1_{C09A1731-558A-49E6-ABC8-04097032F532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0" i="11" l="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2" i="11"/>
  <c r="G18" i="11"/>
  <c r="G19" i="11"/>
  <c r="G20" i="11"/>
  <c r="D18" i="11"/>
  <c r="H18" i="11" s="1"/>
  <c r="E18" i="11"/>
  <c r="D128" i="11"/>
  <c r="H128" i="11" s="1"/>
  <c r="E128" i="11"/>
  <c r="G128" i="11"/>
  <c r="D129" i="11"/>
  <c r="H129" i="11" s="1"/>
  <c r="E129" i="11"/>
  <c r="G129" i="11"/>
  <c r="D130" i="11"/>
  <c r="J130" i="11" s="1"/>
  <c r="E130" i="11"/>
  <c r="G130" i="11"/>
  <c r="F67" i="11"/>
  <c r="F64" i="11"/>
  <c r="F62" i="11"/>
  <c r="F61" i="11"/>
  <c r="F63" i="11" s="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J63" i="11" s="1"/>
  <c r="E63" i="11"/>
  <c r="G63" i="11"/>
  <c r="D64" i="11"/>
  <c r="E64" i="11"/>
  <c r="G64" i="11"/>
  <c r="D65" i="11"/>
  <c r="H65" i="11" s="1"/>
  <c r="E65" i="11"/>
  <c r="G65" i="11"/>
  <c r="D66" i="11"/>
  <c r="E66" i="11"/>
  <c r="G66" i="11"/>
  <c r="D67" i="11"/>
  <c r="E67" i="11"/>
  <c r="G67" i="11"/>
  <c r="D68" i="11"/>
  <c r="H68" i="11" s="1"/>
  <c r="E68" i="11"/>
  <c r="G68" i="11"/>
  <c r="D69" i="11"/>
  <c r="H69" i="11" s="1"/>
  <c r="E69" i="11"/>
  <c r="G69" i="11"/>
  <c r="D70" i="11"/>
  <c r="J70" i="11" s="1"/>
  <c r="E70" i="11"/>
  <c r="G70" i="11"/>
  <c r="D23" i="11"/>
  <c r="J23" i="11" s="1"/>
  <c r="E23" i="11"/>
  <c r="G23" i="11"/>
  <c r="D24" i="11"/>
  <c r="J24" i="11" s="1"/>
  <c r="E24" i="11"/>
  <c r="G24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F119" i="11"/>
  <c r="F118" i="11"/>
  <c r="F117" i="11"/>
  <c r="F116" i="11"/>
  <c r="F115" i="11"/>
  <c r="F114" i="11"/>
  <c r="F113" i="11"/>
  <c r="D103" i="11"/>
  <c r="J103" i="11" s="1"/>
  <c r="E103" i="11"/>
  <c r="G103" i="11"/>
  <c r="D104" i="11"/>
  <c r="J104" i="11" s="1"/>
  <c r="E104" i="11"/>
  <c r="G104" i="11"/>
  <c r="F101" i="11"/>
  <c r="F100" i="11"/>
  <c r="F99" i="11"/>
  <c r="F98" i="11"/>
  <c r="F97" i="11"/>
  <c r="F96" i="11"/>
  <c r="F95" i="11"/>
  <c r="F94" i="11"/>
  <c r="F93" i="11"/>
  <c r="D92" i="11"/>
  <c r="J92" i="11" s="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D97" i="11"/>
  <c r="E97" i="11"/>
  <c r="G97" i="11"/>
  <c r="D98" i="11"/>
  <c r="E98" i="11"/>
  <c r="G98" i="11"/>
  <c r="D99" i="11"/>
  <c r="E99" i="11"/>
  <c r="G99" i="11"/>
  <c r="D100" i="11"/>
  <c r="E100" i="11"/>
  <c r="G100" i="11"/>
  <c r="D101" i="11"/>
  <c r="I101" i="11" s="1"/>
  <c r="E101" i="11"/>
  <c r="G101" i="11"/>
  <c r="D102" i="11"/>
  <c r="J102" i="11" s="1"/>
  <c r="E102" i="11"/>
  <c r="G102" i="11"/>
  <c r="E89" i="11"/>
  <c r="G89" i="11"/>
  <c r="E90" i="11"/>
  <c r="G90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F110" i="11"/>
  <c r="F108" i="11"/>
  <c r="F107" i="11"/>
  <c r="F106" i="11"/>
  <c r="I89" i="11" l="1"/>
  <c r="J18" i="11"/>
  <c r="I18" i="11"/>
  <c r="J129" i="11"/>
  <c r="J128" i="11"/>
  <c r="I129" i="11"/>
  <c r="I128" i="11"/>
  <c r="I130" i="11"/>
  <c r="H130" i="11"/>
  <c r="H61" i="11"/>
  <c r="I55" i="11"/>
  <c r="J67" i="11"/>
  <c r="H66" i="11"/>
  <c r="J65" i="11"/>
  <c r="J64" i="11"/>
  <c r="I63" i="11"/>
  <c r="J69" i="11"/>
  <c r="H41" i="11"/>
  <c r="I65" i="11"/>
  <c r="H63" i="11"/>
  <c r="J62" i="11"/>
  <c r="J61" i="11"/>
  <c r="J49" i="11"/>
  <c r="I69" i="11"/>
  <c r="J68" i="11"/>
  <c r="J46" i="11"/>
  <c r="I67" i="11"/>
  <c r="J66" i="11"/>
  <c r="I38" i="11"/>
  <c r="J33" i="11"/>
  <c r="I32" i="11"/>
  <c r="I31" i="11"/>
  <c r="I70" i="11"/>
  <c r="I61" i="11"/>
  <c r="J52" i="11"/>
  <c r="J38" i="11"/>
  <c r="I34" i="11"/>
  <c r="I33" i="11"/>
  <c r="I66" i="11"/>
  <c r="I51" i="11"/>
  <c r="H25" i="11"/>
  <c r="H70" i="11"/>
  <c r="I56" i="11"/>
  <c r="H67" i="11"/>
  <c r="I59" i="11"/>
  <c r="J58" i="11"/>
  <c r="H55" i="11"/>
  <c r="K55" i="11" s="1"/>
  <c r="J54" i="11"/>
  <c r="I52" i="11"/>
  <c r="J42" i="11"/>
  <c r="I68" i="11"/>
  <c r="I27" i="11"/>
  <c r="I26" i="11"/>
  <c r="J25" i="11"/>
  <c r="I42" i="11"/>
  <c r="J41" i="11"/>
  <c r="I40" i="11"/>
  <c r="I39" i="11"/>
  <c r="H34" i="11"/>
  <c r="H51" i="11"/>
  <c r="I49" i="11"/>
  <c r="I48" i="11"/>
  <c r="I46" i="11"/>
  <c r="I35" i="11"/>
  <c r="I62" i="11"/>
  <c r="I58" i="11"/>
  <c r="H56" i="11"/>
  <c r="I54" i="11"/>
  <c r="I30" i="11"/>
  <c r="I23" i="11"/>
  <c r="I60" i="11"/>
  <c r="I57" i="11"/>
  <c r="H64" i="11"/>
  <c r="H60" i="11"/>
  <c r="J59" i="11"/>
  <c r="H57" i="11"/>
  <c r="H53" i="11"/>
  <c r="J45" i="11"/>
  <c r="I64" i="11"/>
  <c r="I53" i="11"/>
  <c r="I45" i="11"/>
  <c r="H30" i="11"/>
  <c r="J29" i="11"/>
  <c r="H23" i="11"/>
  <c r="J37" i="11"/>
  <c r="H35" i="11"/>
  <c r="I50" i="11"/>
  <c r="H50" i="11"/>
  <c r="H31" i="11"/>
  <c r="I29" i="11"/>
  <c r="I28" i="11"/>
  <c r="H26" i="11"/>
  <c r="I43" i="11"/>
  <c r="I41" i="11"/>
  <c r="H27" i="11"/>
  <c r="I25" i="11"/>
  <c r="I24" i="11"/>
  <c r="I47" i="11"/>
  <c r="H47" i="11"/>
  <c r="H39" i="11"/>
  <c r="I37" i="11"/>
  <c r="I36" i="11"/>
  <c r="H43" i="11"/>
  <c r="H40" i="11"/>
  <c r="H36" i="11"/>
  <c r="H32" i="11"/>
  <c r="H28" i="11"/>
  <c r="H24" i="11"/>
  <c r="I44" i="11"/>
  <c r="H48" i="11"/>
  <c r="H44" i="11"/>
  <c r="I103" i="11"/>
  <c r="H103" i="11"/>
  <c r="I104" i="11"/>
  <c r="H104" i="11"/>
  <c r="I92" i="11"/>
  <c r="I99" i="11"/>
  <c r="I95" i="11"/>
  <c r="H92" i="11"/>
  <c r="I100" i="11"/>
  <c r="I96" i="11"/>
  <c r="I97" i="11"/>
  <c r="I93" i="11"/>
  <c r="I98" i="11"/>
  <c r="I94" i="11"/>
  <c r="I102" i="11"/>
  <c r="H102" i="11"/>
  <c r="H101" i="11"/>
  <c r="H100" i="11"/>
  <c r="H99" i="11"/>
  <c r="H98" i="11"/>
  <c r="H97" i="11"/>
  <c r="H96" i="11"/>
  <c r="H95" i="11"/>
  <c r="H94" i="11"/>
  <c r="H93" i="11"/>
  <c r="J101" i="11"/>
  <c r="J100" i="11"/>
  <c r="J99" i="11"/>
  <c r="J98" i="11"/>
  <c r="J97" i="11"/>
  <c r="J96" i="11"/>
  <c r="J95" i="11"/>
  <c r="J94" i="11"/>
  <c r="J93" i="11"/>
  <c r="H89" i="11"/>
  <c r="J89" i="11"/>
  <c r="K18" i="11" l="1"/>
  <c r="K130" i="11"/>
  <c r="K129" i="11"/>
  <c r="K128" i="11"/>
  <c r="K30" i="11"/>
  <c r="K70" i="11"/>
  <c r="K60" i="11"/>
  <c r="K69" i="11"/>
  <c r="K45" i="11"/>
  <c r="K65" i="11"/>
  <c r="K63" i="11"/>
  <c r="K40" i="11"/>
  <c r="K26" i="11"/>
  <c r="K49" i="11"/>
  <c r="K24" i="11"/>
  <c r="K36" i="11"/>
  <c r="K46" i="11"/>
  <c r="K67" i="11"/>
  <c r="K33" i="11"/>
  <c r="K66" i="11"/>
  <c r="K59" i="11"/>
  <c r="K62" i="11"/>
  <c r="K68" i="11"/>
  <c r="K47" i="11"/>
  <c r="K38" i="11"/>
  <c r="K61" i="11"/>
  <c r="K43" i="11"/>
  <c r="K42" i="11"/>
  <c r="K31" i="11"/>
  <c r="K27" i="11"/>
  <c r="K52" i="11"/>
  <c r="K34" i="11"/>
  <c r="K103" i="11"/>
  <c r="K41" i="11"/>
  <c r="K58" i="11"/>
  <c r="K54" i="11"/>
  <c r="K51" i="11"/>
  <c r="K32" i="11"/>
  <c r="K57" i="11"/>
  <c r="K56" i="11"/>
  <c r="K44" i="11"/>
  <c r="K28" i="11"/>
  <c r="K37" i="11"/>
  <c r="K48" i="11"/>
  <c r="K39" i="11"/>
  <c r="K25" i="11"/>
  <c r="K35" i="11"/>
  <c r="K29" i="11"/>
  <c r="K23" i="11"/>
  <c r="K53" i="11"/>
  <c r="K64" i="11"/>
  <c r="K50" i="11"/>
  <c r="K104" i="11"/>
  <c r="K101" i="11"/>
  <c r="K97" i="11"/>
  <c r="K92" i="11"/>
  <c r="K96" i="11"/>
  <c r="K100" i="11"/>
  <c r="K93" i="11"/>
  <c r="K102" i="11"/>
  <c r="K94" i="11"/>
  <c r="K98" i="11"/>
  <c r="K95" i="11"/>
  <c r="K99" i="11"/>
  <c r="K89" i="11"/>
  <c r="D71" i="11" l="1"/>
  <c r="J71" i="11" s="1"/>
  <c r="E71" i="11"/>
  <c r="G71" i="11"/>
  <c r="D72" i="11"/>
  <c r="E72" i="11"/>
  <c r="G72" i="11"/>
  <c r="H73" i="11"/>
  <c r="E73" i="11"/>
  <c r="G73" i="11"/>
  <c r="J74" i="11"/>
  <c r="E74" i="11"/>
  <c r="G74" i="11"/>
  <c r="J75" i="11"/>
  <c r="E75" i="11"/>
  <c r="G75" i="11"/>
  <c r="I76" i="11"/>
  <c r="E76" i="11"/>
  <c r="G76" i="11"/>
  <c r="E77" i="11"/>
  <c r="G77" i="11"/>
  <c r="J78" i="11"/>
  <c r="E78" i="11"/>
  <c r="G78" i="11"/>
  <c r="J79" i="11"/>
  <c r="E79" i="11"/>
  <c r="G79" i="11"/>
  <c r="J80" i="11"/>
  <c r="E80" i="11"/>
  <c r="G80" i="11"/>
  <c r="H81" i="11"/>
  <c r="E81" i="11"/>
  <c r="G81" i="11"/>
  <c r="H82" i="11"/>
  <c r="E82" i="11"/>
  <c r="G82" i="11"/>
  <c r="J83" i="11"/>
  <c r="E83" i="11"/>
  <c r="G83" i="11"/>
  <c r="H84" i="11"/>
  <c r="E84" i="11"/>
  <c r="G84" i="11"/>
  <c r="H85" i="11"/>
  <c r="E85" i="11"/>
  <c r="G85" i="11"/>
  <c r="H86" i="11"/>
  <c r="E86" i="11"/>
  <c r="G86" i="11"/>
  <c r="J87" i="11"/>
  <c r="E87" i="11"/>
  <c r="G87" i="11"/>
  <c r="H88" i="11"/>
  <c r="E88" i="11"/>
  <c r="G88" i="11"/>
  <c r="D90" i="11"/>
  <c r="D22" i="11"/>
  <c r="H22" i="11" s="1"/>
  <c r="E22" i="11"/>
  <c r="G22" i="11"/>
  <c r="F126" i="11"/>
  <c r="F125" i="11"/>
  <c r="F124" i="11"/>
  <c r="F123" i="11"/>
  <c r="F122" i="11"/>
  <c r="J90" i="11" l="1"/>
  <c r="I90" i="11"/>
  <c r="H90" i="11"/>
  <c r="H72" i="11"/>
  <c r="J86" i="11"/>
  <c r="J88" i="11"/>
  <c r="I85" i="11"/>
  <c r="J84" i="11"/>
  <c r="I88" i="11"/>
  <c r="H77" i="11"/>
  <c r="I86" i="11"/>
  <c r="H80" i="11"/>
  <c r="I80" i="11"/>
  <c r="J76" i="11"/>
  <c r="J72" i="11"/>
  <c r="I84" i="11"/>
  <c r="I78" i="11"/>
  <c r="H74" i="11"/>
  <c r="I73" i="11"/>
  <c r="H76" i="11"/>
  <c r="I72" i="11"/>
  <c r="I74" i="11"/>
  <c r="H78" i="11"/>
  <c r="I77" i="11"/>
  <c r="J82" i="11"/>
  <c r="I82" i="11"/>
  <c r="I81" i="11"/>
  <c r="I71" i="11"/>
  <c r="I79" i="11"/>
  <c r="I75" i="11"/>
  <c r="H87" i="11"/>
  <c r="J85" i="11"/>
  <c r="H83" i="11"/>
  <c r="J81" i="11"/>
  <c r="H79" i="11"/>
  <c r="J77" i="11"/>
  <c r="H75" i="11"/>
  <c r="J73" i="11"/>
  <c r="H71" i="11"/>
  <c r="I87" i="11"/>
  <c r="I83" i="11"/>
  <c r="J22" i="11"/>
  <c r="I22" i="11"/>
  <c r="D15" i="11"/>
  <c r="J15" i="11" s="1"/>
  <c r="E15" i="11"/>
  <c r="G15" i="11"/>
  <c r="D17" i="11"/>
  <c r="E17" i="11"/>
  <c r="G17" i="11"/>
  <c r="D19" i="11"/>
  <c r="E19" i="11"/>
  <c r="D20" i="11"/>
  <c r="E20" i="11"/>
  <c r="D105" i="11"/>
  <c r="J105" i="11" s="1"/>
  <c r="E105" i="11"/>
  <c r="G105" i="11"/>
  <c r="D106" i="11"/>
  <c r="I106" i="11" s="1"/>
  <c r="E106" i="11"/>
  <c r="G106" i="11"/>
  <c r="D107" i="11"/>
  <c r="E107" i="11"/>
  <c r="G107" i="11"/>
  <c r="D108" i="11"/>
  <c r="J108" i="11" s="1"/>
  <c r="E108" i="11"/>
  <c r="G108" i="11"/>
  <c r="D109" i="11"/>
  <c r="J109" i="11" s="1"/>
  <c r="E109" i="11"/>
  <c r="G109" i="11"/>
  <c r="D110" i="11"/>
  <c r="E110" i="11"/>
  <c r="G110" i="11"/>
  <c r="D111" i="11"/>
  <c r="H111" i="11" s="1"/>
  <c r="E111" i="11"/>
  <c r="G111" i="11"/>
  <c r="D112" i="11"/>
  <c r="H112" i="11" s="1"/>
  <c r="E112" i="11"/>
  <c r="G112" i="11"/>
  <c r="D113" i="11"/>
  <c r="J113" i="11" s="1"/>
  <c r="E113" i="11"/>
  <c r="G113" i="11"/>
  <c r="D114" i="11"/>
  <c r="J114" i="11" s="1"/>
  <c r="E114" i="11"/>
  <c r="G114" i="11"/>
  <c r="D115" i="11"/>
  <c r="H115" i="11" s="1"/>
  <c r="E115" i="11"/>
  <c r="G115" i="11"/>
  <c r="D116" i="11"/>
  <c r="H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H119" i="11" s="1"/>
  <c r="E119" i="11"/>
  <c r="G119" i="11"/>
  <c r="D120" i="11"/>
  <c r="H120" i="11" s="1"/>
  <c r="E120" i="11"/>
  <c r="G120" i="11"/>
  <c r="D121" i="11"/>
  <c r="J121" i="11" s="1"/>
  <c r="E121" i="11"/>
  <c r="G121" i="11"/>
  <c r="D122" i="11"/>
  <c r="H122" i="11" s="1"/>
  <c r="E122" i="11"/>
  <c r="G122" i="11"/>
  <c r="D123" i="11"/>
  <c r="H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E126" i="11"/>
  <c r="G126" i="11"/>
  <c r="D127" i="11"/>
  <c r="J127" i="11" s="1"/>
  <c r="E127" i="11"/>
  <c r="G127" i="11"/>
  <c r="I20" i="11" l="1"/>
  <c r="J20" i="11"/>
  <c r="H20" i="11"/>
  <c r="J19" i="11"/>
  <c r="H19" i="11"/>
  <c r="I19" i="11"/>
  <c r="K86" i="11"/>
  <c r="K90" i="11"/>
  <c r="K80" i="11"/>
  <c r="K72" i="11"/>
  <c r="K84" i="11"/>
  <c r="K78" i="11"/>
  <c r="K88" i="11"/>
  <c r="K74" i="11"/>
  <c r="K82" i="11"/>
  <c r="K85" i="11"/>
  <c r="K76" i="11"/>
  <c r="K71" i="11"/>
  <c r="K73" i="11"/>
  <c r="K75" i="11"/>
  <c r="K77" i="11"/>
  <c r="K81" i="11"/>
  <c r="K83" i="11"/>
  <c r="K79" i="11"/>
  <c r="K87" i="11"/>
  <c r="K22" i="11"/>
  <c r="J126" i="11"/>
  <c r="J112" i="11"/>
  <c r="I112" i="11"/>
  <c r="J120" i="11"/>
  <c r="H15" i="11"/>
  <c r="I15" i="11"/>
  <c r="I120" i="11"/>
  <c r="I105" i="11"/>
  <c r="H105" i="11"/>
  <c r="I108" i="11"/>
  <c r="H108" i="11"/>
  <c r="I126" i="11"/>
  <c r="I123" i="11"/>
  <c r="J122" i="11"/>
  <c r="I124" i="11"/>
  <c r="J123" i="11"/>
  <c r="H107" i="11"/>
  <c r="I125" i="11"/>
  <c r="I121" i="11"/>
  <c r="I109" i="11"/>
  <c r="H125" i="11"/>
  <c r="J124" i="11"/>
  <c r="H121" i="11"/>
  <c r="H118" i="11"/>
  <c r="I117" i="11"/>
  <c r="J116" i="11"/>
  <c r="I111" i="11"/>
  <c r="H109" i="11"/>
  <c r="I107" i="11"/>
  <c r="I118" i="11"/>
  <c r="J111" i="11"/>
  <c r="I114" i="11"/>
  <c r="J107" i="11"/>
  <c r="I116" i="11"/>
  <c r="H114" i="11"/>
  <c r="J119" i="11"/>
  <c r="I122" i="11"/>
  <c r="H117" i="11"/>
  <c r="J115" i="11"/>
  <c r="J110" i="11"/>
  <c r="H110" i="11"/>
  <c r="I127" i="11"/>
  <c r="H126" i="11"/>
  <c r="I119" i="11"/>
  <c r="I113" i="11"/>
  <c r="H127" i="11"/>
  <c r="K127" i="11" s="1"/>
  <c r="I115" i="11"/>
  <c r="H113" i="11"/>
  <c r="I110" i="11"/>
  <c r="J106" i="11"/>
  <c r="H106" i="11"/>
  <c r="J17" i="11"/>
  <c r="H17" i="11"/>
  <c r="I17" i="11"/>
  <c r="D14" i="11"/>
  <c r="J14" i="11" s="1"/>
  <c r="E14" i="11"/>
  <c r="G14" i="11"/>
  <c r="K19" i="60"/>
  <c r="D19" i="60"/>
  <c r="K20" i="11" l="1"/>
  <c r="K19" i="11"/>
  <c r="J131" i="11"/>
  <c r="K117" i="11"/>
  <c r="K109" i="11"/>
  <c r="K126" i="11"/>
  <c r="K121" i="11"/>
  <c r="K15" i="11"/>
  <c r="K123" i="11"/>
  <c r="K116" i="11"/>
  <c r="K112" i="11"/>
  <c r="K120" i="11"/>
  <c r="K115" i="11"/>
  <c r="K105" i="11"/>
  <c r="K111" i="11"/>
  <c r="K119" i="11"/>
  <c r="K107" i="11"/>
  <c r="K113" i="11"/>
  <c r="K122" i="11"/>
  <c r="K124" i="11"/>
  <c r="K114" i="11"/>
  <c r="K108" i="11"/>
  <c r="K125" i="11"/>
  <c r="K110" i="11"/>
  <c r="K118" i="11"/>
  <c r="K17" i="11"/>
  <c r="K106" i="11"/>
  <c r="H14" i="11"/>
  <c r="H131" i="11" s="1"/>
  <c r="I14" i="11"/>
  <c r="I131" i="11" s="1"/>
  <c r="K14" i="11" l="1"/>
  <c r="K131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9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1" i="11"/>
  <c r="D132" i="11"/>
  <c r="H132" i="11" s="1"/>
  <c r="E1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2" i="11"/>
  <c r="I13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132" i="11"/>
  <c r="K134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4" i="11"/>
  <c r="H135" i="11" s="1"/>
  <c r="I134" i="11"/>
  <c r="I135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55" i="29" l="1"/>
  <c r="F314" i="29"/>
  <c r="F59" i="39"/>
  <c r="F315" i="29"/>
  <c r="F298" i="29"/>
  <c r="F296" i="29"/>
  <c r="F294" i="2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36" i="11"/>
  <c r="I136" i="11"/>
  <c r="F364" i="29"/>
  <c r="F69" i="39"/>
  <c r="F72" i="39"/>
  <c r="F367" i="29"/>
  <c r="K135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34" i="11"/>
  <c r="J135" i="11" s="1"/>
  <c r="K136" i="11"/>
  <c r="B13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K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4" i="41" l="1"/>
  <c r="F805" i="41"/>
  <c r="F788" i="41"/>
  <c r="F845" i="41"/>
  <c r="F786" i="41"/>
  <c r="K35" i="39"/>
  <c r="F784" i="4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<sst xmlns="http://schemas.openxmlformats.org/spreadsheetml/2006/main" count="4802" uniqueCount="1637">
  <si>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</si>
  <si>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</si>
  <si>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</si>
  <si>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</si>
  <si>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</si>
  <si>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</si>
  <si>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</si>
  <si>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</si>
  <si>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</si>
  <si>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</si>
  <si>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</si>
  <si>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</si>
  <si>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</si>
  <si>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</si>
  <si>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</si>
  <si>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</si>
  <si>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</si>
  <si>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</si>
  <si>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</si>
  <si>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</si>
  <si>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</si>
  <si>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</si>
  <si>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</si>
  <si>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</si>
  <si>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</si>
  <si>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</si>
  <si>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</si>
  <si>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</si>
  <si>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</si>
  <si>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</si>
  <si>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</si>
  <si>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</si>
  <si>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</si>
  <si>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</si>
  <si>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</si>
  <si>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</si>
  <si>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</si>
  <si>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</si>
  <si>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</si>
  <si>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</si>
  <si>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</si>
  <si>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</si>
  <si>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</si>
  <si>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</si>
  <si>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</si>
  <si>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</si>
  <si>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</si>
  <si>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</si>
  <si>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</si>
  <si>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</si>
  <si>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</si>
  <si>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</si>
  <si>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</si>
  <si>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</si>
  <si>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</si>
  <si>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</si>
  <si>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</si>
  <si>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</si>
  <si>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</si>
  <si>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</si>
  <si>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</si>
  <si>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</si>
  <si>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</si>
  <si>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</si>
  <si>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</si>
  <si>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</si>
  <si>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</si>
  <si>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</si>
  <si>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</si>
  <si>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</si>
  <si>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</si>
  <si>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</si>
  <si>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</si>
  <si>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</si>
  <si>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</si>
  <si>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</si>
  <si>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</si>
  <si>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</si>
  <si>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</si>
  <si>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</si>
  <si>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</si>
  <si>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</si>
  <si>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</si>
  <si>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</si>
  <si>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</si>
  <si>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</si>
  <si>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</si>
  <si>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</si>
  <si>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</si>
  <si>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</si>
  <si>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</si>
  <si>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</si>
  <si>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</si>
  <si>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</si>
  <si>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</si>
  <si>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</si>
  <si>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</si>
  <si>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</si>
  <si>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</si>
  <si>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</si>
  <si>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</si>
  <si>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</si>
  <si>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</si>
  <si>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</si>
  <si>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</si>
  <si>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</si>
  <si>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</si>
  <si>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</si>
  <si>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</si>
  <si>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</si>
  <si>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</si>
  <si>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</si>
  <si>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</si>
  <si>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</si>
  <si>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</si>
  <si>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</si>
  <si>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</si>
  <si>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</si>
  <si>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</si>
  <si>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</si>
  <si>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</si>
  <si>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</si>
  <si>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</si>
  <si>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</si>
  <si>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</si>
  <si>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</si>
  <si>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</si>
  <si>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</si>
  <si>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</si>
  <si>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</si>
  <si>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</si>
  <si>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</si>
  <si>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</si>
  <si>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</si>
  <si>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</si>
  <si>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</si>
  <si>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</si>
  <si>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</si>
  <si>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</si>
  <si>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</si>
  <si>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</si>
  <si>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</si>
  <si>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</si>
  <si>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</si>
  <si>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</si>
  <si>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</si>
  <si>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</si>
  <si>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</si>
  <si>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</si>
  <si>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</si>
  <si>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</si>
  <si>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</si>
  <si>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</si>
  <si>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</si>
  <si>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</si>
  <si>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</si>
  <si>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</si>
  <si>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</si>
  <si>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</si>
  <si>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</si>
  <si>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</si>
  <si>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</si>
  <si>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</si>
  <si>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</si>
  <si>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</si>
  <si>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</si>
  <si>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</si>
  <si>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</si>
  <si>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</si>
  <si>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</si>
  <si>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</si>
  <si>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</si>
  <si>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</si>
  <si>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</si>
  <si>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</si>
  <si>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</si>
  <si>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</si>
  <si>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</si>
  <si>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</si>
  <si>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</si>
  <si>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</si>
  <si>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</si>
  <si>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</si>
  <si>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</si>
  <si>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</si>
  <si>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</si>
  <si>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</si>
  <si>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</si>
  <si>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</si>
  <si>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</si>
  <si>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</si>
  <si>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</si>
  <si>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</si>
  <si>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</si>
  <si>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</si>
  <si>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</si>
  <si>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</si>
  <si>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</si>
  <si>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</si>
  <si>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</si>
  <si>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</si>
  <si>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</si>
  <si>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</si>
  <si>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</si>
  <si>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</si>
  <si>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</si>
  <si>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</si>
  <si>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</si>
  <si>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</si>
  <si>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</si>
  <si>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</si>
  <si>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</si>
  <si>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</si>
  <si>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</si>
  <si>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</si>
  <si>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</si>
  <si>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</si>
  <si>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</si>
  <si>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</si>
  <si>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</si>
  <si>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</si>
  <si>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</si>
  <si>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</si>
  <si>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</si>
  <si>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</si>
  <si>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</si>
  <si>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</si>
  <si>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</si>
  <si>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</si>
  <si>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</si>
  <si>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</si>
  <si>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</si>
  <si>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</si>
  <si>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</si>
  <si>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</si>
  <si>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</si>
  <si>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</si>
  <si>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</si>
  <si>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</si>
  <si>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</si>
  <si>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</si>
  <si>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</si>
  <si>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</si>
  <si>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</si>
  <si>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</si>
  <si>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</si>
  <si>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</si>
  <si>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</si>
  <si>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</si>
  <si>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</si>
  <si>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</si>
  <si>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</si>
  <si>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</si>
  <si>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</si>
  <si>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</si>
  <si>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</si>
  <si>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</si>
  <si>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</si>
  <si>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</si>
  <si>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</si>
  <si>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</si>
  <si>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</si>
  <si>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</si>
  <si>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</si>
  <si>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</si>
  <si>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</si>
  <si>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</si>
  <si>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</si>
  <si>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</si>
  <si>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</si>
  <si>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</si>
  <si>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</si>
  <si>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</si>
  <si>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</si>
  <si>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</si>
  <si>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</si>
  <si>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</si>
  <si>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</si>
  <si>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</si>
  <si>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</si>
  <si>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</si>
  <si>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</si>
  <si>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</si>
  <si>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</si>
  <si>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</si>
  <si>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</si>
  <si>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</si>
  <si>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</si>
  <si>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</si>
  <si>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</si>
  <si>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</si>
  <si>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</si>
  <si>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</si>
  <si>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</si>
  <si>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</si>
  <si>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</si>
  <si>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</si>
  <si>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</si>
  <si>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</si>
  <si>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</si>
  <si>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</si>
  <si>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</si>
  <si>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</si>
  <si>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</si>
  <si>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</si>
  <si>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</si>
  <si>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</si>
  <si>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</si>
  <si>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</si>
  <si>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</si>
  <si>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</si>
  <si>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</si>
  <si>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</si>
  <si>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</si>
  <si>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</si>
  <si>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</si>
  <si>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</si>
  <si>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</si>
  <si>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</si>
  <si>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</si>
  <si>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</si>
  <si>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</si>
  <si>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</si>
  <si>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</si>
  <si>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</si>
  <si>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</si>
  <si>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</si>
  <si>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</si>
  <si>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</si>
  <si>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</si>
  <si>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</si>
  <si>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</si>
  <si>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</si>
  <si>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</si>
  <si>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</si>
  <si>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</si>
  <si>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</si>
  <si>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</si>
  <si>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</si>
  <si>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</si>
  <si>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</si>
  <si>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</si>
  <si>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</si>
  <si>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</si>
  <si>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</si>
  <si>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</si>
  <si>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</si>
  <si>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</si>
  <si>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</si>
  <si>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</si>
  <si>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</si>
  <si>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</si>
  <si>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</si>
  <si>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</si>
  <si>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</si>
  <si>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</si>
  <si>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</si>
  <si>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</si>
  <si>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</si>
  <si>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</si>
  <si>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</si>
  <si>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</si>
  <si>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</si>
  <si>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</si>
  <si>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</si>
  <si>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</si>
  <si>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</si>
  <si>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</si>
  <si>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</si>
  <si>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</si>
  <si>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</si>
  <si>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</si>
  <si>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</si>
  <si>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</si>
  <si>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</si>
  <si>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</si>
  <si>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</si>
  <si>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</si>
  <si>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</si>
  <si>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</si>
  <si>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</si>
  <si>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</si>
  <si>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</si>
  <si>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</si>
  <si>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</si>
  <si>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</si>
  <si>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</si>
  <si>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</si>
  <si>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</si>
  <si>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</si>
  <si>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</si>
  <si>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</si>
  <si>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</si>
  <si>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</si>
  <si>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</si>
  <si>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</si>
  <si>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</si>
  <si>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</si>
  <si>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</si>
  <si>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</si>
  <si>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</si>
  <si>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</si>
  <si>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</si>
  <si>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</si>
  <si>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</si>
  <si>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</si>
  <si>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</si>
  <si>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</si>
  <si>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</si>
  <si>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</si>
  <si>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</si>
  <si>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</si>
  <si>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</si>
  <si>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</si>
  <si>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</si>
  <si>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</si>
  <si>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</si>
  <si>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</si>
  <si>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</si>
  <si>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</si>
  <si>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</si>
  <si>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</si>
  <si>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</si>
  <si>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</si>
  <si>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</si>
  <si>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</si>
  <si>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</si>
  <si>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</si>
  <si>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</si>
  <si>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</si>
  <si>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</si>
  <si>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</si>
  <si>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</si>
  <si>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</si>
  <si>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</si>
  <si>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</si>
  <si>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</si>
  <si>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</si>
  <si>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</si>
  <si>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</si>
  <si>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</si>
  <si>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</si>
  <si>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</si>
  <si>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</si>
  <si>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</si>
  <si>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</si>
  <si>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</si>
  <si>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</si>
  <si>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</si>
  <si>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</si>
  <si>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</si>
  <si>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</si>
  <si>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</si>
  <si>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</si>
  <si>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</si>
  <si>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</si>
  <si>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</si>
  <si>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</si>
  <si>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</si>
  <si>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</si>
  <si>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</si>
  <si>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</si>
  <si>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</si>
  <si>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</si>
  <si>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</si>
  <si>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</si>
  <si>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</si>
  <si>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</si>
  <si>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</si>
  <si>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</si>
  <si>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</si>
  <si>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</si>
  <si>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</si>
  <si>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</si>
  <si>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</si>
  <si>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</si>
  <si>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</si>
  <si>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</si>
  <si>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</si>
  <si>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</si>
  <si>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</si>
  <si>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</si>
  <si>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</si>
  <si>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</si>
  <si>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</si>
  <si>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</si>
  <si>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</si>
  <si>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</si>
  <si>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</si>
  <si>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</si>
  <si>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</si>
  <si>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</si>
  <si>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</si>
  <si>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</si>
  <si>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</si>
  <si>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</si>
  <si>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</si>
  <si>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</si>
  <si>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</si>
  <si>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</si>
  <si>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</si>
  <si>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</si>
  <si>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</si>
  <si>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</si>
  <si>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</si>
  <si>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</si>
  <si>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</si>
  <si>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</si>
  <si>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</si>
  <si>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</si>
  <si>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</si>
  <si>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</si>
  <si>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</si>
  <si>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</si>
  <si>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</si>
  <si>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</si>
  <si>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</si>
  <si>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</si>
  <si>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</si>
  <si>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</si>
  <si>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</si>
  <si>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</si>
  <si>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</si>
  <si>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</si>
  <si>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</si>
  <si>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</si>
  <si>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</si>
  <si>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</si>
  <si>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</si>
  <si>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</si>
  <si>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</si>
  <si>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</si>
  <si>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</si>
  <si>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</si>
  <si>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</si>
  <si>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</si>
  <si>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</si>
  <si>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</si>
  <si>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</si>
  <si>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</si>
  <si>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</si>
  <si>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</si>
  <si>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</si>
  <si>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</si>
  <si>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</si>
  <si>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</si>
  <si>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</si>
  <si>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</si>
  <si>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</si>
  <si>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</si>
  <si>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</si>
  <si>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</si>
  <si>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</si>
  <si>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</si>
  <si>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</si>
  <si>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</si>
  <si>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</si>
  <si>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</si>
  <si>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</si>
  <si>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</si>
  <si>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</si>
  <si>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</si>
  <si>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</si>
  <si>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</si>
  <si>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</si>
  <si>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</si>
  <si>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</si>
  <si>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</si>
  <si>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</si>
  <si>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</si>
  <si>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</si>
  <si>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</si>
  <si>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</si>
  <si>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</si>
  <si>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</si>
  <si>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</si>
  <si>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</si>
  <si>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</si>
  <si>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</si>
  <si>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</si>
  <si>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</si>
  <si>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</si>
  <si>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</si>
  <si>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</si>
  <si>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</si>
  <si>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</si>
  <si>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</si>
  <si>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</si>
  <si>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</si>
  <si>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</si>
  <si>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</si>
  <si>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</si>
  <si>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</si>
  <si>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</si>
  <si>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</si>
  <si>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</si>
  <si>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</si>
  <si>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</si>
  <si>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</si>
  <si>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</si>
  <si>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</si>
  <si>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</si>
  <si>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</si>
  <si>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</si>
  <si>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</si>
  <si>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</si>
  <si>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</si>
  <si>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</si>
  <si>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</si>
  <si>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</si>
  <si>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</si>
  <si>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</si>
  <si>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</si>
  <si>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</si>
  <si>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</si>
  <si>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</si>
  <si>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</si>
  <si>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</si>
  <si>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</si>
  <si>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</si>
  <si>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</si>
  <si>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</si>
  <si>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</si>
  <si>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</si>
  <si>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</si>
  <si>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</si>
  <si>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</si>
  <si>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</si>
  <si>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</si>
  <si>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</si>
  <si>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</si>
  <si>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</si>
  <si>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</si>
  <si>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</si>
  <si>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</si>
  <si>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</si>
  <si>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</si>
  <si>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</si>
  <si>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</si>
  <si>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</si>
  <si>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</si>
  <si>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</si>
  <si>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</si>
  <si>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</si>
  <si>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</si>
  <si>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</si>
  <si>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</si>
  <si>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</si>
  <si>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</si>
  <si>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</si>
  <si>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</si>
  <si>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</si>
  <si>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</si>
  <si>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</si>
  <si>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</si>
  <si>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</si>
  <si>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</si>
  <si>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</si>
  <si>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</si>
  <si>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</si>
  <si>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</si>
  <si>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</si>
  <si>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</si>
  <si>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</si>
  <si>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</si>
  <si>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</si>
  <si>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</si>
  <si>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</si>
  <si>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</si>
  <si>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</si>
  <si>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</si>
  <si>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</si>
  <si>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</si>
  <si>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</si>
  <si>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</si>
  <si>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</si>
  <si>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</si>
  <si>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</si>
  <si>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</si>
  <si>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</si>
  <si>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</si>
  <si>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</si>
  <si>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</si>
  <si>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</si>
  <si>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</si>
  <si>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</si>
  <si>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</si>
  <si>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</si>
  <si>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</si>
  <si>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</si>
  <si>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</si>
  <si>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</si>
  <si>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</si>
  <si>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</si>
  <si>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</si>
  <si>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</si>
  <si>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</si>
  <si>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</si>
  <si>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</si>
  <si>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</si>
  <si>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</si>
  <si>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</si>
  <si>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</si>
  <si>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</si>
  <si>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</si>
  <si>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</si>
  <si>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</si>
  <si>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</si>
  <si>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</si>
  <si>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</si>
  <si>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</si>
  <si>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</si>
  <si>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</si>
  <si>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</si>
  <si>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</si>
  <si>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</si>
  <si>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</si>
  <si>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</si>
  <si>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</si>
  <si>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</si>
  <si>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</si>
  <si>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</si>
  <si>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</si>
  <si>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</si>
  <si>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</si>
  <si>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</si>
  <si>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</si>
  <si>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</si>
  <si>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</si>
  <si>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</si>
  <si>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</si>
  <si>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</si>
  <si>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</si>
  <si>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</si>
  <si>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</si>
  <si>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</si>
  <si>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</si>
  <si>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</si>
  <si>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</si>
  <si>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</si>
  <si>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</si>
  <si>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</si>
  <si>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</si>
  <si>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</si>
  <si>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</si>
  <si>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</si>
  <si>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</si>
  <si>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</si>
  <si>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</si>
  <si>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</si>
  <si>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</si>
  <si>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</si>
  <si>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</si>
  <si>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</si>
  <si>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</si>
  <si>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</si>
  <si>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</si>
  <si>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</si>
  <si>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</si>
  <si>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</si>
  <si>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</si>
  <si>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</si>
  <si>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</si>
  <si>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</si>
  <si>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</si>
  <si>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</si>
  <si>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</si>
  <si>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</si>
  <si>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</si>
  <si>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</si>
  <si>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</si>
  <si>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</si>
  <si>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</si>
  <si>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</si>
  <si>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</si>
  <si>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</si>
  <si>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</si>
  <si>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</si>
  <si>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</si>
  <si>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</si>
  <si>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</si>
  <si>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</si>
  <si>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</si>
  <si>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</si>
  <si>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</si>
  <si>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</si>
  <si>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</si>
  <si>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</si>
  <si>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</si>
  <si>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</si>
  <si>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</si>
  <si>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</si>
  <si>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</si>
  <si>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</si>
  <si>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</si>
  <si>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</si>
  <si>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</si>
  <si>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</si>
  <si>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</si>
  <si>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</si>
  <si>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</si>
  <si>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</si>
  <si>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</si>
  <si>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</si>
  <si>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</si>
  <si>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</si>
  <si>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</si>
  <si>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</si>
  <si>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</si>
  <si>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</si>
  <si>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</si>
  <si>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</si>
  <si>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</si>
  <si>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</si>
  <si>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</si>
  <si>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</si>
  <si>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</si>
  <si>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</si>
  <si>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</si>
  <si>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</si>
  <si>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</si>
  <si>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</si>
  <si>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</si>
  <si>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</si>
  <si>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</si>
  <si>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</si>
  <si>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</si>
  <si>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</si>
  <si>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</si>
  <si>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</si>
  <si>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</si>
  <si>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</si>
  <si>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</si>
  <si>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</si>
  <si>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</si>
  <si>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</si>
  <si>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</si>
  <si>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</si>
  <si>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</si>
  <si>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</si>
  <si>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</si>
  <si>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</si>
  <si>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</si>
  <si>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</si>
  <si>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</si>
  <si>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</si>
  <si>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</si>
  <si>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</si>
  <si>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</si>
  <si>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</si>
  <si>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</si>
  <si>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</si>
  <si>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</si>
  <si>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</si>
  <si>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</si>
  <si>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</si>
  <si>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</si>
  <si>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</si>
  <si>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</si>
  <si>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</si>
  <si>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</si>
  <si>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</si>
  <si>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</si>
  <si>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</si>
  <si>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</si>
  <si>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</si>
  <si>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</si>
  <si>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</si>
  <si>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</si>
  <si>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</si>
  <si>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</si>
  <si>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</si>
  <si>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</si>
  <si>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</si>
  <si>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</si>
  <si>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</si>
  <si>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</si>
  <si>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</si>
  <si>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</si>
  <si>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</si>
  <si>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</si>
  <si>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</si>
  <si>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</si>
  <si>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</si>
  <si>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</si>
  <si>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</si>
  <si>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</si>
  <si>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</si>
  <si>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</si>
  <si>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</si>
  <si>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</si>
  <si>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</si>
  <si>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</si>
  <si>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</si>
  <si>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</si>
  <si>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</si>
  <si>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</si>
  <si>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</si>
  <si>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</si>
  <si>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</si>
  <si>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</si>
  <si>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</si>
  <si>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</si>
  <si>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</si>
  <si>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</si>
  <si>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</si>
  <si>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</si>
  <si>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</si>
  <si>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</si>
  <si>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</si>
  <si>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</si>
  <si>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</si>
  <si>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</si>
  <si>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</si>
  <si>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</si>
  <si>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</si>
  <si>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</si>
  <si>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</si>
  <si>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</si>
  <si>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</si>
  <si>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</si>
  <si>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</si>
  <si>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</si>
  <si>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</si>
  <si>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</si>
  <si>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</si>
  <si>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</si>
  <si>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</si>
  <si>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</si>
  <si>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</si>
  <si>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</si>
  <si>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</si>
  <si>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</si>
  <si>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</si>
  <si>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</si>
  <si>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</si>
  <si>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</si>
  <si>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</si>
  <si>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</si>
  <si>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</si>
  <si>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</si>
  <si>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</si>
  <si>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</si>
  <si>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</si>
  <si>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</si>
  <si>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</si>
  <si>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</si>
  <si>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</si>
  <si>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</si>
  <si>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</si>
  <si>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</si>
  <si>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</si>
  <si>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</si>
  <si>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</si>
  <si>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</si>
  <si>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</si>
  <si>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</si>
  <si>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</si>
  <si>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</si>
  <si>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</si>
  <si>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</si>
  <si>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</si>
  <si>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</si>
  <si>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</si>
  <si>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</si>
  <si>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</si>
  <si>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</si>
  <si>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</si>
  <si>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</si>
  <si>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</si>
  <si>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</si>
  <si>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</si>
  <si>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</si>
  <si>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</si>
  <si>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</si>
  <si>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</si>
  <si>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</si>
  <si>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</si>
  <si>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</si>
  <si>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</si>
  <si>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</si>
  <si>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</si>
  <si>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</si>
  <si>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</si>
  <si>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</si>
  <si>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</si>
  <si>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</si>
  <si>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</si>
  <si>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</si>
  <si>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</si>
  <si>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</si>
  <si>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</si>
  <si>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</si>
  <si>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</si>
  <si>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</si>
  <si>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</si>
  <si>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</si>
  <si>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</si>
  <si>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</si>
  <si>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</si>
  <si>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</si>
  <si>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</si>
  <si>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</si>
  <si>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</si>
  <si>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</si>
  <si>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</si>
  <si>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</si>
  <si>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</si>
  <si>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</si>
  <si>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</si>
  <si>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</si>
  <si>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</si>
  <si>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</si>
  <si>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</si>
  <si>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</si>
  <si>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</si>
  <si>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</si>
  <si>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</si>
  <si>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</si>
  <si>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</si>
  <si>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</si>
  <si>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</si>
  <si>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</si>
  <si>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</si>
  <si>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</si>
  <si>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</si>
  <si>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</si>
  <si>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</si>
  <si>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</si>
  <si>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</si>
  <si>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</si>
  <si>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</si>
  <si>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</si>
  <si>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</si>
  <si>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</si>
  <si>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</si>
  <si>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</si>
  <si>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</si>
  <si>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</si>
  <si>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</si>
  <si>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</si>
  <si>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</si>
  <si>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</si>
  <si>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</si>
  <si>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</si>
  <si>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</si>
  <si>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</si>
  <si>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</si>
  <si>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</si>
  <si>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</si>
  <si>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</si>
  <si>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</si>
  <si>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</si>
  <si>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</si>
  <si>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</si>
  <si>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</si>
  <si>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</si>
  <si>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</si>
  <si>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</si>
  <si>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</si>
  <si>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</si>
  <si>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</si>
  <si>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</si>
  <si>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</si>
  <si>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</si>
  <si>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</si>
  <si>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</si>
  <si>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</si>
  <si>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</si>
  <si>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</si>
  <si>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</si>
  <si>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</si>
  <si>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</si>
  <si>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</si>
  <si>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</si>
  <si>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</si>
  <si>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</si>
  <si>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</si>
  <si>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</si>
  <si>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</si>
  <si>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</si>
  <si>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</si>
  <si>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</si>
  <si>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</si>
  <si>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</si>
  <si>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</si>
  <si>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</si>
  <si>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</si>
  <si>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</si>
  <si>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</si>
  <si>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</si>
  <si>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</si>
  <si>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</si>
  <si>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</si>
  <si>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</si>
  <si>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</si>
  <si>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</si>
  <si>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</si>
  <si>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</si>
  <si>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</si>
  <si>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</si>
  <si>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</si>
  <si>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</si>
  <si>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</si>
  <si>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</si>
  <si>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</si>
  <si>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</si>
  <si>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</si>
  <si>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</si>
  <si>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</si>
  <si>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</si>
  <si>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</si>
  <si>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</si>
  <si>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</si>
  <si>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</si>
  <si>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</si>
  <si>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</si>
  <si>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</si>
  <si>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</si>
  <si>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</si>
  <si>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</si>
  <si>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</si>
  <si>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</si>
  <si>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</si>
  <si>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</si>
  <si>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</si>
  <si>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</si>
  <si>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</si>
  <si>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</si>
  <si>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</si>
  <si>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</si>
  <si>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</si>
  <si>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</si>
  <si>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</si>
  <si>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</si>
  <si>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</si>
  <si>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</si>
  <si>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</si>
  <si>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</si>
  <si>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</si>
  <si>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</si>
  <si>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</si>
  <si>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</si>
  <si>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</si>
  <si>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</si>
  <si>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</si>
  <si>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</si>
  <si>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</si>
  <si>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</si>
  <si>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</si>
  <si>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</si>
  <si>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</si>
  <si>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</si>
  <si>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</si>
  <si>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</si>
  <si>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</si>
  <si>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</si>
  <si>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</si>
  <si>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</si>
  <si>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</si>
  <si>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</si>
  <si>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</si>
  <si>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</si>
  <si>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</si>
  <si>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</si>
  <si>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</si>
  <si>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</si>
  <si>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</si>
  <si>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</si>
  <si>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</si>
  <si>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</si>
  <si>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</si>
  <si>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</si>
  <si>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</si>
  <si>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</si>
  <si>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</si>
  <si>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</si>
  <si>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</si>
  <si>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</si>
  <si>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</si>
  <si>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</si>
  <si>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</si>
  <si>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</si>
  <si>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</si>
  <si>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</si>
  <si>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</si>
  <si>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</si>
  <si>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</si>
  <si>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</si>
  <si>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</si>
  <si>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</si>
  <si>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</si>
  <si>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</si>
  <si>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</si>
  <si>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</si>
  <si>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</si>
  <si>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</si>
  <si>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</si>
  <si>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</si>
  <si>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</si>
  <si>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</si>
  <si>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</si>
  <si>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</si>
  <si>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</si>
  <si>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</si>
  <si>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</si>
  <si>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</si>
  <si>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</si>
  <si>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</si>
  <si>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</si>
  <si>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</si>
  <si>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</si>
  <si>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</si>
  <si>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</si>
  <si>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</si>
  <si>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</si>
  <si>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</si>
  <si>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</si>
  <si>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</si>
  <si>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</si>
  <si>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</si>
  <si>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</si>
  <si>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</si>
  <si>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</si>
  <si>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</si>
  <si>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</si>
  <si>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</si>
  <si>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</si>
  <si>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</si>
  <si>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</si>
  <si>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</si>
  <si>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</si>
  <si>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</si>
  <si>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</si>
  <si>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</si>
  <si>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</si>
  <si>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</si>
  <si>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</si>
  <si>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</si>
  <si>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</si>
  <si>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</si>
  <si>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</si>
  <si>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</si>
  <si>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</si>
  <si>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</si>
  <si>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</si>
  <si>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</si>
  <si>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</si>
  <si>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</si>
  <si>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</si>
  <si>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</si>
  <si>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</si>
  <si>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</si>
  <si>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</si>
  <si>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</si>
  <si>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</si>
  <si>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</si>
  <si>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</si>
  <si>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</si>
  <si>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</si>
  <si>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</si>
  <si>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</si>
  <si>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</si>
  <si>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</si>
  <si>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</si>
  <si>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</si>
  <si>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</si>
  <si>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</si>
  <si>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</si>
  <si>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</si>
  <si>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</si>
  <si>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</si>
  <si>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</si>
  <si>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</si>
  <si>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</si>
  <si>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</si>
  <si>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</si>
  <si>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</si>
  <si>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</si>
  <si>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</si>
  <si>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</si>
  <si>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</si>
  <si>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</si>
  <si>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</si>
  <si>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</si>
  <si>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</si>
  <si>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</si>
  <si>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</si>
  <si>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</si>
  <si>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</si>
  <si>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</si>
  <si>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</si>
  <si>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</si>
  <si>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</si>
  <si>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</si>
  <si>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</si>
  <si>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</si>
  <si>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</si>
  <si>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</si>
  <si>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</si>
  <si>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</si>
  <si>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</si>
  <si>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</si>
  <si>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</si>
  <si>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</si>
  <si>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</si>
  <si>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</si>
  <si>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</si>
  <si>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</si>
  <si>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</si>
  <si>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</si>
  <si>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</si>
  <si>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</si>
  <si>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</si>
  <si>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</si>
  <si>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</si>
  <si>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</si>
  <si>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</si>
  <si>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</si>
  <si>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</si>
  <si>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</si>
  <si>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</si>
  <si>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</si>
  <si>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</si>
  <si>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</si>
  <si>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</si>
  <si>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</si>
  <si>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</si>
  <si>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</si>
  <si>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</si>
  <si>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</si>
  <si>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</si>
  <si>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</si>
  <si>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</si>
  <si>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</si>
  <si>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</si>
  <si>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</si>
  <si>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</si>
  <si>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</si>
  <si>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</si>
  <si>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</si>
  <si>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</si>
  <si>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</si>
  <si>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</si>
  <si>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</si>
  <si>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</si>
  <si>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</si>
  <si>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</si>
  <si>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</si>
  <si>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</si>
  <si>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</si>
  <si>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</si>
  <si>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</si>
  <si>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</si>
  <si>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</si>
  <si>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</si>
  <si>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</si>
  <si>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</si>
  <si>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</si>
  <si>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</si>
  <si>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</si>
  <si>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</si>
  <si>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</si>
  <si>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</si>
  <si>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</si>
  <si>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</si>
  <si>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</si>
  <si>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</si>
  <si>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</si>
  <si>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</si>
  <si>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</si>
  <si>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</si>
  <si>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</si>
  <si>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</si>
  <si>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</si>
  <si>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</si>
  <si>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</si>
  <si>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</si>
  <si>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</si>
  <si>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</si>
  <si>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</si>
  <si>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</si>
  <si>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</si>
  <si>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</si>
  <si>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</si>
  <si>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</si>
  <si>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</si>
  <si>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</si>
  <si>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</si>
  <si>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</si>
  <si>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</si>
  <si>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</si>
  <si>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</si>
  <si>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</si>
  <si>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</si>
  <si>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</si>
  <si>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</si>
  <si>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</si>
  <si>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</si>
  <si>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</si>
  <si>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</si>
  <si>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</si>
  <si>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</si>
  <si>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</si>
  <si>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</si>
  <si>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</si>
  <si>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</si>
  <si>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</si>
  <si>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</si>
  <si>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</si>
  <si>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</si>
  <si>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</si>
  <si>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</si>
  <si>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</si>
  <si>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</si>
  <si>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</si>
  <si>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</si>
  <si>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</si>
  <si>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</si>
  <si>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</si>
  <si>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</si>
  <si>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</si>
  <si>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</si>
  <si>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</si>
  <si>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</si>
  <si>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</si>
  <si>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</si>
  <si>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</si>
  <si>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</si>
  <si>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</si>
  <si>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</si>
  <si>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</si>
  <si>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</si>
  <si>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</si>
  <si>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</si>
  <si>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</si>
  <si>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</si>
  <si>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</si>
  <si>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</si>
  <si>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</si>
  <si>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</si>
  <si>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</si>
  <si>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</si>
  <si>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</si>
  <si>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</si>
  <si>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</si>
  <si>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</si>
  <si>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</si>
  <si>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</si>
  <si>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</si>
  <si>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</si>
  <si>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</si>
  <si>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</si>
  <si>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</si>
  <si>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</si>
  <si>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</si>
  <si>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</si>
  <si>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</si>
  <si>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</si>
  <si>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</si>
  <si>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</si>
  <si>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</si>
  <si>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</si>
  <si>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</si>
  <si>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</si>
  <si>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</si>
  <si>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</si>
  <si>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</si>
  <si>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</si>
  <si>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</si>
  <si>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</si>
  <si>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</si>
  <si>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</si>
  <si>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</si>
  <si>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</si>
  <si>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</si>
  <si>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</si>
  <si>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</si>
  <si>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</si>
  <si>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</si>
  <si>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</si>
  <si>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</si>
  <si>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</si>
  <si>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</si>
  <si>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</si>
  <si>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</si>
  <si>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</si>
  <si>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</si>
  <si>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</si>
  <si>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</si>
  <si>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</si>
  <si>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</si>
  <si>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</si>
  <si>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</si>
  <si>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</si>
  <si>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</si>
  <si>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</si>
  <si>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</si>
  <si>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</si>
  <si>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</si>
  <si>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</si>
  <si>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</si>
  <si>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</si>
  <si>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</si>
  <si>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</si>
  <si>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</si>
  <si>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</si>
  <si>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</si>
  <si>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</si>
  <si>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</si>
  <si>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</si>
  <si>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</si>
  <si>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</si>
  <si>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</si>
  <si>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</si>
  <si>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</si>
  <si>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</si>
  <si>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</si>
  <si>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</si>
  <si>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</si>
  <si>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</si>
  <si>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</si>
  <si>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</si>
  <si>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</si>
  <si>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</si>
  <si>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</si>
  <si>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</si>
  <si>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</si>
  <si>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</si>
  <si>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</si>
  <si>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</si>
  <si>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</si>
  <si>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</si>
  <si>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</si>
  <si>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</si>
  <si>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</si>
  <si>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</si>
  <si>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</si>
  <si>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</si>
  <si>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</si>
  <si>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</si>
  <si>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</si>
  <si>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</si>
  <si>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</si>
  <si>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</si>
  <si>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</si>
  <si>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</si>
  <si>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</si>
  <si>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</si>
  <si>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</si>
  <si>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</si>
  <si>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</si>
  <si>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</si>
  <si>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</si>
  <si>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</si>
  <si>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</si>
  <si>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</si>
  <si>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</si>
  <si>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</si>
  <si>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</si>
  <si>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</si>
  <si>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</si>
  <si>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</si>
  <si>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</si>
  <si>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</si>
  <si>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</si>
  <si>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</si>
  <si>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</si>
  <si>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</si>
  <si>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</si>
  <si>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</si>
  <si>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</si>
  <si>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</si>
  <si>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</si>
  <si>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</si>
  <si>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</si>
  <si>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</si>
  <si>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</si>
  <si>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</si>
  <si>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</si>
  <si>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</si>
  <si>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</si>
  <si>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</si>
  <si>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</si>
  <si>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</si>
  <si>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</si>
  <si>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</si>
  <si>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</si>
  <si>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</si>
  <si>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</si>
  <si>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</si>
  <si>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</si>
  <si>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</si>
  <si>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</si>
  <si>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</si>
  <si>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</si>
  <si>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</si>
  <si>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</si>
  <si>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</si>
  <si>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</si>
  <si>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</si>
  <si>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</si>
  <si>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</si>
  <si>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</si>
  <si>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</si>
  <si>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</si>
  <si>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</si>
  <si>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</si>
  <si>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</si>
  <si>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</si>
  <si>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</si>
  <si>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</si>
  <si>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</si>
  <si>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B2</t>
  </si>
  <si>
    <t xml:space="preserve"> </t>
  </si>
  <si>
    <t>PEMASANGAN TIANG</t>
  </si>
  <si>
    <t>PEKERJAAN PEMASANGAN KONSTRUKSI TR</t>
  </si>
  <si>
    <t>CM2-11</t>
  </si>
  <si>
    <t xml:space="preserve">Jumper Wire : </t>
  </si>
  <si>
    <t>CM2-11M</t>
  </si>
  <si>
    <t>Stainless Steel Strap 20 X 0.7 mm</t>
  </si>
  <si>
    <t>Pemasangan APP 3 Fasa Di Bangunan</t>
  </si>
  <si>
    <t>CC1-A</t>
  </si>
  <si>
    <t>CC7</t>
  </si>
  <si>
    <t>CM5-5</t>
  </si>
  <si>
    <t>PEMASANGAN TRAFO</t>
  </si>
  <si>
    <t>PEMBONGKARAN</t>
  </si>
  <si>
    <t>KOORDINAT : -6.919177, 110.757992</t>
  </si>
  <si>
    <t>C12-200</t>
  </si>
  <si>
    <t>C12-350</t>
  </si>
  <si>
    <t>CG313</t>
  </si>
  <si>
    <t>Trafo 3 Fasa 100 KVA 1 Tiang (G312-A)</t>
  </si>
  <si>
    <t>Daya 105.000 VA</t>
  </si>
  <si>
    <t>K3-169/19/56/27/2</t>
  </si>
  <si>
    <t>KDS 16</t>
  </si>
  <si>
    <t>AGR UD EL RUTAB</t>
  </si>
  <si>
    <t>DS TANJUNGANYAT KEC GAJAH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</si>
</sst>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1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8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4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5" fontId="34" fillId="0" borderId="3"/>
    <xf numFmtId="185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68" fillId="0" borderId="0" applyFont="0" applyFill="0" applyBorder="0" applyAlignment="0" applyProtection="0"/>
    <xf numFmtId="187" fontId="70" fillId="0" borderId="0">
      <protection locked="0"/>
    </xf>
    <xf numFmtId="14" fontId="62" fillId="0" borderId="0" applyFill="0" applyBorder="0" applyAlignment="0"/>
    <xf numFmtId="188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9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0" fontId="75" fillId="0" borderId="0">
      <protection locked="0"/>
    </xf>
    <xf numFmtId="190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1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2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20" fillId="0" borderId="0"/>
    <xf numFmtId="192" fontId="34" fillId="0" borderId="0"/>
    <xf numFmtId="171" fontId="81" fillId="0" borderId="0"/>
    <xf numFmtId="171" fontId="82" fillId="0" borderId="0"/>
    <xf numFmtId="171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3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1" fontId="82" fillId="0" borderId="0"/>
    <xf numFmtId="0" fontId="82" fillId="0" borderId="0"/>
    <xf numFmtId="194" fontId="82" fillId="0" borderId="0"/>
    <xf numFmtId="195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4" fontId="82" fillId="0" borderId="0"/>
    <xf numFmtId="0" fontId="82" fillId="0" borderId="0"/>
    <xf numFmtId="0" fontId="34" fillId="0" borderId="0"/>
    <xf numFmtId="0" fontId="20" fillId="0" borderId="0"/>
    <xf numFmtId="181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6" fontId="82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3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3" fontId="41" fillId="0" borderId="0"/>
    <xf numFmtId="193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99" fontId="34" fillId="0" borderId="0" applyFont="0" applyFill="0" applyBorder="0" applyAlignment="0" applyProtection="0"/>
    <xf numFmtId="199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2" fillId="0" borderId="0"/>
    <xf numFmtId="200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5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5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31" fillId="7" borderId="102" applyNumberFormat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5" fillId="0" borderId="0"/>
    <xf numFmtId="165" fontId="20" fillId="0" borderId="0" applyFont="0" applyFill="0" applyBorder="0" applyAlignment="0" applyProtection="0"/>
    <xf numFmtId="0" fontId="5" fillId="0" borderId="0"/>
    <xf numFmtId="166" fontId="20" fillId="0" borderId="0" applyFont="0" applyFill="0" applyBorder="0" applyAlignment="0" applyProtection="0"/>
    <xf numFmtId="0" fontId="24" fillId="20" borderId="102" applyNumberFormat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24" fillId="20" borderId="10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66" fontId="20" fillId="0" borderId="0" applyFont="0" applyFill="0" applyBorder="0" applyAlignment="0" applyProtection="0"/>
    <xf numFmtId="0" fontId="5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2" fontId="1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9"/>
    <xf numFmtId="0" fontId="77" fillId="0" borderId="109"/>
    <xf numFmtId="0" fontId="77" fillId="0" borderId="109"/>
    <xf numFmtId="0" fontId="77" fillId="0" borderId="109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14" fillId="0" borderId="0" applyFont="0" applyFill="0" applyBorder="0" applyAlignment="0" applyProtection="0"/>
    <xf numFmtId="0" fontId="87" fillId="0" borderId="110"/>
    <xf numFmtId="0" fontId="87" fillId="0" borderId="11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4" fillId="0" borderId="0"/>
    <xf numFmtId="166" fontId="9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0" fontId="4" fillId="0" borderId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185" fontId="20" fillId="0" borderId="3"/>
    <xf numFmtId="10" fontId="39" fillId="25" borderId="3" applyNumberFormat="0" applyBorder="0" applyAlignment="0" applyProtection="0"/>
    <xf numFmtId="0" fontId="4" fillId="0" borderId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86" fillId="0" borderId="14"/>
    <xf numFmtId="166" fontId="20" fillId="0" borderId="0" applyFont="0" applyFill="0" applyBorder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0" fontId="25" fillId="21" borderId="108" applyNumberFormat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1" fillId="7" borderId="102" applyNumberFormat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85" fontId="20" fillId="0" borderId="3"/>
    <xf numFmtId="185" fontId="20" fillId="0" borderId="3"/>
    <xf numFmtId="42" fontId="1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9"/>
    <xf numFmtId="0" fontId="77" fillId="0" borderId="109"/>
    <xf numFmtId="0" fontId="77" fillId="0" borderId="109"/>
    <xf numFmtId="0" fontId="77" fillId="0" borderId="109"/>
    <xf numFmtId="0" fontId="77" fillId="0" borderId="106"/>
    <xf numFmtId="0" fontId="77" fillId="23" borderId="106"/>
    <xf numFmtId="0" fontId="79" fillId="0" borderId="7">
      <alignment horizontal="left" vertical="center"/>
    </xf>
    <xf numFmtId="0" fontId="79" fillId="0" borderId="7">
      <alignment horizontal="left" vertical="center"/>
    </xf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0" fillId="0" borderId="0" applyFont="0" applyFill="0" applyBorder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66" fontId="20" fillId="0" borderId="0" applyFont="0" applyFill="0" applyBorder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86" fillId="0" borderId="14"/>
    <xf numFmtId="0" fontId="86" fillId="0" borderId="14"/>
    <xf numFmtId="0" fontId="87" fillId="0" borderId="110"/>
    <xf numFmtId="0" fontId="87" fillId="0" borderId="11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10" fillId="0" borderId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4" fillId="0" borderId="0"/>
    <xf numFmtId="0" fontId="77" fillId="23" borderId="106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166" fontId="4" fillId="0" borderId="0" applyFont="0" applyFill="0" applyBorder="0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86" fillId="0" borderId="107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3" fontId="41" fillId="28" borderId="103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66" fontId="4" fillId="0" borderId="0" applyFont="0" applyFill="0" applyBorder="0" applyAlignment="0" applyProtection="0"/>
    <xf numFmtId="0" fontId="77" fillId="23" borderId="106"/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3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66" fontId="20" fillId="0" borderId="0" applyFont="0" applyFill="0" applyBorder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9" fillId="0" borderId="7">
      <alignment horizontal="left" vertical="center"/>
    </xf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7" fillId="23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2" fillId="0" borderId="106"/>
    <xf numFmtId="0" fontId="77" fillId="23" borderId="106"/>
    <xf numFmtId="0" fontId="77" fillId="0" borderId="106"/>
    <xf numFmtId="0" fontId="4" fillId="0" borderId="0"/>
    <xf numFmtId="0" fontId="4" fillId="0" borderId="0"/>
    <xf numFmtId="0" fontId="4" fillId="0" borderId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193" fontId="41" fillId="28" borderId="103" applyAlignment="0" applyProtection="0"/>
    <xf numFmtId="0" fontId="37" fillId="0" borderId="105" applyNumberFormat="0" applyFill="0" applyAlignment="0" applyProtection="0"/>
    <xf numFmtId="0" fontId="77" fillId="0" borderId="106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31" fillId="7" borderId="102" applyNumberFormat="0" applyAlignment="0" applyProtection="0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86" fillId="0" borderId="107"/>
    <xf numFmtId="0" fontId="4" fillId="0" borderId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85" fontId="20" fillId="0" borderId="3"/>
    <xf numFmtId="0" fontId="24" fillId="20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0" borderId="0"/>
    <xf numFmtId="0" fontId="14" fillId="27" borderId="103" applyNumberFormat="0" applyFont="0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72" fillId="0" borderId="106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0" borderId="0"/>
    <xf numFmtId="0" fontId="20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0" borderId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77" fillId="0" borderId="106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31" fillId="7" borderId="102" applyNumberFormat="0" applyAlignment="0" applyProtection="0"/>
    <xf numFmtId="185" fontId="20" fillId="0" borderId="3"/>
    <xf numFmtId="0" fontId="72" fillId="0" borderId="106"/>
    <xf numFmtId="0" fontId="72" fillId="0" borderId="106"/>
    <xf numFmtId="0" fontId="77" fillId="0" borderId="106"/>
    <xf numFmtId="0" fontId="77" fillId="23" borderId="106"/>
    <xf numFmtId="0" fontId="79" fillId="0" borderId="7">
      <alignment horizontal="left" vertical="center"/>
    </xf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9" fontId="20" fillId="0" borderId="0" applyFont="0" applyFill="0" applyBorder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4" fillId="0" borderId="0"/>
    <xf numFmtId="166" fontId="9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0" fontId="4" fillId="0" borderId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185" fontId="20" fillId="0" borderId="3"/>
    <xf numFmtId="10" fontId="39" fillId="25" borderId="3" applyNumberFormat="0" applyBorder="0" applyAlignment="0" applyProtection="0"/>
    <xf numFmtId="0" fontId="4" fillId="0" borderId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86" fillId="0" borderId="107"/>
    <xf numFmtId="0" fontId="87" fillId="0" borderId="110"/>
    <xf numFmtId="166" fontId="20" fillId="0" borderId="0" applyFont="0" applyFill="0" applyBorder="0" applyAlignment="0" applyProtection="0"/>
    <xf numFmtId="0" fontId="4" fillId="0" borderId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1" fillId="7" borderId="102" applyNumberFormat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85" fontId="20" fillId="0" borderId="3"/>
    <xf numFmtId="185" fontId="20" fillId="0" borderId="3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0" borderId="106"/>
    <xf numFmtId="0" fontId="77" fillId="23" borderId="106"/>
    <xf numFmtId="0" fontId="77" fillId="23" borderId="106"/>
    <xf numFmtId="0" fontId="79" fillId="0" borderId="7">
      <alignment horizontal="left" vertical="center"/>
    </xf>
    <xf numFmtId="0" fontId="79" fillId="0" borderId="7">
      <alignment horizontal="left" vertical="center"/>
    </xf>
    <xf numFmtId="0" fontId="31" fillId="7" borderId="102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66" fontId="20" fillId="0" borderId="0" applyFont="0" applyFill="0" applyBorder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4" fillId="0" borderId="0"/>
    <xf numFmtId="0" fontId="77" fillId="23" borderId="106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166" fontId="4" fillId="0" borderId="0" applyFont="0" applyFill="0" applyBorder="0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86" fillId="0" borderId="107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4" fillId="0" borderId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4" fillId="0" borderId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7" fillId="23" borderId="106"/>
    <xf numFmtId="0" fontId="77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166" fontId="4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77" fillId="23" borderId="106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0" fontId="4" fillId="0" borderId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4" fillId="0" borderId="0"/>
    <xf numFmtId="193" fontId="41" fillId="28" borderId="103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66" fontId="4" fillId="0" borderId="0" applyFont="0" applyFill="0" applyBorder="0" applyAlignment="0" applyProtection="0"/>
    <xf numFmtId="0" fontId="77" fillId="23" borderId="106"/>
    <xf numFmtId="0" fontId="77" fillId="23" borderId="106"/>
    <xf numFmtId="0" fontId="77" fillId="0" borderId="106"/>
    <xf numFmtId="0" fontId="77" fillId="23" borderId="106"/>
    <xf numFmtId="0" fontId="77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0" borderId="106"/>
    <xf numFmtId="0" fontId="77" fillId="23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4" fillId="0" borderId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86" fillId="0" borderId="14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14" fillId="27" borderId="103" applyNumberFormat="0" applyFont="0" applyAlignment="0" applyProtection="0"/>
    <xf numFmtId="0" fontId="86" fillId="0" borderId="107"/>
    <xf numFmtId="0" fontId="4" fillId="0" borderId="0"/>
    <xf numFmtId="0" fontId="4" fillId="0" borderId="0"/>
    <xf numFmtId="0" fontId="31" fillId="7" borderId="102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77" fillId="23" borderId="106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4" fillId="20" borderId="102" applyNumberFormat="0" applyAlignment="0" applyProtection="0"/>
    <xf numFmtId="0" fontId="20" fillId="0" borderId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0" borderId="106"/>
    <xf numFmtId="0" fontId="24" fillId="20" borderId="102" applyNumberForma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4" fillId="0" borderId="0"/>
    <xf numFmtId="0" fontId="37" fillId="0" borderId="105" applyNumberFormat="0" applyFill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1" fillId="7" borderId="102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77" fillId="23" borderId="106"/>
    <xf numFmtId="0" fontId="77" fillId="23" borderId="106"/>
    <xf numFmtId="0" fontId="72" fillId="0" borderId="106"/>
    <xf numFmtId="0" fontId="72" fillId="0" borderId="106"/>
    <xf numFmtId="0" fontId="72" fillId="0" borderId="106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72" fillId="0" borderId="106"/>
    <xf numFmtId="0" fontId="72" fillId="0" borderId="106"/>
    <xf numFmtId="0" fontId="72" fillId="0" borderId="106"/>
    <xf numFmtId="0" fontId="77" fillId="23" borderId="106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66" fontId="4" fillId="0" borderId="0" applyFont="0" applyFill="0" applyBorder="0" applyAlignment="0" applyProtection="0"/>
    <xf numFmtId="0" fontId="72" fillId="0" borderId="106"/>
    <xf numFmtId="0" fontId="72" fillId="0" borderId="106"/>
    <xf numFmtId="0" fontId="77" fillId="0" borderId="106"/>
    <xf numFmtId="0" fontId="77" fillId="23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4" fillId="0" borderId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77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0" fontId="20" fillId="27" borderId="103" applyNumberFormat="0" applyFont="0" applyAlignment="0" applyProtection="0"/>
    <xf numFmtId="0" fontId="24" fillId="20" borderId="102" applyNumberFormat="0" applyAlignment="0" applyProtection="0"/>
    <xf numFmtId="0" fontId="86" fillId="0" borderId="107"/>
    <xf numFmtId="0" fontId="31" fillId="7" borderId="102" applyNumberForma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77" fillId="0" borderId="106"/>
    <xf numFmtId="193" fontId="41" fillId="28" borderId="103" applyAlignment="0" applyProtection="0"/>
    <xf numFmtId="0" fontId="77" fillId="23" borderId="106"/>
    <xf numFmtId="0" fontId="14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31" fillId="7" borderId="102" applyNumberFormat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14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7" fillId="0" borderId="105" applyNumberFormat="0" applyFill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72" fillId="0" borderId="106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24" fillId="20" borderId="102" applyNumberForma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20" fillId="27" borderId="103" applyNumberFormat="0" applyFont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0" fontId="24" fillId="20" borderId="102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0" fontId="20" fillId="27" borderId="103" applyNumberFormat="0" applyFont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193" fontId="41" fillId="28" borderId="103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7" fillId="0" borderId="105" applyNumberFormat="0" applyFill="0" applyAlignment="0" applyProtection="0"/>
    <xf numFmtId="0" fontId="35" fillId="20" borderId="104" applyNumberFormat="0" applyAlignment="0" applyProtection="0"/>
    <xf numFmtId="0" fontId="20" fillId="27" borderId="103" applyNumberFormat="0" applyFont="0" applyAlignment="0" applyProtection="0"/>
    <xf numFmtId="0" fontId="86" fillId="0" borderId="107"/>
    <xf numFmtId="0" fontId="31" fillId="7" borderId="102" applyNumberFormat="0" applyAlignment="0" applyProtection="0"/>
    <xf numFmtId="0" fontId="24" fillId="20" borderId="102" applyNumberFormat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14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20" fillId="27" borderId="103" applyNumberFormat="0" applyFont="0" applyAlignment="0" applyProtection="0"/>
    <xf numFmtId="193" fontId="41" fillId="28" borderId="103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35" fillId="20" borderId="104" applyNumberFormat="0" applyAlignment="0" applyProtection="0"/>
    <xf numFmtId="0" fontId="86" fillId="0" borderId="107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37" fillId="0" borderId="105" applyNumberFormat="0" applyFill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7" borderId="102" applyNumberFormat="0" applyAlignment="0" applyProtection="0"/>
    <xf numFmtId="0" fontId="31" fillId="7" borderId="102" applyNumberFormat="0" applyAlignment="0" applyProtection="0"/>
    <xf numFmtId="166" fontId="20" fillId="0" borderId="0" applyFont="0" applyFill="0" applyBorder="0" applyAlignment="0" applyProtection="0"/>
    <xf numFmtId="0" fontId="20" fillId="0" borderId="0"/>
    <xf numFmtId="166" fontId="20" fillId="0" borderId="0" applyFont="0" applyFill="0" applyBorder="0" applyAlignment="0" applyProtection="0"/>
  </cellStyleXfs>
  <cellXfs count="712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8" fontId="43" fillId="0" borderId="0" xfId="714" applyFont="1" applyFill="1" applyAlignment="1">
      <alignment horizontal="center" wrapText="1"/>
    </xf>
    <xf numFmtId="168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8" fontId="43" fillId="0" borderId="21" xfId="715" applyNumberFormat="1" applyFont="1" applyFill="1" applyBorder="1" applyAlignment="1">
      <alignment horizontal="center" vertical="center" wrapText="1"/>
    </xf>
    <xf numFmtId="168" fontId="43" fillId="0" borderId="21" xfId="714" applyFont="1" applyFill="1" applyBorder="1" applyAlignment="1">
      <alignment horizontal="center" vertical="center" wrapText="1"/>
    </xf>
    <xf numFmtId="168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6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8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8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8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8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8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8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8" fontId="111" fillId="29" borderId="3" xfId="1538" applyNumberFormat="1" applyFill="1" applyBorder="1" applyAlignment="1">
      <alignment horizontal="right"/>
    </xf>
    <xf numFmtId="166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6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8" fontId="140" fillId="40" borderId="87" xfId="2672" applyNumberFormat="1" applyFont="1" applyFill="1" applyBorder="1" applyAlignment="1" applyProtection="1">
      <alignment horizontal="right" vertical="center"/>
      <protection locked="0"/>
    </xf>
    <xf numFmtId="168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5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6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8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113" fillId="0" borderId="20" xfId="1652" applyFont="1" applyBorder="1" applyAlignment="1">
      <alignment horizontal="center" vertical="center"/>
    </xf>
    <xf numFmtId="0" fontId="43" fillId="0" borderId="21" xfId="1450" applyFont="1" applyBorder="1" applyAlignment="1">
      <alignment vertical="center" wrapText="1"/>
    </xf>
    <xf numFmtId="0" fontId="113" fillId="0" borderId="21" xfId="1652" applyFont="1" applyBorder="1" applyAlignment="1">
      <alignment vertical="center"/>
    </xf>
    <xf numFmtId="0" fontId="9" fillId="0" borderId="21" xfId="1614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42" fillId="33" borderId="20" xfId="1615" applyFont="1" applyFill="1" applyBorder="1" applyAlignment="1">
      <alignment horizontal="center" vertical="center"/>
    </xf>
    <xf numFmtId="0" fontId="42" fillId="33" borderId="21" xfId="1615" applyFont="1" applyFill="1" applyBorder="1" applyAlignment="1">
      <alignment horizontal="left" vertical="center" wrapText="1"/>
    </xf>
    <xf numFmtId="0" fontId="43" fillId="33" borderId="20" xfId="1615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42" xfId="1652" applyFont="1" applyBorder="1" applyAlignment="1">
      <alignment vertical="center" wrapText="1"/>
    </xf>
    <xf numFmtId="0" fontId="42" fillId="0" borderId="20" xfId="1615" applyFont="1" applyBorder="1" applyAlignment="1">
      <alignment horizontal="center" vertical="center"/>
    </xf>
    <xf numFmtId="0" fontId="42" fillId="0" borderId="21" xfId="1615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14" fillId="33" borderId="0" xfId="0" quotePrefix="1" applyFont="1" applyFill="1" applyAlignment="1">
      <alignment horizontal="center"/>
    </xf>
    <xf numFmtId="0" fontId="42" fillId="33" borderId="42" xfId="1615" applyFont="1" applyFill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8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6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6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6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7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207" fontId="119" fillId="0" borderId="73" xfId="1450" applyNumberFormat="1" applyFont="1" applyBorder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1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1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146</xdr:row>
      <xdr:rowOff>81642</xdr:rowOff>
    </xdr:from>
    <xdr:to>
      <xdr:col>12</xdr:col>
      <xdr:colOff>41108</xdr:colOff>
      <xdr:row>149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137591</xdr:colOff>
      <xdr:row>2</xdr:row>
      <xdr:rowOff>21981</xdr:rowOff>
    </xdr:from>
    <xdr:to>
      <xdr:col>21</xdr:col>
      <xdr:colOff>230426</xdr:colOff>
      <xdr:row>5</xdr:row>
      <xdr:rowOff>35105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3B6C37A-5745-49FB-A30A-9454CBF17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22322" y="344366"/>
          <a:ext cx="854835" cy="474720"/>
        </a:xfrm>
        <a:prstGeom prst="rect">
          <a:avLst/>
        </a:prstGeom>
      </xdr:spPr>
    </xdr:pic>
    <xdr:clientData/>
  </xdr:twoCellAnchor>
  <xdr:twoCellAnchor>
    <xdr:from>
      <xdr:col>26</xdr:col>
      <xdr:colOff>83999</xdr:colOff>
      <xdr:row>5</xdr:row>
      <xdr:rowOff>48897</xdr:rowOff>
    </xdr:from>
    <xdr:to>
      <xdr:col>29</xdr:col>
      <xdr:colOff>282747</xdr:colOff>
      <xdr:row>17</xdr:row>
      <xdr:rowOff>814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7D97879E-9BFB-4FD1-B7E8-4578D14A88F4}"/>
            </a:ext>
          </a:extLst>
        </xdr:cNvPr>
        <xdr:cNvGrpSpPr/>
      </xdr:nvGrpSpPr>
      <xdr:grpSpPr>
        <a:xfrm>
          <a:off x="9584151" y="827462"/>
          <a:ext cx="1399726" cy="1757526"/>
          <a:chOff x="9713886" y="808452"/>
          <a:chExt cx="1342558" cy="1766630"/>
        </a:xfrm>
      </xdr:grpSpPr>
      <xdr:grpSp>
        <xdr:nvGrpSpPr>
          <xdr:cNvPr id="136" name="Group 13">
            <a:extLst>
              <a:ext uri="{FF2B5EF4-FFF2-40B4-BE49-F238E27FC236}">
                <a16:creationId xmlns:a16="http://schemas.microsoft.com/office/drawing/2014/main" id="{72D3DDCE-EBCB-4A26-B249-ADAB4F6DC73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8F4B2C75-B0C5-40C2-8671-CCFE2BBA237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AC3340F3-F883-4255-A044-2CD053EA31C8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77925B1-1C81-4A47-9B3A-6C7294FFA49D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3F499134-9FEA-4D11-923B-81B3F015339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8" name="Group 14">
            <a:extLst>
              <a:ext uri="{FF2B5EF4-FFF2-40B4-BE49-F238E27FC236}">
                <a16:creationId xmlns:a16="http://schemas.microsoft.com/office/drawing/2014/main" id="{21EF1805-4BED-450A-A41F-4AD19BE3CD8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929F7C08-A971-4660-9BFE-2D4FCBCAA84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BA5710ED-2633-4F63-AEBC-87C0A4A6BD99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0486448B-AA73-4D92-AEE9-8BE52ED54E08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" name="Oval 138">
            <a:extLst>
              <a:ext uri="{FF2B5EF4-FFF2-40B4-BE49-F238E27FC236}">
                <a16:creationId xmlns:a16="http://schemas.microsoft.com/office/drawing/2014/main" id="{033FE12B-F35C-43F9-A653-CA346BB0C38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E2F1C36-018B-43B4-8928-A9CFA2AF2BFE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D258E11D-79EC-401C-AFB2-7C2E2473404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8285200D-70E6-44D2-871B-109FEE7A60C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037BA3CF-C828-4BA1-BB7C-228B0C623EC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7AF239C4-4D41-44F5-86D5-CCA2928FA8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69FB6C75-AC99-46C0-9E1B-AEA66DA51FD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8F8C0565-16B7-47AC-BAF1-CFF7ADDE7E5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8292D3F-5C89-42CB-B07B-48E88AA2FBE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708B50B2-AA8F-494C-B520-5048C4A8F72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C21D81BD-C929-47AF-B754-65F4921B2DE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1A174418-B7A7-4F13-A12B-2C80C374D2B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33281471-FD71-4053-BC02-457AF22FE8E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50">
            <a:extLst>
              <a:ext uri="{FF2B5EF4-FFF2-40B4-BE49-F238E27FC236}">
                <a16:creationId xmlns:a16="http://schemas.microsoft.com/office/drawing/2014/main" id="{85C7E1C9-8430-4CF7-A1E8-BEE841C1636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938CF3ED-EE32-4946-91C2-06CCA2D7565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52">
            <a:extLst>
              <a:ext uri="{FF2B5EF4-FFF2-40B4-BE49-F238E27FC236}">
                <a16:creationId xmlns:a16="http://schemas.microsoft.com/office/drawing/2014/main" id="{BBFFCED7-4267-4319-9953-95B5D3B932F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D8ADFC0-3CC2-4E45-9E4F-63E5CB56CD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183C167D-19AB-46B5-BF8A-E603957D296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AA8D893-4AF2-4AD2-8BCC-41A368F83A5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4BD31433-43A3-4403-A10A-799BF6B6BB6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7DCFCF38-B412-4109-AD04-6EFC970893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3FC5428C-D360-42D5-AD25-5462B363010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59375F3-E8E2-4D6B-A9D9-88AA9181BA5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1" name="Isosceles Triangle 230">
            <a:extLst>
              <a:ext uri="{FF2B5EF4-FFF2-40B4-BE49-F238E27FC236}">
                <a16:creationId xmlns:a16="http://schemas.microsoft.com/office/drawing/2014/main" id="{06CADFE3-13E4-4CEA-BF55-5C2602E8326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2" name="Isosceles Triangle 231">
            <a:extLst>
              <a:ext uri="{FF2B5EF4-FFF2-40B4-BE49-F238E27FC236}">
                <a16:creationId xmlns:a16="http://schemas.microsoft.com/office/drawing/2014/main" id="{CE5F1A67-0A8C-4E5E-9907-F920A8B9D313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3" name="Group 73">
            <a:extLst>
              <a:ext uri="{FF2B5EF4-FFF2-40B4-BE49-F238E27FC236}">
                <a16:creationId xmlns:a16="http://schemas.microsoft.com/office/drawing/2014/main" id="{6E1C2540-2671-467A-B687-6F0D6C015C59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25791F3-4869-4778-9AC9-799AF29C5F5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F53AA6CD-9E23-4954-B111-366CE1F44123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4" name="Group 74">
            <a:extLst>
              <a:ext uri="{FF2B5EF4-FFF2-40B4-BE49-F238E27FC236}">
                <a16:creationId xmlns:a16="http://schemas.microsoft.com/office/drawing/2014/main" id="{1BC2CB5F-3507-4DF0-81B3-E602BE58810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2" name="TextBox 311">
              <a:extLst>
                <a:ext uri="{FF2B5EF4-FFF2-40B4-BE49-F238E27FC236}">
                  <a16:creationId xmlns:a16="http://schemas.microsoft.com/office/drawing/2014/main" id="{32FD9621-9C36-4B7D-B10F-811FC845C2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3" name="Straight Connector 312">
              <a:extLst>
                <a:ext uri="{FF2B5EF4-FFF2-40B4-BE49-F238E27FC236}">
                  <a16:creationId xmlns:a16="http://schemas.microsoft.com/office/drawing/2014/main" id="{3C220EA0-8413-4E26-AFB3-EDFCC669013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5" name="Group 89">
            <a:extLst>
              <a:ext uri="{FF2B5EF4-FFF2-40B4-BE49-F238E27FC236}">
                <a16:creationId xmlns:a16="http://schemas.microsoft.com/office/drawing/2014/main" id="{A2D38E09-9B30-47B3-95CC-67CA4712B31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58" name="Straight Connector 257">
              <a:extLst>
                <a:ext uri="{FF2B5EF4-FFF2-40B4-BE49-F238E27FC236}">
                  <a16:creationId xmlns:a16="http://schemas.microsoft.com/office/drawing/2014/main" id="{56A2DE97-DD4E-4967-AC8A-EEEC1884543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Connector 79">
              <a:extLst>
                <a:ext uri="{FF2B5EF4-FFF2-40B4-BE49-F238E27FC236}">
                  <a16:creationId xmlns:a16="http://schemas.microsoft.com/office/drawing/2014/main" id="{F8A0CDA8-1664-41F1-A3BB-81516E8745B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Connector 80">
              <a:extLst>
                <a:ext uri="{FF2B5EF4-FFF2-40B4-BE49-F238E27FC236}">
                  <a16:creationId xmlns:a16="http://schemas.microsoft.com/office/drawing/2014/main" id="{7F9CCDB1-BEB2-48B9-8F68-14C78CE4114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Connector 88">
              <a:extLst>
                <a:ext uri="{FF2B5EF4-FFF2-40B4-BE49-F238E27FC236}">
                  <a16:creationId xmlns:a16="http://schemas.microsoft.com/office/drawing/2014/main" id="{11176C90-FB83-4202-98A1-A1C6877B8BE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6" name="Group 90">
            <a:extLst>
              <a:ext uri="{FF2B5EF4-FFF2-40B4-BE49-F238E27FC236}">
                <a16:creationId xmlns:a16="http://schemas.microsoft.com/office/drawing/2014/main" id="{1B40DC24-425D-4BF8-909A-B956601273B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51382165-E20F-48DC-BA66-C92472073DB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6590A37C-3BC2-4729-8632-B4123587BB0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FED4E3CD-5346-4BF0-9164-8B8D3E4B1A0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BC0E254E-EE93-42A5-A0FB-A25E57E2A4D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6879DE6-DD1A-4166-B145-D7CA116F46D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EC71FB7-F031-400E-9F85-D62BEB819DD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564905D3-A445-4058-8118-0DA14997CD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Arrow Connector 239">
            <a:extLst>
              <a:ext uri="{FF2B5EF4-FFF2-40B4-BE49-F238E27FC236}">
                <a16:creationId xmlns:a16="http://schemas.microsoft.com/office/drawing/2014/main" id="{6A94B04F-7440-4458-9FFA-7DC72B12290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1" name="Group 155">
            <a:extLst>
              <a:ext uri="{FF2B5EF4-FFF2-40B4-BE49-F238E27FC236}">
                <a16:creationId xmlns:a16="http://schemas.microsoft.com/office/drawing/2014/main" id="{B64C8D60-F05C-4418-8A32-91F9FB670AE1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46" name="Isosceles Triangle 245">
              <a:extLst>
                <a:ext uri="{FF2B5EF4-FFF2-40B4-BE49-F238E27FC236}">
                  <a16:creationId xmlns:a16="http://schemas.microsoft.com/office/drawing/2014/main" id="{7B5AB34D-2F96-4BDE-97C9-23AD391E1BFC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7" name="Isosceles Triangle 246">
              <a:extLst>
                <a:ext uri="{FF2B5EF4-FFF2-40B4-BE49-F238E27FC236}">
                  <a16:creationId xmlns:a16="http://schemas.microsoft.com/office/drawing/2014/main" id="{00774D86-EDAC-4023-8D5F-D0CA686D1FA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8" name="Isosceles Triangle 247">
              <a:extLst>
                <a:ext uri="{FF2B5EF4-FFF2-40B4-BE49-F238E27FC236}">
                  <a16:creationId xmlns:a16="http://schemas.microsoft.com/office/drawing/2014/main" id="{813EB546-8DF2-441F-B3AF-8493B1F6A72D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42" name="Group 134">
            <a:extLst>
              <a:ext uri="{FF2B5EF4-FFF2-40B4-BE49-F238E27FC236}">
                <a16:creationId xmlns:a16="http://schemas.microsoft.com/office/drawing/2014/main" id="{5E2553EF-5C53-4C98-BADB-F5A74987856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43" name="Isosceles Triangle 242">
              <a:extLst>
                <a:ext uri="{FF2B5EF4-FFF2-40B4-BE49-F238E27FC236}">
                  <a16:creationId xmlns:a16="http://schemas.microsoft.com/office/drawing/2014/main" id="{89BA3978-32C6-47C5-8FAD-057CD467D1C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4" name="Isosceles Triangle 243">
              <a:extLst>
                <a:ext uri="{FF2B5EF4-FFF2-40B4-BE49-F238E27FC236}">
                  <a16:creationId xmlns:a16="http://schemas.microsoft.com/office/drawing/2014/main" id="{5E39F4ED-8C70-4511-9B22-2D81BFB48A4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5" name="Isosceles Triangle 244">
              <a:extLst>
                <a:ext uri="{FF2B5EF4-FFF2-40B4-BE49-F238E27FC236}">
                  <a16:creationId xmlns:a16="http://schemas.microsoft.com/office/drawing/2014/main" id="{0FD7247D-9774-4E51-9FD9-32F730020B5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65942</xdr:colOff>
      <xdr:row>20</xdr:row>
      <xdr:rowOff>124558</xdr:rowOff>
    </xdr:from>
    <xdr:to>
      <xdr:col>10</xdr:col>
      <xdr:colOff>73269</xdr:colOff>
      <xdr:row>45</xdr:row>
      <xdr:rowOff>80596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5E2D4732-4DDE-4B42-B3E0-DC1FC738BFDC}"/>
            </a:ext>
          </a:extLst>
        </xdr:cNvPr>
        <xdr:cNvCxnSpPr/>
      </xdr:nvCxnSpPr>
      <xdr:spPr>
        <a:xfrm flipV="1">
          <a:off x="3421673" y="3223846"/>
          <a:ext cx="7327" cy="3810000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280685</xdr:colOff>
      <xdr:row>19</xdr:row>
      <xdr:rowOff>6254</xdr:rowOff>
    </xdr:from>
    <xdr:to>
      <xdr:col>10</xdr:col>
      <xdr:colOff>213127</xdr:colOff>
      <xdr:row>31</xdr:row>
      <xdr:rowOff>36534</xdr:rowOff>
    </xdr:to>
    <xdr:sp macro="" textlink="">
      <xdr:nvSpPr>
        <xdr:cNvPr id="327" name="Rectangle 326">
          <a:extLst>
            <a:ext uri="{FF2B5EF4-FFF2-40B4-BE49-F238E27FC236}">
              <a16:creationId xmlns:a16="http://schemas.microsoft.com/office/drawing/2014/main" id="{330251B7-AB52-4588-ABA8-117966975C46}"/>
            </a:ext>
          </a:extLst>
        </xdr:cNvPr>
        <xdr:cNvSpPr/>
      </xdr:nvSpPr>
      <xdr:spPr>
        <a:xfrm rot="16200000">
          <a:off x="2477468" y="3729625"/>
          <a:ext cx="1869338" cy="313442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 u="sng">
              <a:solidFill>
                <a:schemeClr val="tx1"/>
              </a:solidFill>
            </a:rPr>
            <a:t>JL. DEMPET</a:t>
          </a:r>
          <a:r>
            <a:rPr lang="en-US" sz="700" b="1" u="sng" baseline="0">
              <a:solidFill>
                <a:schemeClr val="tx1"/>
              </a:solidFill>
            </a:rPr>
            <a:t> - </a:t>
          </a:r>
          <a:r>
            <a:rPr lang="en-US" sz="700" b="1" u="sng">
              <a:solidFill>
                <a:schemeClr val="tx1"/>
              </a:solidFill>
            </a:rPr>
            <a:t>TANJUNGANYAR </a:t>
          </a:r>
          <a:endParaRPr lang="en-US" sz="700" b="1" u="sng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213195</xdr:colOff>
      <xdr:row>25</xdr:row>
      <xdr:rowOff>136663</xdr:rowOff>
    </xdr:from>
    <xdr:to>
      <xdr:col>10</xdr:col>
      <xdr:colOff>331966</xdr:colOff>
      <xdr:row>26</xdr:row>
      <xdr:rowOff>107456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521F1B6F-6260-4C22-BE0A-4829EA8516D7}"/>
            </a:ext>
          </a:extLst>
        </xdr:cNvPr>
        <xdr:cNvGrpSpPr/>
      </xdr:nvGrpSpPr>
      <xdr:grpSpPr>
        <a:xfrm>
          <a:off x="3575934" y="3913533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751B80B6-6B9A-4605-9D6F-76E26CC62D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E125A799-E3C2-40F4-9D2F-9BEA0B8C3BB2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EFA22A9E-A23B-4319-B2EB-57A99ED1F7A1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241397</xdr:colOff>
      <xdr:row>38</xdr:row>
      <xdr:rowOff>82275</xdr:rowOff>
    </xdr:from>
    <xdr:to>
      <xdr:col>10</xdr:col>
      <xdr:colOff>360168</xdr:colOff>
      <xdr:row>39</xdr:row>
      <xdr:rowOff>53069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8508D345-BB36-4E29-9457-92893301F9AA}"/>
            </a:ext>
          </a:extLst>
        </xdr:cNvPr>
        <xdr:cNvGrpSpPr/>
      </xdr:nvGrpSpPr>
      <xdr:grpSpPr>
        <a:xfrm>
          <a:off x="3604136" y="5822123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EB684BB7-F304-4A8F-98EF-DCB09F299E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E5914C4E-3796-4DE5-B478-E8D896D76F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5938E77F-9A0C-4639-99E4-B45265BA8732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271096</xdr:colOff>
      <xdr:row>23</xdr:row>
      <xdr:rowOff>65942</xdr:rowOff>
    </xdr:from>
    <xdr:to>
      <xdr:col>10</xdr:col>
      <xdr:colOff>300783</xdr:colOff>
      <xdr:row>38</xdr:row>
      <xdr:rowOff>82275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5411B16E-3E71-42C8-A706-387F070710F1}"/>
            </a:ext>
          </a:extLst>
        </xdr:cNvPr>
        <xdr:cNvCxnSpPr>
          <a:endCxn id="348" idx="0"/>
        </xdr:cNvCxnSpPr>
      </xdr:nvCxnSpPr>
      <xdr:spPr>
        <a:xfrm>
          <a:off x="3633835" y="3544638"/>
          <a:ext cx="29687" cy="227748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300783</xdr:colOff>
      <xdr:row>39</xdr:row>
      <xdr:rowOff>53069</xdr:rowOff>
    </xdr:from>
    <xdr:to>
      <xdr:col>10</xdr:col>
      <xdr:colOff>306457</xdr:colOff>
      <xdr:row>42</xdr:row>
      <xdr:rowOff>33130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257450D9-9B65-405E-B5CA-1C96B6904CCB}"/>
            </a:ext>
          </a:extLst>
        </xdr:cNvPr>
        <xdr:cNvCxnSpPr>
          <a:endCxn id="348" idx="4"/>
        </xdr:cNvCxnSpPr>
      </xdr:nvCxnSpPr>
      <xdr:spPr>
        <a:xfrm flipH="1" flipV="1">
          <a:off x="3663522" y="5942004"/>
          <a:ext cx="5674" cy="42732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5689</xdr:colOff>
      <xdr:row>30</xdr:row>
      <xdr:rowOff>35717</xdr:rowOff>
    </xdr:from>
    <xdr:to>
      <xdr:col>9</xdr:col>
      <xdr:colOff>136922</xdr:colOff>
      <xdr:row>31</xdr:row>
      <xdr:rowOff>35261</xdr:rowOff>
    </xdr:to>
    <xdr:sp macro="" textlink="">
      <xdr:nvSpPr>
        <xdr:cNvPr id="365" name="Isosceles Triangle 364">
          <a:extLst>
            <a:ext uri="{FF2B5EF4-FFF2-40B4-BE49-F238E27FC236}">
              <a16:creationId xmlns:a16="http://schemas.microsoft.com/office/drawing/2014/main" id="{827ACF9A-E4B9-480B-B946-8D6F36160234}"/>
            </a:ext>
          </a:extLst>
        </xdr:cNvPr>
        <xdr:cNvSpPr/>
      </xdr:nvSpPr>
      <xdr:spPr>
        <a:xfrm>
          <a:off x="2976298" y="4685108"/>
          <a:ext cx="131233" cy="1543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2680</xdr:colOff>
      <xdr:row>28</xdr:row>
      <xdr:rowOff>138256</xdr:rowOff>
    </xdr:from>
    <xdr:to>
      <xdr:col>8</xdr:col>
      <xdr:colOff>168202</xdr:colOff>
      <xdr:row>33</xdr:row>
      <xdr:rowOff>118575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103C89E4-6022-41B7-ABA2-72E454438D75}"/>
            </a:ext>
          </a:extLst>
        </xdr:cNvPr>
        <xdr:cNvSpPr txBox="1"/>
      </xdr:nvSpPr>
      <xdr:spPr>
        <a:xfrm>
          <a:off x="1460419" y="4362386"/>
          <a:ext cx="1308522" cy="71747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UD EL RUTAB</a:t>
          </a:r>
        </a:p>
      </xdr:txBody>
    </xdr:sp>
    <xdr:clientData/>
  </xdr:twoCellAnchor>
  <xdr:twoCellAnchor>
    <xdr:from>
      <xdr:col>8</xdr:col>
      <xdr:colOff>177553</xdr:colOff>
      <xdr:row>32</xdr:row>
      <xdr:rowOff>79193</xdr:rowOff>
    </xdr:from>
    <xdr:to>
      <xdr:col>9</xdr:col>
      <xdr:colOff>637</xdr:colOff>
      <xdr:row>33</xdr:row>
      <xdr:rowOff>109903</xdr:rowOff>
    </xdr:to>
    <xdr:sp macro="" textlink="">
      <xdr:nvSpPr>
        <xdr:cNvPr id="382" name="Rectangle 381">
          <a:extLst>
            <a:ext uri="{FF2B5EF4-FFF2-40B4-BE49-F238E27FC236}">
              <a16:creationId xmlns:a16="http://schemas.microsoft.com/office/drawing/2014/main" id="{4629C212-61A5-460D-9E32-F7D6EED3D654}"/>
            </a:ext>
          </a:extLst>
        </xdr:cNvPr>
        <xdr:cNvSpPr/>
      </xdr:nvSpPr>
      <xdr:spPr>
        <a:xfrm>
          <a:off x="2778292" y="4891389"/>
          <a:ext cx="204084" cy="179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218852</xdr:colOff>
      <xdr:row>31</xdr:row>
      <xdr:rowOff>83145</xdr:rowOff>
    </xdr:from>
    <xdr:to>
      <xdr:col>10</xdr:col>
      <xdr:colOff>337623</xdr:colOff>
      <xdr:row>32</xdr:row>
      <xdr:rowOff>53938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B285FDD-54A8-46CB-A2F8-DA74B2397518}"/>
            </a:ext>
          </a:extLst>
        </xdr:cNvPr>
        <xdr:cNvGrpSpPr/>
      </xdr:nvGrpSpPr>
      <xdr:grpSpPr>
        <a:xfrm>
          <a:off x="3581591" y="4746254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D4409B6-E1B0-113E-DB97-CBF9509DE7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F26CE951-EAF6-A382-5E11-A08FCFE51679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3D0D3AC-4527-59BA-816F-616F818EC2AB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127054</xdr:colOff>
      <xdr:row>31</xdr:row>
      <xdr:rowOff>126201</xdr:rowOff>
    </xdr:from>
    <xdr:to>
      <xdr:col>10</xdr:col>
      <xdr:colOff>218852</xdr:colOff>
      <xdr:row>31</xdr:row>
      <xdr:rowOff>143085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5BB7003-140D-4A2C-B061-B8D4665309CD}"/>
            </a:ext>
          </a:extLst>
        </xdr:cNvPr>
        <xdr:cNvCxnSpPr>
          <a:stCxn id="33" idx="6"/>
          <a:endCxn id="3" idx="2"/>
        </xdr:cNvCxnSpPr>
      </xdr:nvCxnSpPr>
      <xdr:spPr>
        <a:xfrm>
          <a:off x="3108793" y="4789310"/>
          <a:ext cx="472798" cy="1688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263343</xdr:colOff>
      <xdr:row>31</xdr:row>
      <xdr:rowOff>76892</xdr:rowOff>
    </xdr:from>
    <xdr:to>
      <xdr:col>9</xdr:col>
      <xdr:colOff>1</xdr:colOff>
      <xdr:row>32</xdr:row>
      <xdr:rowOff>23812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E30C62F-4864-4783-9D9F-535C02611223}"/>
            </a:ext>
          </a:extLst>
        </xdr:cNvPr>
        <xdr:cNvSpPr/>
      </xdr:nvSpPr>
      <xdr:spPr>
        <a:xfrm>
          <a:off x="2852952" y="4881064"/>
          <a:ext cx="117658" cy="101701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205155</xdr:colOff>
      <xdr:row>26</xdr:row>
      <xdr:rowOff>19231</xdr:rowOff>
    </xdr:from>
    <xdr:to>
      <xdr:col>9</xdr:col>
      <xdr:colOff>327422</xdr:colOff>
      <xdr:row>29</xdr:row>
      <xdr:rowOff>136921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3912F2D-852F-4AA3-ABCF-467390420EFB}"/>
            </a:ext>
          </a:extLst>
        </xdr:cNvPr>
        <xdr:cNvSpPr txBox="1"/>
      </xdr:nvSpPr>
      <xdr:spPr>
        <a:xfrm>
          <a:off x="2794764" y="4061403"/>
          <a:ext cx="503267" cy="58203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9</xdr:col>
      <xdr:colOff>8283</xdr:colOff>
      <xdr:row>31</xdr:row>
      <xdr:rowOff>66261</xdr:rowOff>
    </xdr:from>
    <xdr:to>
      <xdr:col>9</xdr:col>
      <xdr:colOff>127054</xdr:colOff>
      <xdr:row>32</xdr:row>
      <xdr:rowOff>37054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D3C33AE8-3B30-4E9E-8E69-C1114AA0667B}"/>
            </a:ext>
          </a:extLst>
        </xdr:cNvPr>
        <xdr:cNvGrpSpPr/>
      </xdr:nvGrpSpPr>
      <xdr:grpSpPr>
        <a:xfrm>
          <a:off x="2990022" y="4729370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D9C087D7-CCDA-0AD0-E0CE-AC94CCF58E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05060A65-7EA0-B27D-B85F-F29AD6487B50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57AAD5D-FACD-E2D4-5BBD-A9DA890144F6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17859</xdr:colOff>
      <xdr:row>30</xdr:row>
      <xdr:rowOff>95249</xdr:rowOff>
    </xdr:from>
    <xdr:to>
      <xdr:col>12</xdr:col>
      <xdr:colOff>142875</xdr:colOff>
      <xdr:row>33</xdr:row>
      <xdr:rowOff>80595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41A3C97-605C-40B6-A09E-052E700B17ED}"/>
            </a:ext>
          </a:extLst>
        </xdr:cNvPr>
        <xdr:cNvSpPr txBox="1"/>
      </xdr:nvSpPr>
      <xdr:spPr>
        <a:xfrm>
          <a:off x="3754590" y="4725864"/>
          <a:ext cx="506016" cy="44694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CM5-5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34638</xdr:colOff>
      <xdr:row>9</xdr:row>
      <xdr:rowOff>69273</xdr:rowOff>
    </xdr:from>
    <xdr:to>
      <xdr:col>18</xdr:col>
      <xdr:colOff>450273</xdr:colOff>
      <xdr:row>50</xdr:row>
      <xdr:rowOff>142109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18221F-576E-C11D-29D4-BF4C58202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1365" y="1627909"/>
          <a:ext cx="8295408" cy="64632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9" t="s">
        <v>1134</v>
      </c>
      <c r="C4" s="519"/>
      <c r="D4" s="519"/>
      <c r="E4" s="519"/>
      <c r="F4" s="519"/>
      <c r="G4" s="519"/>
      <c r="H4" s="51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0" t="s">
        <v>0</v>
      </c>
      <c r="C7" s="520" t="s">
        <v>1</v>
      </c>
      <c r="D7" s="521" t="s">
        <v>42</v>
      </c>
      <c r="E7" s="521" t="s">
        <v>43</v>
      </c>
      <c r="F7" s="521" t="s">
        <v>1135</v>
      </c>
      <c r="G7" s="522" t="s">
        <v>41</v>
      </c>
      <c r="H7" s="518" t="s">
        <v>1042</v>
      </c>
      <c r="I7" s="518" t="s">
        <v>1137</v>
      </c>
      <c r="J7" s="518" t="s">
        <v>1026</v>
      </c>
      <c r="K7" s="512" t="s">
        <v>1024</v>
      </c>
      <c r="L7" s="513"/>
    </row>
    <row r="8" spans="1:12" ht="15" customHeight="1">
      <c r="B8" s="520"/>
      <c r="C8" s="520"/>
      <c r="D8" s="521"/>
      <c r="E8" s="521"/>
      <c r="F8" s="521"/>
      <c r="G8" s="522"/>
      <c r="H8" s="518"/>
      <c r="I8" s="518"/>
      <c r="J8" s="518"/>
      <c r="K8" s="514"/>
      <c r="L8" s="515"/>
    </row>
    <row r="9" spans="1:12" ht="15" customHeight="1">
      <c r="B9" s="520"/>
      <c r="C9" s="520"/>
      <c r="D9" s="521"/>
      <c r="E9" s="521"/>
      <c r="F9" s="521"/>
      <c r="G9" s="522"/>
      <c r="H9" s="518"/>
      <c r="I9" s="518"/>
      <c r="J9" s="518"/>
      <c r="K9" s="516"/>
      <c r="L9" s="51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5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89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SUMIFS(RAB!$F$14:$F$130,RAB!$C$14:$C$130,C714)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SUMIFS(RAB!$F$14:$F$130,RAB!$C$14:$C$130,C715)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SUMIFS(RAB!$F$14:$F$130,RAB!$C$14:$C$130,C716)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SUMIFS(RAB!$F$14:$F$130,RAB!$C$14:$C$130,C717)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SUMIFS(RAB!$F$14:$F$130,RAB!$C$14:$C$130,C718)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SUMIFS(RAB!$F$14:$F$130,RAB!$C$14:$C$130,C719)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SUMIFS(RAB!$F$14:$F$130,RAB!$C$14:$C$130,C720)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SUMIFS(RAB!$F$14:$F$130,RAB!$C$14:$C$130,C721)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SUMIFS(RAB!$F$14:$F$130,RAB!$C$14:$C$130,C722)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SUMIFS(RAB!$F$14:$F$130,RAB!$C$14:$C$130,C723)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SUMIFS(RAB!$F$14:$F$130,RAB!$C$14:$C$130,C724)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SUMIFS(RAB!$F$14:$F$130,RAB!$C$14:$C$130,C725)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SUMIFS(RAB!$F$14:$F$130,RAB!$C$14:$C$130,C726)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SUMIFS(RAB!$F$14:$F$130,RAB!$C$14:$C$130,C727)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SUMIFS(RAB!$F$14:$F$130,RAB!$C$14:$C$130,C728)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SUMIFS(RAB!$F$14:$F$130,RAB!$C$14:$C$130,C729)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SUMIFS(RAB!$F$14:$F$130,RAB!$C$14:$C$130,C730)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SUMIFS(RAB!$F$14:$F$130,RAB!$C$14:$C$130,C731)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SUMIFS(RAB!$F$14:$F$130,RAB!$C$14:$C$130,C732)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SUMIFS(RAB!$F$14:$F$130,RAB!$C$14:$C$130,C733)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SUMIFS(RAB!$F$14:$F$130,RAB!$C$14:$C$130,C734)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SUMIFS(RAB!$F$14:$F$130,RAB!$C$14:$C$130,C735)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SUMIFS(RAB!$F$14:$F$130,RAB!$C$14:$C$130,C736)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SUMIFS(RAB!$F$14:$F$130,RAB!$C$14:$C$130,C737)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SUMIFS(RAB!$F$14:$F$130,RAB!$C$14:$C$130,C738)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SUMIFS(RAB!$F$14:$F$130,RAB!$C$14:$C$130,C739)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SUMIFS(RAB!$F$14:$F$130,RAB!$C$14:$C$130,C740)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SUMIFS(RAB!$F$14:$F$130,RAB!$C$14:$C$130,C741)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SUMIFS(RAB!$F$14:$F$130,RAB!$C$14:$C$130,C742)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SUMIFS(RAB!$F$14:$F$130,RAB!$C$14:$C$130,C743)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SUMIFS(RAB!$F$14:$F$130,RAB!$C$14:$C$130,C744)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SUMIFS(RAB!$F$14:$F$130,RAB!$C$14:$C$130,C745)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SUMIFS(RAB!$F$14:$F$130,RAB!$C$14:$C$130,C746)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SUMIFS(RAB!$F$14:$F$130,RAB!$C$14:$C$130,C747)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SUMIFS(RAB!$F$14:$F$130,RAB!$C$14:$C$130,C748)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SUMIFS(RAB!$F$14:$F$130,RAB!$C$14:$C$130,C749)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SUMIFS(RAB!$F$14:$F$130,RAB!$C$14:$C$130,C750)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SUMIFS(RAB!$F$14:$F$130,RAB!$C$14:$C$130,C751)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SUMIFS(RAB!$F$14:$F$130,RAB!$C$14:$C$130,C752)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SUMIFS(RAB!$F$14:$F$130,RAB!$C$14:$C$130,C753)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SUMIFS(RAB!$F$14:$F$130,RAB!$C$14:$C$130,C754)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SUMIFS(RAB!$F$14:$F$130,RAB!$C$14:$C$130,C755)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SUMIFS(RAB!$F$14:$F$130,RAB!$C$14:$C$130,C756)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SUMIFS(RAB!$F$14:$F$130,RAB!$C$14:$C$130,C757)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SUMIFS(RAB!$F$14:$F$130,RAB!$C$14:$C$130,C758)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SUMIFS(RAB!$F$14:$F$130,RAB!$C$14:$C$130,C759)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SUMIFS(RAB!$F$14:$F$130,RAB!$C$14:$C$130,C760)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SUMIFS(RAB!$F$14:$F$130,RAB!$C$14:$C$130,C761)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SUMIFS(RAB!$F$14:$F$130,RAB!$C$14:$C$130,C762)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SUMIFS(RAB!$F$14:$F$130,RAB!$C$14:$C$130,C763)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SUMIFS(RAB!$F$14:$F$130,RAB!$C$14:$C$130,C764)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SUMIFS(RAB!$F$14:$F$130,RAB!$C$14:$C$130,C765)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SUMIFS(RAB!$F$14:$F$130,RAB!$C$14:$C$130,C766)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SUMIFS(RAB!$F$14:$F$130,RAB!$C$14:$C$130,C767)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SUMIFS(RAB!$F$14:$F$130,RAB!$C$14:$C$130,C768)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SUMIFS(RAB!$F$14:$F$130,RAB!$C$14:$C$130,C769)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SUMIFS(RAB!$F$14:$F$130,RAB!$C$14:$C$130,C770)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SUMIFS(RAB!$F$14:$F$130,RAB!$C$14:$C$130,C771)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SUMIFS(RAB!$F$14:$F$130,RAB!$C$14:$C$130,C772)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SUMIFS(RAB!$F$14:$F$130,RAB!$C$14:$C$130,C773)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SUMIFS(RAB!$F$14:$F$130,RAB!$C$14:$C$130,C774)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SUMIFS(RAB!$F$14:$F$130,RAB!$C$14:$C$130,C775)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SUMIFS(RAB!$F$14:$F$130,RAB!$C$14:$C$130,C776)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SUMIFS(RAB!$F$14:$F$130,RAB!$C$14:$C$130,C777)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SUMIFS(RAB!$F$14:$F$130,RAB!$C$14:$C$130,C778)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SUMIFS(RAB!$F$14:$F$130,RAB!$C$14:$C$130,C779)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SUMIFS(RAB!$F$14:$F$130,RAB!$C$14:$C$130,C780)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SUMIFS(RAB!$F$14:$F$130,RAB!$C$14:$C$130,C781)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SUMIFS(RAB!$F$14:$F$130,RAB!$C$14:$C$130,C782)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SUMIFS(RAB!$F$14:$F$130,RAB!$C$14:$C$130,C783)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SUMIFS(RAB!$F$14:$F$130,RAB!$C$14:$C$130,C784)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SUMIFS(RAB!$F$14:$F$130,RAB!$C$14:$C$130,C785)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SUMIFS(RAB!$F$14:$F$130,RAB!$C$14:$C$130,C786)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SUMIFS(RAB!$F$14:$F$130,RAB!$C$14:$C$130,C787)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SUMIFS(RAB!$F$14:$F$130,RAB!$C$14:$C$130,C788)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SUMIFS(RAB!$F$14:$F$130,RAB!$C$14:$C$130,C789)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SUMIFS(RAB!$F$14:$F$130,RAB!$C$14:$C$130,C790)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SUMIFS(RAB!$F$14:$F$130,RAB!$C$14:$C$130,C791)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SUMIFS(RAB!$F$14:$F$130,RAB!$C$14:$C$130,C792)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SUMIFS(RAB!$F$14:$F$130,RAB!$C$14:$C$130,C793)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SUMIFS(RAB!$F$14:$F$130,RAB!$C$14:$C$130,C794)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SUMIFS(RAB!$F$14:$F$130,RAB!$C$14:$C$130,C795)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SUMIFS(RAB!$F$14:$F$130,RAB!$C$14:$C$130,C796)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SUMIFS(RAB!$F$14:$F$130,RAB!$C$14:$C$130,C797)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SUMIFS(RAB!$F$14:$F$130,RAB!$C$14:$C$130,C798)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SUMIFS(RAB!$F$14:$F$130,RAB!$C$14:$C$130,C799)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SUMIFS(RAB!$F$14:$F$130,RAB!$C$14:$C$130,C800)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SUMIFS(RAB!$F$14:$F$130,RAB!$C$14:$C$130,C801)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SUMIFS(RAB!$F$14:$F$130,RAB!$C$14:$C$130,C802)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SUMIFS(RAB!$F$14:$F$130,RAB!$C$14:$C$130,C803)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SUMIFS(RAB!$F$14:$F$130,RAB!$C$14:$C$130,C804)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SUMIFS(RAB!$F$14:$F$130,RAB!$C$14:$C$130,C805)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SUMIFS(RAB!$F$14:$F$130,RAB!$C$14:$C$130,C806)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SUMIFS(RAB!$F$14:$F$130,RAB!$C$14:$C$130,C807)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SUMIFS(RAB!$F$14:$F$130,RAB!$C$14:$C$130,C808)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SUMIFS(RAB!$F$14:$F$130,RAB!$C$14:$C$130,C809)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SUMIFS(RAB!$F$14:$F$130,RAB!$C$14:$C$130,C810)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SUMIFS(RAB!$F$14:$F$130,RAB!$C$14:$C$130,C811)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SUMIFS(RAB!$F$14:$F$130,RAB!$C$14:$C$130,C812)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SUMIFS(RAB!$F$14:$F$130,RAB!$C$14:$C$130,C813)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SUMIFS(RAB!$F$14:$F$130,RAB!$C$14:$C$130,C814)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SUMIFS(RAB!$F$14:$F$130,RAB!$C$14:$C$130,C815)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SUMIFS(RAB!$F$14:$F$130,RAB!$C$14:$C$130,C816)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SUMIFS(RAB!$F$14:$F$130,RAB!$C$14:$C$130,C817)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SUMIFS(RAB!$F$14:$F$130,RAB!$C$14:$C$130,C818)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SUMIFS(RAB!$F$14:$F$130,RAB!$C$14:$C$130,C819)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SUMIFS(RAB!$F$14:$F$130,RAB!$C$14:$C$130,C820)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SUMIFS(RAB!$F$14:$F$130,RAB!$C$14:$C$130,C821)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SUMIFS(RAB!$F$14:$F$130,RAB!$C$14:$C$130,C822)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SUMIFS(RAB!$F$14:$F$130,RAB!$C$14:$C$130,C823)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SUMIFS(RAB!$F$14:$F$130,RAB!$C$14:$C$130,C824)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SUMIFS(RAB!$F$14:$F$130,RAB!$C$14:$C$130,C825)</f>
        <v>5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SUMIFS(RAB!$F$14:$F$130,RAB!$C$14:$C$130,C826)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SUMIFS(RAB!$F$14:$F$130,RAB!$C$14:$C$130,C827)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SUMIFS(RAB!$F$14:$F$130,RAB!$C$14:$C$130,C828)</f>
        <v>89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SUMIFS(RAB!$F$14:$F$130,RAB!$C$14:$C$130,C829)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SUMIFS(RAB!$F$14:$F$130,RAB!$C$14:$C$130,C830)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SUMIFS(RAB!$F$14:$F$130,RAB!$C$14:$C$130,C831)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SUMIFS(RAB!$F$14:$F$130,RAB!$C$14:$C$130,C832)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SUMIFS(RAB!$F$14:$F$130,RAB!$C$14:$C$130,C833)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SUMIFS(RAB!$F$14:$F$130,RAB!$C$14:$C$130,C834)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SUMIFS(RAB!$F$14:$F$130,RAB!$C$14:$C$130,C835)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SUMIFS(RAB!$F$14:$F$130,RAB!$C$14:$C$130,C836)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SUMIFS(RAB!$F$14:$F$130,RAB!$C$14:$C$130,C837)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SUMIFS(RAB!$F$14:$F$130,RAB!$C$14:$C$130,C838)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SUMIFS(RAB!$F$14:$F$130,RAB!$C$14:$C$130,C839)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SUMIFS(RAB!$F$14:$F$130,RAB!$C$14:$C$130,C840)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SUMIFS(RAB!$F$14:$F$130,RAB!$C$14:$C$130,C841)</f>
        <v>44</v>
      </c>
      <c r="E841" s="26">
        <f t="shared" ca="1" si="34"/>
        <v>1</v>
      </c>
      <c r="F841" s="26">
        <f ca="1">IF(D841=0,0,SUM($E$713:E841))</f>
        <v>10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SUMIFS(RAB!$F$14:$F$130,RAB!$C$14:$C$130,C842)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SUMIFS(RAB!$F$14:$F$130,RAB!$C$14:$C$130,C843)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SUMIFS(RAB!$F$14:$F$130,RAB!$C$14:$C$130,C844)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SUMIFS(RAB!$F$14:$F$130,RAB!$C$14:$C$130,C845)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SUMIFS(RAB!$F$14:$F$130,RAB!$C$14:$C$130,C846)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SUMIFS(RAB!$F$14:$F$130,RAB!$C$14:$C$130,C847)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SUMIFS(RAB!$F$14:$F$130,RAB!$C$14:$C$130,C848)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SUMIFS(RAB!$F$14:$F$130,RAB!$C$14:$C$130,C849)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SUMIFS(RAB!$F$14:$F$130,RAB!$C$14:$C$130,C850)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SUMIFS(RAB!$F$14:$F$130,RAB!$C$14:$C$130,C851)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SUMIFS(RAB!$F$14:$F$130,RAB!$C$14:$C$130,C852)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SUMIFS(RAB!$F$14:$F$130,RAB!$C$14:$C$130,C853)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SUMIFS(RAB!$F$14:$F$130,RAB!$C$14:$C$130,C854)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SUMIFS(RAB!$F$14:$F$130,RAB!$C$14:$C$130,C855)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SUMIFS(RAB!$F$14:$F$130,RAB!$C$14:$C$130,C856)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SUMIFS(RAB!$F$14:$F$130,RAB!$C$14:$C$130,C857)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SUMIFS(RAB!$F$14:$F$130,RAB!$C$14:$C$130,C858)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SUMIFS(RAB!$F$14:$F$130,RAB!$C$14:$C$130,C859)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SUMIFS(RAB!$F$14:$F$130,RAB!$C$14:$C$130,C860)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SUMIFS(RAB!$F$14:$F$130,RAB!$C$14:$C$130,C861)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SUMIFS(RAB!$F$14:$F$130,RAB!$C$14:$C$130,C862)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SUMIFS(RAB!$F$14:$F$130,RAB!$C$14:$C$130,C863)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SUMIFS(RAB!$F$14:$F$130,RAB!$C$14:$C$130,C864)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SUMIFS(RAB!$F$14:$F$130,RAB!$C$14:$C$130,C865)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SUMIFS(RAB!$F$14:$F$130,RAB!$C$14:$C$130,C866)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SUMIFS(RAB!$F$14:$F$130,RAB!$C$14:$C$130,C867)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SUMIFS(RAB!$F$14:$F$130,RAB!$C$14:$C$130,C868)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SUMIFS(RAB!$F$14:$F$130,RAB!$C$14:$C$130,C869)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SUMIFS(RAB!$F$14:$F$130,RAB!$C$14:$C$130,C870)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SUMIFS(RAB!$F$14:$F$130,RAB!$C$14:$C$130,C871)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SUMIFS(RAB!$F$14:$F$130,RAB!$C$14:$C$130,C872)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SUMIFS(RAB!$F$14:$F$130,RAB!$C$14:$C$130,C873)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SUMIFS(RAB!$F$14:$F$130,RAB!$C$14:$C$130,C874)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SUMIFS(RAB!$F$14:$F$130,RAB!$C$14:$C$130,C875)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SUMIFS(RAB!$F$14:$F$130,RAB!$C$14:$C$130,C876)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SUMIFS(RAB!$F$14:$F$130,RAB!$C$14:$C$130,C877)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SUMIFS(RAB!$F$14:$F$130,RAB!$C$14:$C$130,C878)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SUMIFS(RAB!$F$14:$F$130,RAB!$C$14:$C$130,C879)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SUMIFS(RAB!$F$14:$F$130,RAB!$C$14:$C$130,C880)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SUMIFS(RAB!$F$14:$F$130,RAB!$C$14:$C$130,C881)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SUMIFS(RAB!$F$14:$F$130,RAB!$C$14:$C$130,C882)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SUMIFS(RAB!$F$14:$F$130,RAB!$C$14:$C$130,C883)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SUMIFS(RAB!$F$14:$F$130,RAB!$C$14:$C$130,C884)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SUMIFS(RAB!$F$14:$F$130,RAB!$C$14:$C$130,C885)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SUMIFS(RAB!$F$14:$F$130,RAB!$C$14:$C$130,C886)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SUMIFS(RAB!$F$14:$F$130,RAB!$C$14:$C$130,C887)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SUMIFS(RAB!$F$14:$F$130,RAB!$C$14:$C$130,C888)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SUMIFS(RAB!$F$14:$F$130,RAB!$C$14:$C$130,C889)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SUMIFS(RAB!$F$14:$F$130,RAB!$C$14:$C$130,C890)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SUMIFS(RAB!$F$14:$F$130,RAB!$C$14:$C$130,C891)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SUMIFS(RAB!$F$14:$F$130,RAB!$C$14:$C$130,C892)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SUMIFS(RAB!$F$14:$F$130,RAB!$C$14:$C$130,C893)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SUMIFS(RAB!$F$14:$F$130,RAB!$C$14:$C$130,C894)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SUMIFS(RAB!$F$14:$F$130,RAB!$C$14:$C$130,C895)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SUMIFS(RAB!$F$14:$F$130,RAB!$C$14:$C$130,C896)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SUMIFS(RAB!$F$14:$F$130,RAB!$C$14:$C$130,C897)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SUMIFS(RAB!$F$14:$F$130,RAB!$C$14:$C$130,C898)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SUMIFS(RAB!$F$14:$F$130,RAB!$C$14:$C$130,C899)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SUMIFS(RAB!$F$14:$F$130,RAB!$C$14:$C$130,C900)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SUMIFS(RAB!$F$14:$F$130,RAB!$C$14:$C$130,C901)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SUMIFS(RAB!$F$14:$F$130,RAB!$C$14:$C$130,C902)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SUMIFS(RAB!$F$14:$F$130,RAB!$C$14:$C$130,C903)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SUMIFS(RAB!$F$14:$F$130,RAB!$C$14:$C$130,C904)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SUMIFS(RAB!$F$14:$F$130,RAB!$C$14:$C$130,C905)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SUMIFS(RAB!$F$14:$F$130,RAB!$C$14:$C$130,C906)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SUMIFS(RAB!$F$14:$F$130,RAB!$C$14:$C$130,C907)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SUMIFS(RAB!$F$14:$F$130,RAB!$C$14:$C$130,C908)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SUMIFS(RAB!$F$14:$F$130,RAB!$C$14:$C$130,C909)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SUMIFS(RAB!$F$14:$F$130,RAB!$C$14:$C$130,C910)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SUMIFS(RAB!$F$14:$F$130,RAB!$C$14:$C$130,C911)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SUMIFS(RAB!$F$14:$F$130,RAB!$C$14:$C$130,C912)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SUMIFS(RAB!$F$14:$F$130,RAB!$C$14:$C$130,C913)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SUMIFS(RAB!$F$14:$F$130,RAB!$C$14:$C$130,C914)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SUMIFS(RAB!$F$14:$F$130,RAB!$C$14:$C$130,C915)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SUMIFS(RAB!$F$14:$F$130,RAB!$C$14:$C$130,C916)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SUMIFS(RAB!$F$14:$F$130,RAB!$C$14:$C$130,C917)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SUMIFS(RAB!$F$14:$F$130,RAB!$C$14:$C$130,C918)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SUMIFS(RAB!$F$14:$F$130,RAB!$C$14:$C$130,C919)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SUMIFS(RAB!$F$14:$F$130,RAB!$C$14:$C$130,C920)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SUMIFS(RAB!$F$14:$F$130,RAB!$C$14:$C$130,C921)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SUMIFS(RAB!$F$14:$F$130,RAB!$C$14:$C$130,C922)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SUMIFS(RAB!$F$14:$F$130,RAB!$C$14:$C$130,C923)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SUMIFS(RAB!$F$14:$F$130,RAB!$C$14:$C$130,C924)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SUMIFS(RAB!$F$14:$F$130,RAB!$C$14:$C$130,C925)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SUMIFS(RAB!$F$14:$F$130,RAB!$C$14:$C$130,C926)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SUMIFS(RAB!$F$14:$F$130,RAB!$C$14:$C$130,C927)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SUMIFS(RAB!$F$14:$F$130,RAB!$C$14:$C$130,C928)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SUMIFS(RAB!$F$14:$F$130,RAB!$C$14:$C$130,C929)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SUMIFS(RAB!$F$14:$F$130,RAB!$C$14:$C$130,C930)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SUMIFS(RAB!$F$14:$F$130,RAB!$C$14:$C$130,C931)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SUMIFS(RAB!$F$14:$F$130,RAB!$C$14:$C$130,C932)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SUMIFS(RAB!$F$14:$F$130,RAB!$C$14:$C$130,C933)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SUMIFS(RAB!$F$14:$F$130,RAB!$C$14:$C$130,C934)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SUMIFS(RAB!$F$14:$F$130,RAB!$C$14:$C$130,C935)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SUMIFS(RAB!$F$14:$F$130,RAB!$C$14:$C$130,C936)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SUMIFS(RAB!$F$14:$F$130,RAB!$C$14:$C$130,C937)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SUMIFS(RAB!$F$14:$F$130,RAB!$C$14:$C$130,C938)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SUMIFS(RAB!$F$14:$F$130,RAB!$C$14:$C$130,C939)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SUMIFS(RAB!$F$14:$F$130,RAB!$C$14:$C$130,C940)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SUMIFS(RAB!$F$14:$F$130,RAB!$C$14:$C$130,C941)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SUMIFS(RAB!$F$14:$F$130,RAB!$C$14:$C$130,C942)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SUMIFS(RAB!$F$14:$F$130,RAB!$C$14:$C$130,C943)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SUMIFS(RAB!$F$14:$F$130,RAB!$C$14:$C$130,C944)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SUMIFS(RAB!$F$14:$F$130,RAB!$C$14:$C$130,C945)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SUMIFS(RAB!$F$14:$F$130,RAB!$C$14:$C$130,C946)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SUMIFS(RAB!$F$14:$F$130,RAB!$C$14:$C$130,C947)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SUMIFS(RAB!$F$14:$F$130,RAB!$C$14:$C$130,C948)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SUMIFS(RAB!$F$14:$F$130,RAB!$C$14:$C$130,C949)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SUMIFS(RAB!$F$14:$F$130,RAB!$C$14:$C$130,C950)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SUMIFS(RAB!$F$14:$F$130,RAB!$C$14:$C$130,C951)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SUMIFS(RAB!$F$14:$F$130,RAB!$C$14:$C$130,C952)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SUMIFS(RAB!$F$14:$F$130,RAB!$C$14:$C$130,C953)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SUMIFS(RAB!$F$14:$F$130,RAB!$C$14:$C$130,C954)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SUMIFS(RAB!$F$14:$F$130,RAB!$C$14:$C$130,C955)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SUMIFS(RAB!$F$14:$F$130,RAB!$C$14:$C$130,C956)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SUMIFS(RAB!$F$14:$F$130,RAB!$C$14:$C$130,C957)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SUMIFS(RAB!$F$14:$F$130,RAB!$C$14:$C$130,C958)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SUMIFS(RAB!$F$14:$F$130,RAB!$C$14:$C$130,C959)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SUMIFS(RAB!$F$14:$F$130,RAB!$C$14:$C$130,C960)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SUMIFS(RAB!$F$14:$F$130,RAB!$C$14:$C$130,C961)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SUMIFS(RAB!$F$14:$F$130,RAB!$C$14:$C$130,C962)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SUMIFS(RAB!$F$14:$F$130,RAB!$C$14:$C$130,C963)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SUMIFS(RAB!$F$14:$F$130,RAB!$C$14:$C$130,C964)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SUMIFS(RAB!$F$14:$F$130,RAB!$C$14:$C$130,C965)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SUMIFS(RAB!$F$14:$F$130,RAB!$C$14:$C$130,C966)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SUMIFS(RAB!$F$14:$F$130,RAB!$C$14:$C$130,C967)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SUMIFS(RAB!$F$14:$F$130,RAB!$C$14:$C$130,C968)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SUMIFS(RAB!$F$14:$F$130,RAB!$C$14:$C$130,C969)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SUMIFS(RAB!$F$14:$F$130,RAB!$C$14:$C$130,C970)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SUMIFS(RAB!$F$14:$F$130,RAB!$C$14:$C$130,C971)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SUMIFS(RAB!$F$14:$F$130,RAB!$C$14:$C$130,C972)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SUMIFS(RAB!$F$14:$F$130,RAB!$C$14:$C$130,C973)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SUMIFS(RAB!$F$14:$F$130,RAB!$C$14:$C$130,C974)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SUMIFS(RAB!$F$14:$F$130,RAB!$C$14:$C$130,C975)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SUMIFS(RAB!$F$14:$F$130,RAB!$C$14:$C$130,C976)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SUMIFS(RAB!$F$14:$F$130,RAB!$C$14:$C$130,C977)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SUMIFS(RAB!$F$14:$F$130,RAB!$C$14:$C$130,C978)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SUMIFS(RAB!$F$14:$F$130,RAB!$C$14:$C$130,C979)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SUMIFS(RAB!$F$14:$F$130,RAB!$C$14:$C$130,C980)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SUMIFS(RAB!$F$14:$F$130,RAB!$C$14:$C$130,C981)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SUMIFS(RAB!$F$14:$F$130,RAB!$C$14:$C$130,C982)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SUMIFS(RAB!$F$14:$F$130,RAB!$C$14:$C$130,C983)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SUMIFS(RAB!$F$14:$F$130,RAB!$C$14:$C$130,C984)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SUMIFS(RAB!$F$14:$F$130,RAB!$C$14:$C$130,C985)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SUMIFS(RAB!$F$14:$F$130,RAB!$C$14:$C$130,C986)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SUMIFS(RAB!$F$14:$F$130,RAB!$C$14:$C$130,C987)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SUMIFS(RAB!$F$14:$F$130,RAB!$C$14:$C$130,C988)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SUMIFS(RAB!$F$14:$F$130,RAB!$C$14:$C$130,C989)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SUMIFS(RAB!$F$14:$F$130,RAB!$C$14:$C$130,C990)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SUMIFS(RAB!$F$14:$F$130,RAB!$C$14:$C$130,C991)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SUMIFS(RAB!$F$14:$F$130,RAB!$C$14:$C$130,C992)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SUMIFS(RAB!$F$14:$F$130,RAB!$C$14:$C$130,C993)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SUMIFS(RAB!$F$14:$F$130,RAB!$C$14:$C$130,C994)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SUMIFS(RAB!$F$14:$F$130,RAB!$C$14:$C$130,C995)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SUMIFS(RAB!$F$14:$F$130,RAB!$C$14:$C$130,C996)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SUMIFS(RAB!$F$14:$F$130,RAB!$C$14:$C$130,C997)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SUMIFS(RAB!$F$14:$F$130,RAB!$C$14:$C$130,C998)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SUMIFS(RAB!$F$14:$F$130,RAB!$C$14:$C$130,C999)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SUMIFS(RAB!$F$14:$F$130,RAB!$C$14:$C$130,C1000)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SUMIFS(RAB!$F$14:$F$130,RAB!$C$14:$C$130,C1001)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SUMIFS(RAB!$F$14:$F$130,RAB!$C$14:$C$130,C1002)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SUMIFS(RAB!$F$14:$F$130,RAB!$C$14:$C$130,C1003)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SUMIFS(RAB!$F$14:$F$130,RAB!$C$14:$C$130,C1004)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SUMIFS(RAB!$F$14:$F$130,RAB!$C$14:$C$130,C1005)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SUMIFS(RAB!$F$14:$F$130,RAB!$C$14:$C$130,C1006)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SUMIFS(RAB!$F$14:$F$130,RAB!$C$14:$C$130,C1007)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SUMIFS(RAB!$F$14:$F$130,RAB!$C$14:$C$130,C1008)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SUMIFS(RAB!$F$14:$F$130,RAB!$C$14:$C$130,C1009)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SUMIFS(RAB!$F$14:$F$130,RAB!$C$14:$C$130,C1010)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SUMIFS(RAB!$F$14:$F$130,RAB!$C$14:$C$130,C1011)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SUMIFS(RAB!$F$14:$F$130,RAB!$C$14:$C$130,C1012)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SUMIFS(RAB!$F$14:$F$130,RAB!$C$14:$C$130,C1013)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SUMIFS(RAB!$F$14:$F$130,RAB!$C$14:$C$130,C1014)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SUMIFS(RAB!$F$14:$F$130,RAB!$C$14:$C$130,C1015)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SUMIFS(RAB!$F$14:$F$130,RAB!$C$14:$C$130,C1016)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SUMIFS(RAB!$F$14:$F$130,RAB!$C$14:$C$130,C1017)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SUMIFS(RAB!$F$14:$F$130,RAB!$C$14:$C$130,C1018)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SUMIFS(RAB!$F$14:$F$130,RAB!$C$14:$C$130,C1019)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SUMIFS(RAB!$F$14:$F$130,RAB!$C$14:$C$130,C1020)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SUMIFS(RAB!$F$14:$F$130,RAB!$C$14:$C$130,C1021)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SUMIFS(RAB!$F$14:$F$130,RAB!$C$14:$C$130,C1022)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SUMIFS(RAB!$F$14:$F$130,RAB!$C$14:$C$130,C1023)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SUMIFS(RAB!$F$14:$F$130,RAB!$C$14:$C$130,C1024)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SUMIFS(RAB!$F$14:$F$130,RAB!$C$14:$C$130,C1025)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SUMIFS(RAB!$F$14:$F$130,RAB!$C$14:$C$130,C1026)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SUMIFS(RAB!$F$14:$F$130,RAB!$C$14:$C$130,C1027)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SUMIFS(RAB!$F$14:$F$130,RAB!$C$14:$C$130,C1028)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SUMIFS(RAB!$F$14:$F$130,RAB!$C$14:$C$130,C1029)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SUMIFS(RAB!$F$14:$F$130,RAB!$C$14:$C$130,C1030)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SUMIFS(RAB!$F$14:$F$130,RAB!$C$14:$C$130,C1031)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SUMIFS(RAB!$F$14:$F$130,RAB!$C$14:$C$130,C1032)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SUMIFS(RAB!$F$14:$F$130,RAB!$C$14:$C$130,C1033)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SUMIFS(RAB!$F$14:$F$130,RAB!$C$14:$C$130,C1034)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SUMIFS(RAB!$F$14:$F$130,RAB!$C$14:$C$130,C1035)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SUMIFS(RAB!$F$14:$F$130,RAB!$C$14:$C$130,C1036)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SUMIFS(RAB!$F$14:$F$130,RAB!$C$14:$C$130,C1037)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SUMIFS(RAB!$F$14:$F$130,RAB!$C$14:$C$130,C1038)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SUMIFS(RAB!$F$14:$F$130,RAB!$C$14:$C$130,C1039)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SUMIFS(RAB!$F$14:$F$130,RAB!$C$14:$C$130,C1040)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SUMIFS(RAB!$F$14:$F$130,RAB!$C$14:$C$130,C1041)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SUMIFS(RAB!$F$14:$F$130,RAB!$C$14:$C$130,C1042)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SUMIFS(RAB!$F$14:$F$130,RAB!$C$14:$C$130,C1043)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SUMIFS(RAB!$F$14:$F$130,RAB!$C$14:$C$130,C1044)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SUMIFS(RAB!$F$14:$F$130,RAB!$C$14:$C$130,C1045)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SUMIFS(RAB!$F$14:$F$130,RAB!$C$14:$C$130,C1046)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SUMIFS(RAB!$F$14:$F$130,RAB!$C$14:$C$130,C1047)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SUMIFS(RAB!$F$14:$F$130,RAB!$C$14:$C$130,C1048)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SUMIFS(RAB!$F$14:$F$130,RAB!$C$14:$C$130,C1049)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SUMIFS(RAB!$F$14:$F$130,RAB!$C$14:$C$130,C1050)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SUMIFS(RAB!$F$14:$F$130,RAB!$C$14:$C$130,C1051)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SUMIFS(RAB!$F$14:$F$130,RAB!$C$14:$C$130,C1052)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SUMIFS(RAB!$F$14:$F$130,RAB!$C$14:$C$130,C1053)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SUMIFS(RAB!$F$14:$F$130,RAB!$C$14:$C$130,C1054)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SUMIFS(RAB!$F$14:$F$130,RAB!$C$14:$C$130,C1055)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SUMIFS(RAB!$F$14:$F$130,RAB!$C$14:$C$130,C1056)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SUMIFS(RAB!$F$14:$F$130,RAB!$C$14:$C$130,C1057)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SUMIFS(RAB!$F$14:$F$130,RAB!$C$14:$C$130,C1058)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SUMIFS(RAB!$F$14:$F$130,RAB!$C$14:$C$130,C1059)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SUMIFS(RAB!$F$14:$F$130,RAB!$C$14:$C$130,C1060)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SUMIFS(RAB!$F$14:$F$130,RAB!$C$14:$C$130,C1061)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SUMIFS(RAB!$F$14:$F$130,RAB!$C$14:$C$130,C1062)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SUMIFS(RAB!$F$14:$F$130,RAB!$C$14:$C$130,C1063)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SUMIFS(RAB!$F$14:$F$130,RAB!$C$14:$C$130,C1064)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SUMIFS(RAB!$F$14:$F$130,RAB!$C$14:$C$130,C1065)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SUMIFS(RAB!$F$14:$F$130,RAB!$C$14:$C$130,C1066)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SUMIFS(RAB!$F$14:$F$130,RAB!$C$14:$C$130,C1067)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SUMIFS(RAB!$F$14:$F$130,RAB!$C$14:$C$130,C1068)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SUMIFS(RAB!$F$14:$F$130,RAB!$C$14:$C$130,C1069)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SUMIFS(RAB!$F$14:$F$130,RAB!$C$14:$C$130,C1070)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SUMIFS(RAB!$F$14:$F$130,RAB!$C$14:$C$130,C1071)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SUMIFS(RAB!$F$14:$F$130,RAB!$C$14:$C$130,C1072)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SUMIFS(RAB!$F$14:$F$130,RAB!$C$14:$C$130,C1073)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SUMIFS(RAB!$F$14:$F$130,RAB!$C$14:$C$130,C1074)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SUMIFS(RAB!$F$14:$F$130,RAB!$C$14:$C$130,C1075)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SUMIFS(RAB!$F$14:$F$130,RAB!$C$14:$C$130,C1076)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SUMIFS(RAB!$F$14:$F$130,RAB!$C$14:$C$130,C1077)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SUMIFS(RAB!$F$14:$F$130,RAB!$C$14:$C$130,C1078)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SUMIFS(RAB!$F$14:$F$130,RAB!$C$14:$C$130,C1079)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SUMIFS(RAB!$F$14:$F$130,RAB!$C$14:$C$130,C1080)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SUMIFS(RAB!$F$14:$F$130,RAB!$C$14:$C$130,C1081)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SUMIFS(RAB!$F$14:$F$130,RAB!$C$14:$C$130,C1082)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SUMIFS(RAB!$F$14:$F$130,RAB!$C$14:$C$130,C1083)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SUMIFS(RAB!$F$14:$F$130,RAB!$C$14:$C$130,C1084)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SUMIFS(RAB!$F$14:$F$130,RAB!$C$14:$C$130,C1085)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SUMIFS(RAB!$F$14:$F$130,RAB!$C$14:$C$130,C1086)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SUMIFS(RAB!$F$14:$F$130,RAB!$C$14:$C$130,C1087)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SUMIFS(RAB!$F$14:$F$130,RAB!$C$14:$C$130,C1088)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SUMIFS(RAB!$F$14:$F$130,RAB!$C$14:$C$130,C1089)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SUMIFS(RAB!$F$14:$F$130,RAB!$C$14:$C$130,C1090)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SUMIFS(RAB!$F$14:$F$130,RAB!$C$14:$C$130,C1091)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SUMIFS(RAB!$F$14:$F$130,RAB!$C$14:$C$130,C1092)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SUMIFS(RAB!$F$14:$F$130,RAB!$C$14:$C$130,C1093)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SUMIFS(RAB!$F$14:$F$130,RAB!$C$14:$C$130,C1094)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SUMIFS(RAB!$F$14:$F$130,RAB!$C$14:$C$130,C1095)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SUMIFS(RAB!$F$14:$F$130,RAB!$C$14:$C$130,C1096)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SUMIFS(RAB!$F$14:$F$130,RAB!$C$14:$C$130,C1097)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SUMIFS(RAB!$F$14:$F$130,RAB!$C$14:$C$130,C1098)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SUMIFS(RAB!$F$14:$F$130,RAB!$C$14:$C$130,C1099)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SUMIFS(RAB!$F$14:$F$130,RAB!$C$14:$C$130,C1100)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SUMIFS(RAB!$F$14:$F$130,RAB!$C$14:$C$130,C1101)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SUMIFS(RAB!$F$14:$F$130,RAB!$C$14:$C$130,C1102)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SUMIFS(RAB!$F$14:$F$130,RAB!$C$14:$C$130,C1103)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SUMIFS(RAB!$F$14:$F$130,RAB!$C$14:$C$130,C1104)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SUMIFS(RAB!$F$14:$F$130,RAB!$C$14:$C$130,C1105)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SUMIFS(RAB!$F$14:$F$130,RAB!$C$14:$C$130,C1106)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SUMIFS(RAB!$F$14:$F$130,RAB!$C$14:$C$130,C1107)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SUMIFS(RAB!$F$14:$F$130,RAB!$C$14:$C$130,C1108)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SUMIFS(RAB!$F$14:$F$130,RAB!$C$14:$C$130,C1109)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SUMIFS(RAB!$F$14:$F$130,RAB!$C$14:$C$130,C1110)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SUMIFS(RAB!$F$14:$F$130,RAB!$C$14:$C$130,C1111)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SUMIFS(RAB!$F$14:$F$130,RAB!$C$14:$C$130,C1112)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SUMIFS(RAB!$F$14:$F$130,RAB!$C$14:$C$130,C1113)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SUMIFS(RAB!$F$14:$F$130,RAB!$C$14:$C$130,C1114)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SUMIFS(RAB!$F$14:$F$130,RAB!$C$14:$C$130,C1115)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SUMIFS(RAB!$F$14:$F$130,RAB!$C$14:$C$130,C1116)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SUMIFS(RAB!$F$14:$F$130,RAB!$C$14:$C$130,C1117)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SUMIFS(RAB!$F$14:$F$130,RAB!$C$14:$C$130,C1118)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SUMIFS(RAB!$F$14:$F$130,RAB!$C$14:$C$130,C1119)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SUMIFS(RAB!$F$14:$F$130,RAB!$C$14:$C$130,C1120)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SUMIFS(RAB!$F$14:$F$130,RAB!$C$14:$C$130,C1121)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SUMIFS(RAB!$F$14:$F$130,RAB!$C$14:$C$130,C1122)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SUMIFS(RAB!$F$14:$F$130,RAB!$C$14:$C$130,C1123)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SUMIFS(RAB!$F$14:$F$130,RAB!$C$14:$C$130,C1124)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SUMIFS(RAB!$F$14:$F$130,RAB!$C$14:$C$130,C1125)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SUMIFS(RAB!$F$14:$F$130,RAB!$C$14:$C$130,C1126)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SUMIFS(RAB!$F$14:$F$130,RAB!$C$14:$C$130,C1127)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SUMIFS(RAB!$F$14:$F$130,RAB!$C$14:$C$130,C1128)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SUMIFS(RAB!$F$14:$F$130,RAB!$C$14:$C$130,C1129)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SUMIFS(RAB!$F$14:$F$130,RAB!$C$14:$C$130,C1130)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SUMIFS(RAB!$F$14:$F$130,RAB!$C$14:$C$130,C1131)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SUMIFS(RAB!$F$14:$F$130,RAB!$C$14:$C$130,C1132)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SUMIFS(RAB!$F$14:$F$130,RAB!$C$14:$C$130,C1133)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SUMIFS(RAB!$F$14:$F$130,RAB!$C$14:$C$130,C1134)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SUMIFS(RAB!$F$14:$F$130,RAB!$C$14:$C$130,C1135)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SUMIFS(RAB!$F$14:$F$130,RAB!$C$14:$C$130,C1136)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SUMIFS(RAB!$F$14:$F$130,RAB!$C$14:$C$130,C1137)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SUMIFS(RAB!$F$14:$F$130,RAB!$C$14:$C$130,C1138)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SUMIFS(RAB!$F$14:$F$130,RAB!$C$14:$C$130,C1139)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SUMIFS(RAB!$F$14:$F$130,RAB!$C$14:$C$130,C1140)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SUMIFS(RAB!$F$14:$F$130,RAB!$C$14:$C$130,C1141)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SUMIFS(RAB!$F$14:$F$130,RAB!$C$14:$C$130,C1142)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SUMIFS(RAB!$F$14:$F$130,RAB!$C$14:$C$130,C1143)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SUMIFS(RAB!$F$14:$F$130,RAB!$C$14:$C$130,C1144)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SUMIFS(RAB!$F$14:$F$130,RAB!$C$14:$C$130,C1145)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SUMIFS(RAB!$F$14:$F$130,RAB!$C$14:$C$130,C1146)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SUMIFS(RAB!$F$14:$F$130,RAB!$C$14:$C$130,C1147)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SUMIFS(RAB!$F$14:$F$130,RAB!$C$14:$C$130,C1148)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SUMIFS(RAB!$F$14:$F$130,RAB!$C$14:$C$130,C1149)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SUMIFS(RAB!$F$14:$F$130,RAB!$C$14:$C$130,C1150)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SUMIFS(RAB!$F$14:$F$130,RAB!$C$14:$C$130,C1151)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SUMIFS(RAB!$F$14:$F$130,RAB!$C$14:$C$130,C1152)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SUMIFS(RAB!$F$14:$F$130,RAB!$C$14:$C$130,C1153)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SUMIFS(RAB!$F$14:$F$130,RAB!$C$14:$C$130,C1154)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SUMIFS(RAB!$F$14:$F$130,RAB!$C$14:$C$130,C1155)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SUMIFS(RAB!$F$14:$F$130,RAB!$C$14:$C$130,C1156)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SUMIFS(RAB!$F$14:$F$130,RAB!$C$14:$C$130,C1157)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SUMIFS(RAB!$F$14:$F$130,RAB!$C$14:$C$130,C1158)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SUMIFS(RAB!$F$14:$F$130,RAB!$C$14:$C$130,C1159)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SUMIFS(RAB!$F$14:$F$130,RAB!$C$14:$C$130,C1160)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SUMIFS(RAB!$F$14:$F$130,RAB!$C$14:$C$130,C1161)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SUMIFS(RAB!$F$14:$F$130,RAB!$C$14:$C$130,C1162)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SUMIFS(RAB!$F$14:$F$130,RAB!$C$14:$C$130,C1163)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SUMIFS(RAB!$F$14:$F$130,RAB!$C$14:$C$130,C1164)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SUMIFS(RAB!$F$14:$F$130,RAB!$C$14:$C$130,C1165)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SUMIFS(RAB!$F$14:$F$130,RAB!$C$14:$C$130,C1166)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SUMIFS(RAB!$F$14:$F$130,RAB!$C$14:$C$130,C1167)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SUMIFS(RAB!$F$14:$F$130,RAB!$C$14:$C$130,C1168)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SUMIFS(RAB!$F$14:$F$130,RAB!$C$14:$C$130,C1169)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SUMIFS(RAB!$F$14:$F$130,RAB!$C$14:$C$130,C1170)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SUMIFS(RAB!$F$14:$F$130,RAB!$C$14:$C$130,C1171)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SUMIFS(RAB!$F$14:$F$130,RAB!$C$14:$C$130,C1172)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SUMIFS(RAB!$F$14:$F$130,RAB!$C$14:$C$130,C1173)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SUMIFS(RAB!$F$14:$F$130,RAB!$C$14:$C$130,C1174)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SUMIFS(RAB!$F$14:$F$130,RAB!$C$14:$C$130,C1175)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SUMIFS(RAB!$F$14:$F$130,RAB!$C$14:$C$130,C1176)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SUMIFS(RAB!$F$14:$F$130,RAB!$C$14:$C$130,C1177)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SUMIFS(RAB!$F$14:$F$130,RAB!$C$14:$C$130,C1178)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SUMIFS(RAB!$F$14:$F$130,RAB!$C$14:$C$130,C1179)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SUMIFS(RAB!$F$14:$F$130,RAB!$C$14:$C$130,C1180)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SUMIFS(RAB!$F$14:$F$130,RAB!$C$14:$C$130,C1181)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SUMIFS(RAB!$F$14:$F$130,RAB!$C$14:$C$130,C1182)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SUMIFS(RAB!$F$14:$F$130,RAB!$C$14:$C$130,C1183)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SUMIFS(RAB!$F$14:$F$130,RAB!$C$14:$C$130,C1184)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SUMIFS(RAB!$F$14:$F$130,RAB!$C$14:$C$130,C1185)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SUMIFS(RAB!$F$14:$F$130,RAB!$C$14:$C$130,C1186)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SUMIFS(RAB!$F$14:$F$130,RAB!$C$14:$C$130,C1187)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SUMIFS(RAB!$F$14:$F$130,RAB!$C$14:$C$130,C1188)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SUMIFS(RAB!$F$14:$F$130,RAB!$C$14:$C$130,C1189)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SUMIFS(RAB!$F$14:$F$130,RAB!$C$14:$C$130,C1190)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SUMIFS(RAB!$F$14:$F$130,RAB!$C$14:$C$130,C1191)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SUMIFS(RAB!$F$14:$F$130,RAB!$C$14:$C$130,C1192)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SUMIFS(RAB!$F$14:$F$130,RAB!$C$14:$C$130,C1193)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SUMIFS(RAB!$F$14:$F$130,RAB!$C$14:$C$130,C1194)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SUMIFS(RAB!$F$14:$F$130,RAB!$C$14:$C$130,C1195)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SUMIFS(RAB!$F$14:$F$130,RAB!$C$14:$C$130,C1196)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SUMIFS(RAB!$F$14:$F$130,RAB!$C$14:$C$130,C1197)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SUMIFS(RAB!$F$14:$F$130,RAB!$C$14:$C$130,C1198)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SUMIFS(RAB!$F$14:$F$130,RAB!$C$14:$C$130,C1199)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SUMIFS(RAB!$F$14:$F$130,RAB!$C$14:$C$130,C1200)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SUMIFS(RAB!$F$14:$F$130,RAB!$C$14:$C$130,C1201)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SUMIFS(RAB!$F$14:$F$130,RAB!$C$14:$C$130,C1202)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SUMIFS(RAB!$F$14:$F$130,RAB!$C$14:$C$130,C1203)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SUMIFS(RAB!$F$14:$F$130,RAB!$C$14:$C$130,C1204)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SUMIFS(RAB!$F$14:$F$130,RAB!$C$14:$C$130,C1205)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SUMIFS(RAB!$F$14:$F$130,RAB!$C$14:$C$130,C1206)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SUMIFS(RAB!$F$14:$F$130,RAB!$C$14:$C$130,C1207)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SUMIFS(RAB!$F$14:$F$130,RAB!$C$14:$C$130,C1208)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SUMIFS(RAB!$F$14:$F$130,RAB!$C$14:$C$130,C1209)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SUMIFS(RAB!$F$14:$F$130,RAB!$C$14:$C$130,C1210)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SUMIFS(RAB!$F$14:$F$130,RAB!$C$14:$C$130,C1211)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SUMIFS(RAB!$F$14:$F$130,RAB!$C$14:$C$130,C1212)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SUMIFS(RAB!$F$14:$F$130,RAB!$C$14:$C$130,C1213)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SUMIFS(RAB!$F$14:$F$130,RAB!$C$14:$C$130,C1214)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SUMIFS(RAB!$F$14:$F$130,RAB!$C$14:$C$130,C1215)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SUMIFS(RAB!$F$14:$F$130,RAB!$C$14:$C$130,C1216)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SUMIFS(RAB!$F$14:$F$130,RAB!$C$14:$C$130,C1217)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SUMIFS(RAB!$F$14:$F$130,RAB!$C$14:$C$130,C1218)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SUMIFS(RAB!$F$14:$F$130,RAB!$C$14:$C$130,C1219)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SUMIFS(RAB!$F$14:$F$130,RAB!$C$14:$C$130,C1220)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SUMIFS(RAB!$F$14:$F$130,RAB!$C$14:$C$130,C1221)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SUMIFS(RAB!$F$14:$F$130,RAB!$C$14:$C$130,C1222)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SUMIFS(RAB!$F$14:$F$130,RAB!$C$14:$C$130,C1223)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SUMIFS(RAB!$F$14:$F$130,RAB!$C$14:$C$130,C1224)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SUMIFS(RAB!$F$14:$F$130,RAB!$C$14:$C$130,C1225)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SUMIFS(RAB!$F$14:$F$130,RAB!$C$14:$C$130,C1226)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SUMIFS(RAB!$F$14:$F$130,RAB!$C$14:$C$130,C1227)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SUMIFS(RAB!$F$14:$F$130,RAB!$C$14:$C$130,C1228)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SUMIFS(RAB!$F$14:$F$130,RAB!$C$14:$C$130,C1229)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SUMIFS(RAB!$F$14:$F$130,RAB!$C$14:$C$130,C1230)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SUMIFS(RAB!$F$14:$F$130,RAB!$C$14:$C$130,C1231)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SUMIFS(RAB!$F$14:$F$130,RAB!$C$14:$C$130,C1232)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SUMIFS(RAB!$F$14:$F$130,RAB!$C$14:$C$130,C1233)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SUMIFS(RAB!$F$14:$F$130,RAB!$C$14:$C$130,C1234)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SUMIFS(RAB!$F$14:$F$130,RAB!$C$14:$C$130,C1235)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SUMIFS(RAB!$F$14:$F$130,RAB!$C$14:$C$130,C1236)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SUMIFS(RAB!$F$14:$F$130,RAB!$C$14:$C$130,C1237)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SUMIFS(RAB!$F$14:$F$130,RAB!$C$14:$C$130,C1238)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SUMIFS(RAB!$F$14:$F$130,RAB!$C$14:$C$130,C1239)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SUMIFS(RAB!$F$14:$F$130,RAB!$C$14:$C$130,C1240)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SUMIFS(RAB!$F$14:$F$130,RAB!$C$14:$C$130,C1241)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SUMIFS(RAB!$F$14:$F$130,RAB!$C$14:$C$130,C1242)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SUMIFS(RAB!$F$14:$F$130,RAB!$C$14:$C$130,C1243)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SUMIFS(RAB!$F$14:$F$130,RAB!$C$14:$C$130,C1244)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SUMIFS(RAB!$F$14:$F$130,RAB!$C$14:$C$130,C1245)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SUMIFS(RAB!$F$14:$F$130,RAB!$C$14:$C$130,C1246)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SUMIFS(RAB!$F$14:$F$130,RAB!$C$14:$C$130,C1247)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SUMIFS(RAB!$F$14:$F$130,RAB!$C$14:$C$130,C1248)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SUMIFS(RAB!$F$14:$F$130,RAB!$C$14:$C$130,C1249)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SUMIFS(RAB!$F$14:$F$130,RAB!$C$14:$C$130,C1250)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SUMIFS(RAB!$F$14:$F$130,RAB!$C$14:$C$130,C1251)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SUMIFS(RAB!$F$14:$F$130,RAB!$C$14:$C$130,C1252)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SUMIFS(RAB!$F$14:$F$130,RAB!$C$14:$C$130,C1253)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SUMIFS(RAB!$F$14:$F$130,RAB!$C$14:$C$130,C1254)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SUMIFS(RAB!$F$14:$F$130,RAB!$C$14:$C$130,C1255)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SUMIFS(RAB!$F$14:$F$130,RAB!$C$14:$C$130,C1256)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SUMIFS(RAB!$F$14:$F$130,RAB!$C$14:$C$130,C1257)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SUMIFS(RAB!$F$14:$F$130,RAB!$C$14:$C$130,C1258)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SUMIFS(RAB!$F$14:$F$130,RAB!$C$14:$C$130,C1259)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SUMIFS(RAB!$F$14:$F$130,RAB!$C$14:$C$130,C1260)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SUMIFS(RAB!$F$14:$F$130,RAB!$C$14:$C$130,C1261)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SUMIFS(RAB!$F$14:$F$130,RAB!$C$14:$C$130,C1262)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SUMIFS(RAB!$F$14:$F$130,RAB!$C$14:$C$130,C1263)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SUMIFS(RAB!$F$14:$F$130,RAB!$C$14:$C$130,C1264)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SUMIFS(RAB!$F$14:$F$130,RAB!$C$14:$C$130,C1265)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SUMIFS(RAB!$F$14:$F$130,RAB!$C$14:$C$130,C1266)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SUMIFS(RAB!$F$14:$F$130,RAB!$C$14:$C$130,C1267)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SUMIFS(RAB!$F$14:$F$130,RAB!$C$14:$C$130,C1268)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SUMIFS(RAB!$F$14:$F$130,RAB!$C$14:$C$130,C1269)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SUMIFS(RAB!$F$14:$F$130,RAB!$C$14:$C$130,C1270)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SUMIFS(RAB!$F$14:$F$130,RAB!$C$14:$C$130,C1271)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SUMIFS(RAB!$F$14:$F$130,RAB!$C$14:$C$130,C1272)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SUMIFS(RAB!$F$14:$F$130,RAB!$C$14:$C$130,C1273)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SUMIFS(RAB!$F$14:$F$130,RAB!$C$14:$C$130,C1274)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SUMIFS(RAB!$F$14:$F$130,RAB!$C$14:$C$130,C1275)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SUMIFS(RAB!$F$14:$F$130,RAB!$C$14:$C$130,C1276)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SUMIFS(RAB!$F$14:$F$130,RAB!$C$14:$C$130,C1277)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SUMIFS(RAB!$F$14:$F$130,RAB!$C$14:$C$130,C1278)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SUMIFS(RAB!$F$14:$F$130,RAB!$C$14:$C$130,C1279)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SUMIFS(RAB!$F$14:$F$130,RAB!$C$14:$C$130,C1280)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SUMIFS(RAB!$F$14:$F$130,RAB!$C$14:$C$130,C1281)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SUMIFS(RAB!$F$14:$F$130,RAB!$C$14:$C$130,C1282)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SUMIFS(RAB!$F$14:$F$130,RAB!$C$14:$C$130,C1283)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SUMIFS(RAB!$F$14:$F$130,RAB!$C$14:$C$130,C1284)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SUMIFS(RAB!$F$14:$F$130,RAB!$C$14:$C$130,C1285)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SUMIFS(RAB!$F$14:$F$130,RAB!$C$14:$C$130,C1286)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SUMIFS(RAB!$F$14:$F$130,RAB!$C$14:$C$130,C1287)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SUMIFS(RAB!$F$14:$F$130,RAB!$C$14:$C$130,C1288)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SUMIFS(RAB!$F$14:$F$130,RAB!$C$14:$C$130,C1289)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SUMIFS(RAB!$F$14:$F$130,RAB!$C$14:$C$130,C1290)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SUMIFS(RAB!$F$14:$F$130,RAB!$C$14:$C$130,C1291)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SUMIFS(RAB!$F$14:$F$130,RAB!$C$14:$C$130,C1292)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SUMIFS(RAB!$F$14:$F$130,RAB!$C$14:$C$130,C1293)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SUMIFS(RAB!$F$14:$F$130,RAB!$C$14:$C$130,C1294)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SUMIFS(RAB!$F$14:$F$130,RAB!$C$14:$C$130,C1295)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SUMIFS(RAB!$F$14:$F$130,RAB!$C$14:$C$130,C1296)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SUMIFS(RAB!$F$14:$F$130,RAB!$C$14:$C$130,C1297)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SUMIFS(RAB!$F$14:$F$130,RAB!$C$14:$C$130,C1298)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SUMIFS(RAB!$F$14:$F$130,RAB!$C$14:$C$130,C1299)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SUMIFS(RAB!$F$14:$F$130,RAB!$C$14:$C$130,C1300)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SUMIFS(RAB!$F$14:$F$130,RAB!$C$14:$C$130,C1301)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SUMIFS(RAB!$F$14:$F$130,RAB!$C$14:$C$130,C1302)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SUMIFS(RAB!$F$14:$F$130,RAB!$C$14:$C$130,C1303)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SUMIFS(RAB!$F$14:$F$130,RAB!$C$14:$C$130,C1304)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SUMIFS(RAB!$F$14:$F$130,RAB!$C$14:$C$130,C1305)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SUMIFS(RAB!$F$14:$F$130,RAB!$C$14:$C$130,C1306)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SUMIFS(RAB!$F$14:$F$130,RAB!$C$14:$C$130,C1307)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SUMIFS(RAB!$F$14:$F$130,RAB!$C$14:$C$130,C1308)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SUMIFS(RAB!$F$14:$F$130,RAB!$C$14:$C$130,C1309)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SUMIFS(RAB!$F$14:$F$130,RAB!$C$14:$C$130,C1310)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SUMIFS(RAB!$F$14:$F$130,RAB!$C$14:$C$130,C1311)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SUMIFS(RAB!$F$14:$F$130,RAB!$C$14:$C$130,C1312)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SUMIFS(RAB!$F$14:$F$130,RAB!$C$14:$C$130,C1313)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SUMIFS(RAB!$F$14:$F$130,RAB!$C$14:$C$130,C1314)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SUMIFS(RAB!$F$14:$F$130,RAB!$C$14:$C$130,C1315)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SUMIFS(RAB!$F$14:$F$130,RAB!$C$14:$C$130,C1316)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SUMIFS(RAB!$F$14:$F$130,RAB!$C$14:$C$130,C1317)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SUMIFS(RAB!$F$14:$F$130,RAB!$C$14:$C$130,C1318)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SUMIFS(RAB!$F$14:$F$130,RAB!$C$14:$C$130,C1319)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SUMIFS(RAB!$F$14:$F$130,RAB!$C$14:$C$130,C1320)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3" t="s">
        <v>1127</v>
      </c>
      <c r="C4" s="523"/>
      <c r="D4" s="523"/>
      <c r="E4" s="523"/>
      <c r="F4" s="523"/>
      <c r="G4" s="523"/>
      <c r="H4" s="523"/>
      <c r="I4" s="523"/>
      <c r="J4" s="523"/>
      <c r="K4" s="52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7" t="str">
        <f>RAB!G6</f>
        <v>AGR UD EL RUTAB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TANJUNGANYAT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4" t="s">
        <v>0</v>
      </c>
      <c r="C11" s="526" t="s">
        <v>1</v>
      </c>
      <c r="D11" s="529" t="s">
        <v>42</v>
      </c>
      <c r="E11" s="529" t="s">
        <v>43</v>
      </c>
      <c r="F11" s="529" t="s">
        <v>2</v>
      </c>
      <c r="G11" s="531" t="s">
        <v>41</v>
      </c>
      <c r="H11" s="529" t="s">
        <v>3</v>
      </c>
      <c r="I11" s="529"/>
      <c r="J11" s="529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5"/>
      <c r="C12" s="527"/>
      <c r="D12" s="530"/>
      <c r="E12" s="530"/>
      <c r="F12" s="530"/>
      <c r="G12" s="532"/>
      <c r="H12" s="538" t="s">
        <v>46</v>
      </c>
      <c r="I12" s="538" t="s">
        <v>5</v>
      </c>
      <c r="J12" s="530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5"/>
      <c r="C13" s="528"/>
      <c r="D13" s="530"/>
      <c r="E13" s="530"/>
      <c r="F13" s="530"/>
      <c r="G13" s="533"/>
      <c r="H13" s="539"/>
      <c r="I13" s="539"/>
      <c r="J13" s="530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8" t="s">
        <v>1008</v>
      </c>
      <c r="D38" s="548"/>
      <c r="E38" s="548"/>
      <c r="F38" s="548"/>
      <c r="G38" s="77" t="s">
        <v>9</v>
      </c>
      <c r="H38" s="55">
        <f ca="1">SUM(H14:H37)</f>
        <v>0</v>
      </c>
      <c r="I38" s="55">
        <f ca="1">SUM(I14:I37)</f>
        <v>11874400</v>
      </c>
      <c r="J38" s="55">
        <f ca="1">SUM(J14:J37)</f>
        <v>0</v>
      </c>
      <c r="K38" s="55">
        <f ca="1">SUM(K14:K37)</f>
        <v>11874400</v>
      </c>
      <c r="L38" s="44"/>
      <c r="R38" s="99"/>
      <c r="S38" s="99"/>
      <c r="T38" s="99"/>
    </row>
    <row r="39" spans="1:20" s="36" customFormat="1">
      <c r="A39" s="30"/>
      <c r="B39" s="56"/>
      <c r="C39" s="549" t="s">
        <v>462</v>
      </c>
      <c r="D39" s="549"/>
      <c r="E39" s="549"/>
      <c r="F39" s="549"/>
      <c r="G39" s="59" t="s">
        <v>9</v>
      </c>
      <c r="H39" s="60">
        <f ca="1">H38*0.1</f>
        <v>0</v>
      </c>
      <c r="I39" s="60">
        <f ca="1">I38*0.1</f>
        <v>1187440</v>
      </c>
      <c r="J39" s="60">
        <f ca="1">J38*0.1</f>
        <v>0</v>
      </c>
      <c r="K39" s="60">
        <f ca="1">K38*0.1</f>
        <v>1187440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13061840</v>
      </c>
      <c r="J40" s="61">
        <f ca="1">SUM(J38:J39)</f>
        <v>0</v>
      </c>
      <c r="K40" s="61">
        <f ca="1">SUM(K38:K39)</f>
        <v>13061840</v>
      </c>
      <c r="L40" s="44"/>
      <c r="R40" s="99"/>
      <c r="S40" s="99"/>
      <c r="T40" s="99"/>
    </row>
    <row r="41" spans="1:20" s="36" customFormat="1">
      <c r="A41" s="30"/>
      <c r="B41" s="541" t="e">
        <f ca="1">"Terbilang : ( "&amp;L42&amp;" Rupiah )"</f>
        <v>#NAME?</v>
      </c>
      <c r="C41" s="542"/>
      <c r="D41" s="542"/>
      <c r="E41" s="542"/>
      <c r="F41" s="542"/>
      <c r="G41" s="542"/>
      <c r="H41" s="542"/>
      <c r="I41" s="542"/>
      <c r="J41" s="542"/>
      <c r="K41" s="543"/>
      <c r="L41" s="44"/>
      <c r="R41" s="58"/>
      <c r="S41" s="58"/>
      <c r="T41" s="58"/>
    </row>
    <row r="42" spans="1:20" s="36" customFormat="1">
      <c r="A42" s="30"/>
      <c r="B42" s="544"/>
      <c r="C42" s="545"/>
      <c r="D42" s="545"/>
      <c r="E42" s="545"/>
      <c r="F42" s="545"/>
      <c r="G42" s="545"/>
      <c r="H42" s="545"/>
      <c r="I42" s="545"/>
      <c r="J42" s="545"/>
      <c r="K42" s="54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SUMIFS(RAB!$F$14:$F$130,RAB!$C$14:$C$130,'REKAP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SUMIFS(RAB!$F$14:$F$130,RAB!$C$14:$C$130,'REKAP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SUMIFS(RAB!$F$14:$F$130,RAB!$C$14:$C$130,'REKAP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SUMIFS(RAB!$F$14:$F$130,RAB!$C$14:$C$130,'REKAP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SUMIFS(RAB!$F$14:$F$130,RAB!$C$14:$C$130,'REKAP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SUMIFS(RAB!$F$14:$F$130,RAB!$C$14:$C$130,'REKAP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SUMIFS(RAB!$F$14:$F$130,RAB!$C$14:$C$130,'REKAP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SUMIFS(RAB!$F$14:$F$130,RAB!$C$14:$C$130,'REKAP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SUMIFS(RAB!$F$14:$F$130,RAB!$C$14:$C$130,'REKAP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SUMIFS(RAB!$F$14:$F$130,RAB!$C$14:$C$130,'REKAP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SUMIFS(RAB!$F$14:$F$130,RAB!$C$14:$C$130,'REKAP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SUMIFS(RAB!$F$14:$F$130,RAB!$C$14:$C$130,'REKAP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SUMIFS(RAB!$F$14:$F$130,RAB!$C$14:$C$130,'REKAP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SUMIFS(RAB!$F$14:$F$130,RAB!$C$14:$C$130,'REKAP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SUMIFS(RAB!$F$14:$F$130,RAB!$C$14:$C$130,'REKAP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SUMIFS(RAB!$F$14:$F$130,RAB!$C$14:$C$130,'REKAP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SUMIFS(RAB!$F$14:$F$130,RAB!$C$14:$C$130,'REKAP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SUMIFS(RAB!$F$14:$F$130,RAB!$C$14:$C$130,'REKAP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SUMIFS(RAB!$F$14:$F$130,RAB!$C$14:$C$130,'REKAP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SUMIFS(RAB!$F$14:$F$130,RAB!$C$14:$C$130,'REKAP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3" t="s">
        <v>1034</v>
      </c>
      <c r="C4" s="523"/>
      <c r="D4" s="523"/>
      <c r="E4" s="523"/>
      <c r="F4" s="523"/>
      <c r="G4" s="523"/>
      <c r="H4" s="523"/>
      <c r="I4" s="523"/>
      <c r="J4" s="523"/>
      <c r="K4" s="52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7" t="str">
        <f>RAB!G6</f>
        <v>AGR UD EL RUTAB</v>
      </c>
      <c r="H6" s="547"/>
      <c r="I6" s="547"/>
      <c r="J6" s="547"/>
      <c r="K6" s="54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TANJUNGANYAT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4" t="s">
        <v>0</v>
      </c>
      <c r="C11" s="526" t="s">
        <v>1</v>
      </c>
      <c r="D11" s="529" t="s">
        <v>42</v>
      </c>
      <c r="E11" s="529" t="s">
        <v>43</v>
      </c>
      <c r="F11" s="529" t="s">
        <v>2</v>
      </c>
      <c r="G11" s="531" t="s">
        <v>41</v>
      </c>
      <c r="H11" s="529" t="s">
        <v>3</v>
      </c>
      <c r="I11" s="529"/>
      <c r="J11" s="529"/>
      <c r="K11" s="534"/>
      <c r="M11" s="33"/>
      <c r="N11" s="33"/>
      <c r="O11" s="33"/>
      <c r="P11" s="33"/>
      <c r="R11" s="34"/>
      <c r="S11" s="74"/>
      <c r="T11" s="74"/>
    </row>
    <row r="12" spans="1:21" ht="15" customHeight="1">
      <c r="B12" s="525"/>
      <c r="C12" s="527"/>
      <c r="D12" s="530"/>
      <c r="E12" s="530"/>
      <c r="F12" s="530"/>
      <c r="G12" s="532"/>
      <c r="H12" s="538" t="s">
        <v>46</v>
      </c>
      <c r="I12" s="538" t="s">
        <v>5</v>
      </c>
      <c r="J12" s="530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5"/>
      <c r="C13" s="528"/>
      <c r="D13" s="530"/>
      <c r="E13" s="530"/>
      <c r="F13" s="530"/>
      <c r="G13" s="533"/>
      <c r="H13" s="539"/>
      <c r="I13" s="539"/>
      <c r="J13" s="530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5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884500</v>
      </c>
      <c r="I21" s="42">
        <f t="shared" ca="1" si="2"/>
        <v>0</v>
      </c>
      <c r="J21" s="42">
        <f t="shared" ca="1" si="3"/>
        <v>0</v>
      </c>
      <c r="K21" s="43">
        <f t="shared" ca="1" si="0"/>
        <v>884500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89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1263800</v>
      </c>
      <c r="I23" s="42">
        <f t="shared" ca="1" si="2"/>
        <v>0</v>
      </c>
      <c r="J23" s="42">
        <f t="shared" ca="1" si="3"/>
        <v>0</v>
      </c>
      <c r="K23" s="43">
        <f t="shared" ca="1" si="0"/>
        <v>1263800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94700</v>
      </c>
      <c r="H25" s="42">
        <f t="shared" ca="1" si="1"/>
        <v>4166800</v>
      </c>
      <c r="I25" s="42">
        <f t="shared" ca="1" si="2"/>
        <v>0</v>
      </c>
      <c r="J25" s="42">
        <f t="shared" ca="1" si="3"/>
        <v>0</v>
      </c>
      <c r="K25" s="43">
        <f t="shared" ca="1" si="0"/>
        <v>4166800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8" t="s">
        <v>1008</v>
      </c>
      <c r="D168" s="548"/>
      <c r="E168" s="548"/>
      <c r="F168" s="548"/>
      <c r="G168" s="77" t="s">
        <v>9</v>
      </c>
      <c r="H168" s="55">
        <f ca="1">SUM(H14:H167)</f>
        <v>86341750</v>
      </c>
      <c r="I168" s="55">
        <f ca="1">SUM(I14:I167)</f>
        <v>0</v>
      </c>
      <c r="J168" s="55">
        <f ca="1">SUM(J14:J167)</f>
        <v>0</v>
      </c>
      <c r="K168" s="55">
        <f ca="1">SUM(K14:K167)</f>
        <v>86341750</v>
      </c>
      <c r="L168" s="44"/>
      <c r="R168" s="99"/>
      <c r="S168" s="99"/>
      <c r="T168" s="99"/>
    </row>
    <row r="169" spans="1:20" s="36" customFormat="1">
      <c r="A169" s="30"/>
      <c r="B169" s="56"/>
      <c r="C169" s="549" t="s">
        <v>462</v>
      </c>
      <c r="D169" s="549"/>
      <c r="E169" s="549"/>
      <c r="F169" s="549"/>
      <c r="G169" s="59" t="s">
        <v>9</v>
      </c>
      <c r="H169" s="60">
        <f ca="1">H168*0.1</f>
        <v>8634175</v>
      </c>
      <c r="I169" s="60">
        <f ca="1">I168*0.1</f>
        <v>0</v>
      </c>
      <c r="J169" s="60">
        <f ca="1">J168*0.1</f>
        <v>0</v>
      </c>
      <c r="K169" s="60">
        <f ca="1">K168*0.1</f>
        <v>8634175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94975925</v>
      </c>
      <c r="I170" s="78">
        <f ca="1">SUM(I168:I169)</f>
        <v>0</v>
      </c>
      <c r="J170" s="61">
        <f ca="1">SUM(J168:J169)</f>
        <v>0</v>
      </c>
      <c r="K170" s="61">
        <f ca="1">SUM(K168:K169)</f>
        <v>94975925</v>
      </c>
      <c r="L170" s="44"/>
      <c r="R170" s="99"/>
      <c r="S170" s="99"/>
      <c r="T170" s="99"/>
    </row>
    <row r="171" spans="1:20" s="36" customFormat="1">
      <c r="A171" s="30"/>
      <c r="B171" s="541" t="e">
        <f ca="1">"Terbilang : ( "&amp;L172&amp;" Rupiah )"</f>
        <v>#NAME?</v>
      </c>
      <c r="C171" s="542"/>
      <c r="D171" s="542"/>
      <c r="E171" s="542"/>
      <c r="F171" s="542"/>
      <c r="G171" s="542"/>
      <c r="H171" s="542"/>
      <c r="I171" s="542"/>
      <c r="J171" s="542"/>
      <c r="K171" s="543"/>
      <c r="L171" s="44"/>
      <c r="R171" s="58"/>
      <c r="S171" s="58"/>
      <c r="T171" s="58"/>
    </row>
    <row r="172" spans="1:20" s="36" customFormat="1">
      <c r="A172" s="30"/>
      <c r="B172" s="544"/>
      <c r="C172" s="545"/>
      <c r="D172" s="545"/>
      <c r="E172" s="545"/>
      <c r="F172" s="545"/>
      <c r="G172" s="545"/>
      <c r="H172" s="545"/>
      <c r="I172" s="545"/>
      <c r="J172" s="545"/>
      <c r="K172" s="54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SUMIFS(RAB!$F$14:$F$130,RAB!$C$14:$C$130,C224)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SUMIFS(RAB!$F$14:$F$130,RAB!$C$14:$C$130,C225)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SUMIFS(RAB!$F$14:$F$130,RAB!$C$14:$C$130,C226)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SUMIFS(RAB!$F$14:$F$130,RAB!$C$14:$C$130,C227)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SUMIFS(RAB!$F$14:$F$130,RAB!$C$14:$C$130,C228)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SUMIFS(RAB!$F$14:$F$130,RAB!$C$14:$C$130,C229)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SUMIFS(RAB!$F$14:$F$130,RAB!$C$14:$C$130,C230)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SUMIFS(RAB!$F$14:$F$130,RAB!$C$14:$C$130,C231)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SUMIFS(RAB!$F$14:$F$130,RAB!$C$14:$C$130,C232)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SUMIFS(RAB!$F$14:$F$130,RAB!$C$14:$C$130,C233)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SUMIFS(RAB!$F$14:$F$130,RAB!$C$14:$C$130,C234)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SUMIFS(RAB!$F$14:$F$130,RAB!$C$14:$C$130,C235)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SUMIFS(RAB!$F$14:$F$130,RAB!$C$14:$C$130,C236)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SUMIFS(RAB!$F$14:$F$130,RAB!$C$14:$C$130,C237)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SUMIFS(RAB!$F$14:$F$130,RAB!$C$14:$C$130,C238)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SUMIFS(RAB!$F$14:$F$130,RAB!$C$14:$C$130,C239)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SUMIFS(RAB!$F$14:$F$130,RAB!$C$14:$C$130,C240)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SUMIFS(RAB!$F$14:$F$130,RAB!$C$14:$C$130,C241)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SUMIFS(RAB!$F$14:$F$130,RAB!$C$14:$C$130,C242)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SUMIFS(RAB!$F$14:$F$130,RAB!$C$14:$C$130,C243)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SUMIFS(RAB!$F$14:$F$130,RAB!$C$14:$C$130,C244)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SUMIFS(RAB!$F$14:$F$130,RAB!$C$14:$C$130,C245)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SUMIFS(RAB!$F$14:$F$130,RAB!$C$14:$C$130,C246)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SUMIFS(RAB!$F$14:$F$130,RAB!$C$14:$C$130,C247)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SUMIFS(RAB!$F$14:$F$130,RAB!$C$14:$C$130,C248)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SUMIFS(RAB!$F$14:$F$130,RAB!$C$14:$C$130,C249)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SUMIFS(RAB!$F$14:$F$130,RAB!$C$14:$C$130,C250)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SUMIFS(RAB!$F$14:$F$130,RAB!$C$14:$C$130,C251)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SUMIFS(RAB!$F$14:$F$130,RAB!$C$14:$C$130,C252)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SUMIFS(RAB!$F$14:$F$130,RAB!$C$14:$C$130,C253)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SUMIFS(RAB!$F$14:$F$130,RAB!$C$14:$C$130,C254)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SUMIFS(RAB!$F$14:$F$130,RAB!$C$14:$C$130,C255)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SUMIFS(RAB!$F$14:$F$130,RAB!$C$14:$C$130,C256)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SUMIFS(RAB!$F$14:$F$130,RAB!$C$14:$C$130,C257)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SUMIFS(RAB!$F$14:$F$130,RAB!$C$14:$C$130,C258)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SUMIFS(RAB!$F$14:$F$130,RAB!$C$14:$C$130,C259)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SUMIFS(RAB!$F$14:$F$130,RAB!$C$14:$C$130,C260)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SUMIFS(RAB!$F$14:$F$130,RAB!$C$14:$C$130,C261)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SUMIFS(RAB!$F$14:$F$130,RAB!$C$14:$C$130,C262)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SUMIFS(RAB!$F$14:$F$130,RAB!$C$14:$C$130,C263)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SUMIFS(RAB!$F$14:$F$130,RAB!$C$14:$C$130,C264)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SUMIFS(RAB!$F$14:$F$130,RAB!$C$14:$C$130,C265)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SUMIFS(RAB!$F$14:$F$130,RAB!$C$14:$C$130,C266)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SUMIFS(RAB!$F$14:$F$130,RAB!$C$14:$C$130,C267)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SUMIFS(RAB!$F$14:$F$130,RAB!$C$14:$C$130,C268)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SUMIFS(RAB!$F$14:$F$130,RAB!$C$14:$C$130,C269)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SUMIFS(RAB!$F$14:$F$130,RAB!$C$14:$C$130,C270)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SUMIFS(RAB!$F$14:$F$130,RAB!$C$14:$C$130,C271)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SUMIFS(RAB!$F$14:$F$130,RAB!$C$14:$C$130,C272)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SUMIFS(RAB!$F$14:$F$130,RAB!$C$14:$C$130,C273)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SUMIFS(RAB!$F$14:$F$130,RAB!$C$14:$C$130,C274)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SUMIFS(RAB!$F$14:$F$130,RAB!$C$14:$C$130,C275)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SUMIFS(RAB!$F$14:$F$130,RAB!$C$14:$C$130,C276)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SUMIFS(RAB!$F$14:$F$130,RAB!$C$14:$C$130,C277)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SUMIFS(RAB!$F$14:$F$130,RAB!$C$14:$C$130,C278)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SUMIFS(RAB!$F$14:$F$130,RAB!$C$14:$C$130,C279)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SUMIFS(RAB!$F$14:$F$130,RAB!$C$14:$C$130,C280)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SUMIFS(RAB!$F$14:$F$130,RAB!$C$14:$C$130,C281)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SUMIFS(RAB!$F$14:$F$130,RAB!$C$14:$C$130,C282)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SUMIFS(RAB!$F$14:$F$130,RAB!$C$14:$C$130,C283)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SUMIFS(RAB!$F$14:$F$130,RAB!$C$14:$C$130,C284)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SUMIFS(RAB!$F$14:$F$130,RAB!$C$14:$C$130,C285)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SUMIFS(RAB!$F$14:$F$130,RAB!$C$14:$C$130,C286)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SUMIFS(RAB!$F$14:$F$130,RAB!$C$14:$C$130,C287)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SUMIFS(RAB!$F$14:$F$130,RAB!$C$14:$C$130,C288)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SUMIFS(RAB!$F$14:$F$130,RAB!$C$14:$C$130,C289)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SUMIFS(RAB!$F$14:$F$130,RAB!$C$14:$C$130,C290)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SUMIFS(RAB!$F$14:$F$130,RAB!$C$14:$C$130,C291)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SUMIFS(RAB!$F$14:$F$130,RAB!$C$14:$C$130,C292)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SUMIFS(RAB!$F$14:$F$130,RAB!$C$14:$C$130,C293)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SUMIFS(RAB!$F$14:$F$130,RAB!$C$14:$C$130,C294)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SUMIFS(RAB!$F$14:$F$130,RAB!$C$14:$C$130,C295)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SUMIFS(RAB!$F$14:$F$130,RAB!$C$14:$C$130,C296)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SUMIFS(RAB!$F$14:$F$130,RAB!$C$14:$C$130,C297)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SUMIFS(RAB!$F$14:$F$130,RAB!$C$14:$C$130,C298)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SUMIFS(RAB!$F$14:$F$130,RAB!$C$14:$C$130,C299)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SUMIFS(RAB!$F$14:$F$130,RAB!$C$14:$C$130,C300)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SUMIFS(RAB!$F$14:$F$130,RAB!$C$14:$C$130,C301)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SUMIFS(RAB!$F$14:$F$130,RAB!$C$14:$C$130,C302)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SUMIFS(RAB!$F$14:$F$130,RAB!$C$14:$C$130,C303)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SUMIFS(RAB!$F$14:$F$130,RAB!$C$14:$C$130,C304)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SUMIFS(RAB!$F$14:$F$130,RAB!$C$14:$C$130,C305)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SUMIFS(RAB!$F$14:$F$130,RAB!$C$14:$C$130,C306)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SUMIFS(RAB!$F$14:$F$130,RAB!$C$14:$C$130,C307)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SUMIFS(RAB!$F$14:$F$130,RAB!$C$14:$C$130,C308)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SUMIFS(RAB!$F$14:$F$130,RAB!$C$14:$C$130,C309)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SUMIFS(RAB!$F$14:$F$130,RAB!$C$14:$C$130,C310)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SUMIFS(RAB!$F$14:$F$130,RAB!$C$14:$C$130,C311)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SUMIFS(RAB!$F$14:$F$130,RAB!$C$14:$C$130,C312)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SUMIFS(RAB!$F$14:$F$130,RAB!$C$14:$C$130,C313)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SUMIFS(RAB!$F$14:$F$130,RAB!$C$14:$C$130,C314)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SUMIFS(RAB!$F$14:$F$130,RAB!$C$14:$C$130,C315)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SUMIFS(RAB!$F$14:$F$130,RAB!$C$14:$C$130,C316)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SUMIFS(RAB!$F$14:$F$130,RAB!$C$14:$C$130,C317)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SUMIFS(RAB!$F$14:$F$130,RAB!$C$14:$C$130,C318)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SUMIFS(RAB!$F$14:$F$130,RAB!$C$14:$C$130,C319)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SUMIFS(RAB!$F$14:$F$130,RAB!$C$14:$C$130,C320)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SUMIFS(RAB!$F$14:$F$130,RAB!$C$14:$C$130,C321)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SUMIFS(RAB!$F$14:$F$130,RAB!$C$14:$C$130,C322)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SUMIFS(RAB!$F$14:$F$130,RAB!$C$14:$C$130,C323)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SUMIFS(RAB!$F$14:$F$130,RAB!$C$14:$C$130,C324)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SUMIFS(RAB!$F$14:$F$130,RAB!$C$14:$C$130,C325)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SUMIFS(RAB!$F$14:$F$130,RAB!$C$14:$C$130,C326)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SUMIFS(RAB!$F$14:$F$130,RAB!$C$14:$C$130,C327)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SUMIFS(RAB!$F$14:$F$130,RAB!$C$14:$C$130,C328)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SUMIFS(RAB!$F$14:$F$130,RAB!$C$14:$C$130,C329)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SUMIFS(RAB!$F$14:$F$130,RAB!$C$14:$C$130,C330)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SUMIFS(RAB!$F$14:$F$130,RAB!$C$14:$C$130,C331)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SUMIFS(RAB!$F$14:$F$130,RAB!$C$14:$C$130,C332)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SUMIFS(RAB!$F$14:$F$130,RAB!$C$14:$C$130,C333)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SUMIFS(RAB!$F$14:$F$130,RAB!$C$14:$C$130,C334)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SUMIFS(RAB!$F$14:$F$130,RAB!$C$14:$C$130,C335)</f>
        <v>5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SUMIFS(RAB!$F$14:$F$130,RAB!$C$14:$C$130,C336)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SUMIFS(RAB!$F$14:$F$130,RAB!$C$14:$C$130,C337)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SUMIFS(RAB!$F$14:$F$130,RAB!$C$14:$C$130,C338)</f>
        <v>89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SUMIFS(RAB!$F$14:$F$130,RAB!$C$14:$C$130,C339)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SUMIFS(RAB!$F$14:$F$130,RAB!$C$14:$C$130,C340)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SUMIFS(RAB!$F$14:$F$130,RAB!$C$14:$C$130,C341)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SUMIFS(RAB!$F$14:$F$130,RAB!$C$14:$C$130,C342)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SUMIFS(RAB!$F$14:$F$130,RAB!$C$14:$C$130,C343)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SUMIFS(RAB!$F$14:$F$130,RAB!$C$14:$C$130,C344)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SUMIFS(RAB!$F$14:$F$130,RAB!$C$14:$C$130,C345)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SUMIFS(RAB!$F$14:$F$130,RAB!$C$14:$C$130,C346)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SUMIFS(RAB!$F$14:$F$130,RAB!$C$14:$C$130,C347)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SUMIFS(RAB!$F$14:$F$130,RAB!$C$14:$C$130,C348)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SUMIFS(RAB!$F$14:$F$130,RAB!$C$14:$C$130,C349)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SUMIFS(RAB!$F$14:$F$130,RAB!$C$14:$C$130,C350)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SUMIFS(RAB!$F$14:$F$130,RAB!$C$14:$C$130,C351)</f>
        <v>44</v>
      </c>
      <c r="E351" s="24">
        <f t="shared" ca="1" si="22"/>
        <v>1</v>
      </c>
      <c r="F351" s="24">
        <f ca="1">IF(D351=0,0,SUM($E$223:E351))</f>
        <v>10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SUMIFS(RAB!$F$14:$F$130,RAB!$C$14:$C$130,C352)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SUMIFS(RAB!$F$14:$F$130,RAB!$C$14:$C$130,C353)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SUMIFS(RAB!$F$14:$F$130,RAB!$C$14:$C$130,C354)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SUMIFS(RAB!$F$14:$F$130,RAB!$C$14:$C$130,C355)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SUMIFS(RAB!$F$14:$F$130,RAB!$C$14:$C$130,C356)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SUMIFS(RAB!$F$14:$F$130,RAB!$C$14:$C$130,C357)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SUMIFS(RAB!$F$14:$F$130,RAB!$C$14:$C$130,C358)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SUMIFS(RAB!$F$14:$F$130,RAB!$C$14:$C$130,C359)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SUMIFS(RAB!$F$14:$F$130,RAB!$C$14:$C$130,C360)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SUMIFS(RAB!$F$14:$F$130,RAB!$C$14:$C$130,C361)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SUMIFS(RAB!$F$14:$F$130,RAB!$C$14:$C$130,C362)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SUMIFS(RAB!$F$14:$F$130,RAB!$C$14:$C$130,C363)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SUMIFS(RAB!$F$14:$F$130,RAB!$C$14:$C$130,C364)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SUMIFS(RAB!$F$14:$F$130,RAB!$C$14:$C$130,C365)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SUMIFS(RAB!$F$14:$F$130,RAB!$C$14:$C$130,C366)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SUMIFS(RAB!$F$14:$F$130,RAB!$C$14:$C$130,C367)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SUMIFS(RAB!$F$14:$F$130,RAB!$C$14:$C$130,C368)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SUMIFS(RAB!$F$14:$F$130,RAB!$C$14:$C$130,C369)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SUMIFS(RAB!$F$14:$F$130,RAB!$C$14:$C$130,C370)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SUMIFS(RAB!$F$14:$F$130,RAB!$C$14:$C$130,C371)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SUMIFS(RAB!$F$14:$F$130,RAB!$C$14:$C$130,C372)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SUMIFS(RAB!$F$14:$F$130,RAB!$C$14:$C$130,C373)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43" activePane="bottomRight" state="frozen"/>
      <selection activeCell="D209" sqref="D209"/>
      <selection pane="topRight" activeCell="D209" sqref="D209"/>
      <selection pane="bottomLeft" activeCell="D209" sqref="D209"/>
      <selection pane="bottomRight" activeCell="H273" sqref="H27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1" t="s">
        <v>41</v>
      </c>
      <c r="C2" s="55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2" t="s">
        <v>23</v>
      </c>
      <c r="C4" s="553" t="s">
        <v>1012</v>
      </c>
      <c r="D4" s="553" t="s">
        <v>42</v>
      </c>
      <c r="E4" s="552" t="s">
        <v>43</v>
      </c>
      <c r="F4" s="108" t="s">
        <v>1610</v>
      </c>
      <c r="G4" s="108" t="s">
        <v>1609</v>
      </c>
      <c r="H4" s="55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2"/>
      <c r="C5" s="553"/>
      <c r="D5" s="553"/>
      <c r="E5" s="552"/>
      <c r="F5" s="93"/>
      <c r="G5" s="93"/>
      <c r="H5" s="550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O24" sqref="O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5" t="s">
        <v>1454</v>
      </c>
      <c r="C2" s="585"/>
      <c r="D2" s="585"/>
      <c r="E2" s="58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0" t="s">
        <v>1533</v>
      </c>
      <c r="C4" s="591"/>
      <c r="D4" s="591"/>
      <c r="E4" s="592"/>
      <c r="F4" s="436"/>
      <c r="G4" s="436"/>
      <c r="H4" s="437"/>
      <c r="I4" s="554" t="s">
        <v>1534</v>
      </c>
      <c r="J4" s="555"/>
      <c r="K4" s="555"/>
      <c r="L4" s="556"/>
    </row>
    <row r="5" spans="1:12" ht="34.5" customHeight="1">
      <c r="A5" s="204"/>
      <c r="B5" s="439" t="s">
        <v>1379</v>
      </c>
      <c r="C5" s="277" t="s">
        <v>9</v>
      </c>
      <c r="D5" s="586" t="str">
        <f>DATA!D14</f>
        <v>AGR UD EL RUTAB</v>
      </c>
      <c r="E5" s="587"/>
      <c r="F5" s="208"/>
      <c r="G5" s="208"/>
      <c r="I5" s="440" t="s">
        <v>1379</v>
      </c>
      <c r="J5" s="277" t="s">
        <v>9</v>
      </c>
      <c r="K5" s="557" t="str">
        <f>D5</f>
        <v>AGR UD EL RUTAB</v>
      </c>
      <c r="L5" s="558"/>
    </row>
    <row r="6" spans="1:12" ht="31.5" customHeight="1">
      <c r="A6" s="204"/>
      <c r="B6" s="439" t="s">
        <v>1530</v>
      </c>
      <c r="C6" s="277" t="s">
        <v>9</v>
      </c>
      <c r="D6" s="595">
        <f>DATA!D17*1000</f>
        <v>0</v>
      </c>
      <c r="E6" s="596"/>
      <c r="F6" s="208"/>
      <c r="G6" s="208"/>
      <c r="I6" s="440" t="s">
        <v>1531</v>
      </c>
      <c r="J6" s="277" t="s">
        <v>9</v>
      </c>
      <c r="K6" s="559">
        <f>DATA!D20*1000</f>
        <v>105000</v>
      </c>
      <c r="L6" s="560"/>
    </row>
    <row r="7" spans="1:12" ht="30.75" customHeight="1">
      <c r="A7" s="204"/>
      <c r="B7" s="439" t="s">
        <v>1441</v>
      </c>
      <c r="C7" s="277" t="s">
        <v>9</v>
      </c>
      <c r="D7" s="593">
        <f>DATA!D18</f>
        <v>1</v>
      </c>
      <c r="E7" s="594"/>
      <c r="F7" s="438" t="s">
        <v>1453</v>
      </c>
      <c r="I7" s="440" t="s">
        <v>1441</v>
      </c>
      <c r="J7" s="277" t="s">
        <v>9</v>
      </c>
      <c r="K7" s="561">
        <f>DATA!D21</f>
        <v>3</v>
      </c>
      <c r="L7" s="562"/>
    </row>
    <row r="8" spans="1:12" ht="51" customHeight="1">
      <c r="A8" s="204"/>
      <c r="B8" s="439" t="s">
        <v>1442</v>
      </c>
      <c r="C8" s="277" t="s">
        <v>9</v>
      </c>
      <c r="D8" s="593">
        <f>DATA!D19</f>
        <v>220</v>
      </c>
      <c r="E8" s="594"/>
      <c r="F8" s="438" t="s">
        <v>1453</v>
      </c>
      <c r="G8" s="433">
        <v>220</v>
      </c>
      <c r="I8" s="440" t="s">
        <v>1442</v>
      </c>
      <c r="J8" s="277" t="s">
        <v>9</v>
      </c>
      <c r="K8" s="561">
        <f>DATA!D22</f>
        <v>380</v>
      </c>
      <c r="L8" s="562"/>
    </row>
    <row r="9" spans="1:12" ht="30" customHeight="1" thickBot="1">
      <c r="A9" s="204"/>
      <c r="B9" s="445" t="s">
        <v>1542</v>
      </c>
      <c r="C9" s="435" t="s">
        <v>9</v>
      </c>
      <c r="D9" s="588">
        <f>IF(D7=1,D6/(380/3^0.5),(D6/(380*3^0.5)))</f>
        <v>0</v>
      </c>
      <c r="E9" s="589"/>
      <c r="F9" s="207"/>
      <c r="G9" s="434">
        <v>380</v>
      </c>
      <c r="I9" s="446" t="s">
        <v>1542</v>
      </c>
      <c r="J9" s="435" t="s">
        <v>9</v>
      </c>
      <c r="K9" s="565">
        <f>IF(K7=1,K6/(380/3^0.5),(K6/(380*3^0.5)))</f>
        <v>159.53099543397556</v>
      </c>
      <c r="L9" s="566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97"/>
      <c r="E12" s="598"/>
      <c r="F12" s="208"/>
      <c r="G12" s="208"/>
      <c r="I12" s="462" t="s">
        <v>1535</v>
      </c>
      <c r="J12" s="463" t="s">
        <v>9</v>
      </c>
      <c r="K12" s="597" t="s">
        <v>1633</v>
      </c>
      <c r="L12" s="598"/>
    </row>
    <row r="13" spans="1:12" ht="31.5" customHeight="1">
      <c r="A13" s="204"/>
      <c r="B13" s="470" t="s">
        <v>1380</v>
      </c>
      <c r="C13" s="450" t="s">
        <v>9</v>
      </c>
      <c r="D13" s="563"/>
      <c r="E13" s="564"/>
      <c r="F13" s="208"/>
      <c r="G13" s="208"/>
      <c r="I13" s="464" t="s">
        <v>1380</v>
      </c>
      <c r="J13" s="450" t="s">
        <v>9</v>
      </c>
      <c r="K13" s="563" t="s">
        <v>1634</v>
      </c>
      <c r="L13" s="564"/>
    </row>
    <row r="14" spans="1:12" ht="30.75" customHeight="1">
      <c r="A14" s="204"/>
      <c r="B14" s="470" t="s">
        <v>1536</v>
      </c>
      <c r="C14" s="450" t="s">
        <v>9</v>
      </c>
      <c r="D14" s="567"/>
      <c r="E14" s="568"/>
      <c r="F14" s="438" t="s">
        <v>1453</v>
      </c>
      <c r="G14" s="442">
        <v>50</v>
      </c>
      <c r="I14" s="464" t="s">
        <v>1536</v>
      </c>
      <c r="J14" s="450" t="s">
        <v>9</v>
      </c>
      <c r="K14" s="569">
        <v>100</v>
      </c>
      <c r="L14" s="570"/>
    </row>
    <row r="15" spans="1:12" ht="57" customHeight="1">
      <c r="A15" s="204"/>
      <c r="B15" s="470" t="s">
        <v>1441</v>
      </c>
      <c r="C15" s="450" t="s">
        <v>9</v>
      </c>
      <c r="D15" s="456"/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71">
        <v>65</v>
      </c>
      <c r="E16" s="572"/>
      <c r="F16" s="438"/>
      <c r="G16" s="442">
        <v>160</v>
      </c>
      <c r="I16" s="464" t="s">
        <v>1538</v>
      </c>
      <c r="J16" s="450" t="s">
        <v>9</v>
      </c>
      <c r="K16" s="575">
        <f>K9</f>
        <v>159.53099543397556</v>
      </c>
      <c r="L16" s="576"/>
    </row>
    <row r="17" spans="1:12" ht="34.5" customHeight="1">
      <c r="A17" s="204"/>
      <c r="B17" s="470" t="s">
        <v>1539</v>
      </c>
      <c r="C17" s="450" t="s">
        <v>9</v>
      </c>
      <c r="D17" s="573">
        <f>IF(D15=1,D14/(20/3^0.5),(D14/(20*3^0.5)))</f>
        <v>0</v>
      </c>
      <c r="E17" s="574"/>
      <c r="F17" s="438" t="s">
        <v>1453</v>
      </c>
      <c r="G17" s="443">
        <v>200</v>
      </c>
      <c r="I17" s="464" t="s">
        <v>1539</v>
      </c>
      <c r="J17" s="450" t="s">
        <v>9</v>
      </c>
      <c r="K17" s="579">
        <f>IF(K15=1,K14/(20/3^0.5),(K14/(20*3^0.5)))</f>
        <v>2.8867513459481291</v>
      </c>
      <c r="L17" s="580"/>
    </row>
    <row r="18" spans="1:12" ht="34.5" customHeight="1">
      <c r="A18" s="204"/>
      <c r="B18" s="470" t="s">
        <v>1540</v>
      </c>
      <c r="C18" s="450" t="s">
        <v>9</v>
      </c>
      <c r="D18" s="573">
        <f>IF(D15=1,D14/(380/3^0.5),(D14/(380*3^0.5)))*1000</f>
        <v>0</v>
      </c>
      <c r="E18" s="574"/>
      <c r="F18" s="438" t="s">
        <v>1453</v>
      </c>
      <c r="G18" s="443">
        <v>250</v>
      </c>
      <c r="I18" s="464" t="s">
        <v>1540</v>
      </c>
      <c r="J18" s="450" t="s">
        <v>9</v>
      </c>
      <c r="K18" s="579">
        <f>IF(K15=1,K14/(380/3^0.5),(K14/(380*3^0.5)))*1000</f>
        <v>151.93428136569102</v>
      </c>
      <c r="L18" s="580"/>
    </row>
    <row r="19" spans="1:12" ht="30" customHeight="1">
      <c r="A19" s="204"/>
      <c r="B19" s="471" t="s">
        <v>1532</v>
      </c>
      <c r="C19" s="449" t="s">
        <v>9</v>
      </c>
      <c r="D19" s="573">
        <f>IF(D15=1,D14/(380/3^0.5),(D14/(380*3^0.5)))</f>
        <v>0</v>
      </c>
      <c r="E19" s="574"/>
      <c r="F19" s="207"/>
      <c r="G19" s="434"/>
      <c r="I19" s="466" t="s">
        <v>1532</v>
      </c>
      <c r="J19" s="449" t="s">
        <v>9</v>
      </c>
      <c r="K19" s="579">
        <f>IF(K15=1,K14/(380/3^0.5),(K14/(380*3^0.5)))</f>
        <v>0.15193428136569101</v>
      </c>
      <c r="L19" s="580"/>
    </row>
    <row r="20" spans="1:12" ht="30" customHeight="1" thickBot="1">
      <c r="A20" s="204"/>
      <c r="B20" s="472" t="s">
        <v>1541</v>
      </c>
      <c r="C20" s="468" t="s">
        <v>9</v>
      </c>
      <c r="D20" s="599" t="e">
        <f>D16/D18</f>
        <v>#DIV/0!</v>
      </c>
      <c r="E20" s="600"/>
      <c r="F20" s="207"/>
      <c r="G20" s="434"/>
      <c r="I20" s="467" t="s">
        <v>1532</v>
      </c>
      <c r="J20" s="468" t="s">
        <v>9</v>
      </c>
      <c r="K20" s="577">
        <f>K16/K18</f>
        <v>1.05</v>
      </c>
      <c r="L20" s="578"/>
    </row>
    <row r="21" spans="1:12" ht="9.75" customHeight="1">
      <c r="A21" s="204"/>
      <c r="B21" s="457" t="s">
        <v>1541</v>
      </c>
      <c r="C21" s="458" t="s">
        <v>9</v>
      </c>
      <c r="D21" s="584">
        <v>1</v>
      </c>
      <c r="E21" s="584"/>
      <c r="F21" s="459"/>
      <c r="G21" s="460"/>
      <c r="H21" s="461"/>
      <c r="I21" s="457" t="s">
        <v>1532</v>
      </c>
      <c r="J21" s="458" t="s">
        <v>9</v>
      </c>
      <c r="K21" s="584">
        <v>1</v>
      </c>
      <c r="L21" s="584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81"/>
      <c r="C24" s="582"/>
      <c r="D24" s="582"/>
      <c r="E24" s="583"/>
      <c r="I24" s="581"/>
      <c r="J24" s="582"/>
      <c r="K24" s="582"/>
      <c r="L24" s="583"/>
    </row>
    <row r="26" spans="1:12">
      <c r="D26" s="452"/>
    </row>
    <row r="27" spans="1:12">
      <c r="D27" s="45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Normal="100" workbookViewId="0">
      <selection activeCell="K25" sqref="K2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1"/>
      <c r="C1" s="601"/>
      <c r="D1" s="60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1612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RAB!K136</f>
        <v>131411979.60834999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2628239.5921669998</v>
      </c>
    </row>
    <row r="12" spans="2:11" ht="9" customHeight="1">
      <c r="B12" s="602"/>
      <c r="C12" s="602"/>
      <c r="D12" s="602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1635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1613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0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1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220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105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775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22" sqref="K22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9" t="s">
        <v>1357</v>
      </c>
      <c r="C3" s="609"/>
      <c r="D3" s="609"/>
      <c r="E3" s="609"/>
      <c r="F3" s="305" t="str">
        <f>DATA!D14</f>
        <v>AGR UD EL RUTAB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3" t="s">
        <v>1349</v>
      </c>
      <c r="C5" s="603" t="s">
        <v>1358</v>
      </c>
      <c r="D5" s="608" t="s">
        <v>1359</v>
      </c>
      <c r="E5" s="608" t="s">
        <v>1360</v>
      </c>
      <c r="F5" s="603" t="s">
        <v>1361</v>
      </c>
      <c r="G5" s="603"/>
      <c r="H5" s="603"/>
      <c r="I5" s="603"/>
      <c r="J5" s="603"/>
      <c r="K5" s="603" t="s">
        <v>1362</v>
      </c>
      <c r="L5" s="603"/>
      <c r="M5" s="307"/>
      <c r="N5" s="606" t="s">
        <v>1363</v>
      </c>
      <c r="O5" s="608" t="s">
        <v>1364</v>
      </c>
      <c r="P5" s="608" t="s">
        <v>1365</v>
      </c>
      <c r="Q5" s="608" t="s">
        <v>1366</v>
      </c>
      <c r="R5" s="308"/>
      <c r="S5" s="309"/>
      <c r="T5" s="604" t="s">
        <v>1367</v>
      </c>
      <c r="U5" s="310"/>
    </row>
    <row r="6" spans="1:21" ht="20.100000000000001" customHeight="1">
      <c r="B6" s="603"/>
      <c r="C6" s="603"/>
      <c r="D6" s="603"/>
      <c r="E6" s="60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7"/>
      <c r="O6" s="603"/>
      <c r="P6" s="603"/>
      <c r="Q6" s="603"/>
      <c r="R6" s="308"/>
      <c r="S6" s="309"/>
      <c r="T6" s="603"/>
      <c r="U6" s="312"/>
    </row>
    <row r="7" spans="1:21" ht="20.100000000000001" customHeight="1">
      <c r="A7" s="313">
        <v>0</v>
      </c>
      <c r="B7" s="314">
        <v>2023</v>
      </c>
      <c r="C7" s="473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131.41197960834998</v>
      </c>
      <c r="G7" s="318">
        <f ca="1">DATA!$D$11/1000000</f>
        <v>2.6282395921669996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171.28641927699647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-41.369499276996464</v>
      </c>
      <c r="O7" s="314">
        <v>1</v>
      </c>
      <c r="P7" s="316">
        <f ca="1">O7*N7</f>
        <v>-41.369499276996464</v>
      </c>
      <c r="Q7" s="316">
        <f ca="1">P7</f>
        <v>-41.369499276996464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2.6282395921669996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58.497539706886222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14.315340293113771</v>
      </c>
      <c r="O8" s="315">
        <f>1/(1+'[93]Asumsi I'!$C$3)^(KKF!A8)</f>
        <v>0.89285714285714279</v>
      </c>
      <c r="P8" s="316">
        <f ca="1">O8*N8</f>
        <v>12.781553833137295</v>
      </c>
      <c r="Q8" s="316">
        <f ca="1">Q7+P8</f>
        <v>-28.587945443859169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2.6282395921669996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58.497539706886222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14.315340293113771</v>
      </c>
      <c r="O9" s="322">
        <f>1/(1+'[93]Asumsi I'!$C$3)^(KKF!A9)</f>
        <v>0.79719387755102034</v>
      </c>
      <c r="P9" s="316">
        <f t="shared" ref="P9:P32" ca="1" si="7">O9*N9</f>
        <v>11.412101636729727</v>
      </c>
      <c r="Q9" s="316">
        <f ca="1">Q8+P9</f>
        <v>-17.175843807129443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2.6282395921669996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58.497539706886222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14.315340293113771</v>
      </c>
      <c r="O10" s="315">
        <f>1/(1+'[93]Asumsi I'!$C$3)^(KKF!A10)</f>
        <v>0.71178024781341087</v>
      </c>
      <c r="P10" s="316">
        <f t="shared" ca="1" si="7"/>
        <v>10.189376461365825</v>
      </c>
      <c r="Q10" s="316">
        <f t="shared" ref="Q10:Q30" ca="1" si="9">Q9+P10</f>
        <v>-6.9864673457636179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2.6282395921669996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58.497539706886222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14.315340293113771</v>
      </c>
      <c r="O11" s="315">
        <f>1/(1+'[93]Asumsi I'!$C$3)^(KKF!A11)</f>
        <v>0.63551807840483121</v>
      </c>
      <c r="P11" s="316">
        <f t="shared" ca="1" si="7"/>
        <v>9.0976575547909171</v>
      </c>
      <c r="Q11" s="316">
        <f t="shared" ca="1" si="9"/>
        <v>2.1111902090272991</v>
      </c>
      <c r="S11" s="304" t="str">
        <f t="shared" ca="1" si="3"/>
        <v/>
      </c>
      <c r="T11" s="320">
        <f t="shared" ca="1" si="10"/>
        <v>3.8525225271771664</v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2.6282395921669996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58.497539706886222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14.315340293113771</v>
      </c>
      <c r="O12" s="315">
        <f>1/(1+'[93]Asumsi I'!$C$3)^(KKF!A12)</f>
        <v>0.56742685571859919</v>
      </c>
      <c r="P12" s="316">
        <f t="shared" ca="1" si="7"/>
        <v>8.1229085310633167</v>
      </c>
      <c r="Q12" s="316">
        <f t="shared" ca="1" si="9"/>
        <v>10.234098740090616</v>
      </c>
      <c r="S12" s="304" t="str">
        <f t="shared" ca="1" si="3"/>
        <v/>
      </c>
      <c r="T12" s="320">
        <f t="shared" ca="1" si="10"/>
        <v>4.2850956714585671</v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2.6282395921669996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58.497539706886222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14.315340293113771</v>
      </c>
      <c r="O13" s="315">
        <f>1/(1+'[93]Asumsi I'!$C$3)^(KKF!A13)</f>
        <v>0.50663112117732068</v>
      </c>
      <c r="P13" s="316">
        <f t="shared" ca="1" si="7"/>
        <v>7.252596902735104</v>
      </c>
      <c r="Q13" s="316">
        <f t="shared" ca="1" si="9"/>
        <v>17.486695642825719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2.6282395921669996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58.497539706886222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14.315340293113771</v>
      </c>
      <c r="O14" s="315">
        <f>1/(1+'[93]Asumsi I'!$C$3)^(KKF!A14)</f>
        <v>0.45234921533689343</v>
      </c>
      <c r="P14" s="316">
        <f t="shared" ca="1" si="7"/>
        <v>6.4755329488706277</v>
      </c>
      <c r="Q14" s="316">
        <f t="shared" ca="1" si="9"/>
        <v>23.962228591696345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2.6282395921669996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58.497539706886222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14.315340293113771</v>
      </c>
      <c r="O15" s="315">
        <f>1/(1+'[93]Asumsi I'!$C$3)^(KKF!A15)</f>
        <v>0.4038832279793691</v>
      </c>
      <c r="P15" s="316">
        <f t="shared" ca="1" si="7"/>
        <v>5.7817258472059176</v>
      </c>
      <c r="Q15" s="316">
        <f t="shared" ca="1" si="9"/>
        <v>29.743954438902264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2.6282395921669996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58.497539706886222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14.315340293113771</v>
      </c>
      <c r="O16" s="315">
        <f>1/(1+'[93]Asumsi I'!$C$3)^(KKF!A16)</f>
        <v>0.36061002498157957</v>
      </c>
      <c r="P16" s="316">
        <f t="shared" ca="1" si="7"/>
        <v>5.1622552207195698</v>
      </c>
      <c r="Q16" s="316">
        <f t="shared" ca="1" si="9"/>
        <v>34.906209659621837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2.6282395921669996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58.497539706886222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14.315340293113771</v>
      </c>
      <c r="O17" s="315">
        <f>1/(1+'[93]Asumsi I'!$C$3)^(KKF!A17)</f>
        <v>0.32197323659069599</v>
      </c>
      <c r="P17" s="316">
        <f t="shared" ca="1" si="7"/>
        <v>4.6091564470710429</v>
      </c>
      <c r="Q17" s="316">
        <f t="shared" ca="1" si="9"/>
        <v>39.515366106692881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2.6282395921669996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58.497539706886222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14.315340293113771</v>
      </c>
      <c r="O18" s="315">
        <f>1/(1+'[93]Asumsi I'!$C$3)^(KKF!A18)</f>
        <v>0.28747610409883567</v>
      </c>
      <c r="P18" s="316">
        <f t="shared" ca="1" si="7"/>
        <v>4.1153182563134312</v>
      </c>
      <c r="Q18" s="316">
        <f t="shared" ca="1" si="9"/>
        <v>43.63068436300631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2.6282395921669996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58.497539706886222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14.315340293113771</v>
      </c>
      <c r="O19" s="315">
        <f>1/(1+'[93]Asumsi I'!$C$3)^(KKF!A19)</f>
        <v>0.25667509294538904</v>
      </c>
      <c r="P19" s="316">
        <f t="shared" ca="1" si="7"/>
        <v>3.6743913002798498</v>
      </c>
      <c r="Q19" s="316">
        <f t="shared" ca="1" si="9"/>
        <v>47.305075663286161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2.6282395921669996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58.497539706886222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14.315340293113771</v>
      </c>
      <c r="O20" s="315">
        <f>1/(1+'[93]Asumsi I'!$C$3)^(KKF!A20)</f>
        <v>0.22917419012981158</v>
      </c>
      <c r="P20" s="316">
        <f t="shared" ca="1" si="7"/>
        <v>3.2807065181070079</v>
      </c>
      <c r="Q20" s="316">
        <f t="shared" ca="1" si="9"/>
        <v>50.585782181393171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2.6282395921669996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58.497539706886222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14.315340293113771</v>
      </c>
      <c r="O21" s="315">
        <f>1/(1+'[93]Asumsi I'!$C$3)^(KKF!A21)</f>
        <v>0.20461981261590317</v>
      </c>
      <c r="P21" s="316">
        <f t="shared" ca="1" si="7"/>
        <v>2.9292022483098283</v>
      </c>
      <c r="Q21" s="316">
        <f t="shared" ca="1" si="9"/>
        <v>53.514984429702999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2.6282395921669996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58.497539706886222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14.315340293113771</v>
      </c>
      <c r="O22" s="315">
        <f>1/(1+'[93]Asumsi I'!$C$3)^(KKF!A22)</f>
        <v>0.18269626126419927</v>
      </c>
      <c r="P22" s="316">
        <f t="shared" ca="1" si="7"/>
        <v>2.6153591502766322</v>
      </c>
      <c r="Q22" s="316">
        <f t="shared" ca="1" si="9"/>
        <v>56.13034357997963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2.6282395921669996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58.497539706886222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14.315340293113771</v>
      </c>
      <c r="O23" s="315">
        <f>1/(1+'[93]Asumsi I'!$C$3)^(KKF!A23)</f>
        <v>0.16312166184303503</v>
      </c>
      <c r="P23" s="316">
        <f t="shared" ca="1" si="7"/>
        <v>2.3351420984612785</v>
      </c>
      <c r="Q23" s="316">
        <f t="shared" ca="1" si="9"/>
        <v>58.465485678440906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2.6282395921669996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58.497539706886222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14.315340293113771</v>
      </c>
      <c r="O24" s="315">
        <f>1/(1+'[93]Asumsi I'!$C$3)^(KKF!A24)</f>
        <v>0.14564434093128129</v>
      </c>
      <c r="P24" s="316">
        <f t="shared" ca="1" si="7"/>
        <v>2.0849483021975703</v>
      </c>
      <c r="Q24" s="316">
        <f t="shared" ca="1" si="9"/>
        <v>60.550433980638473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2.6282395921669996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58.497539706886222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14.315340293113771</v>
      </c>
      <c r="O25" s="315">
        <f>1/(1+'[93]Asumsi I'!$C$3)^(KKF!A25)</f>
        <v>0.13003959011721541</v>
      </c>
      <c r="P25" s="316">
        <f t="shared" ca="1" si="7"/>
        <v>1.8615609841049732</v>
      </c>
      <c r="Q25" s="316">
        <f t="shared" ca="1" si="9"/>
        <v>62.41199496474345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2.6282395921669996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58.497539706886222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14.315340293113771</v>
      </c>
      <c r="O26" s="315">
        <f>1/(1+'[93]Asumsi I'!$C$3)^(KKF!A26)</f>
        <v>0.1161067768903709</v>
      </c>
      <c r="P26" s="316">
        <f t="shared" ca="1" si="7"/>
        <v>1.6621080215222972</v>
      </c>
      <c r="Q26" s="316">
        <f t="shared" ca="1" si="9"/>
        <v>64.074102986265743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2.6282395921669996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58.497539706886222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14.315340293113771</v>
      </c>
      <c r="O27" s="315">
        <f>1/(1+'[93]Asumsi I'!$C$3)^(KKF!A27)</f>
        <v>0.1036667650806883</v>
      </c>
      <c r="P27" s="316">
        <f t="shared" ca="1" si="7"/>
        <v>1.4840250192163369</v>
      </c>
      <c r="Q27" s="316">
        <f t="shared" ca="1" si="9"/>
        <v>65.558128005482075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2.6282395921669996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58.497539706886222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14.315340293113771</v>
      </c>
      <c r="O28" s="315">
        <f>1/(1+'[93]Asumsi I'!$C$3)^(KKF!A28)</f>
        <v>9.2559611679185971E-2</v>
      </c>
      <c r="P28" s="316">
        <f t="shared" ca="1" si="7"/>
        <v>1.3250223385860149</v>
      </c>
      <c r="Q28" s="316">
        <f t="shared" ca="1" si="9"/>
        <v>66.883150344068085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2.6282395921669996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58.497539706886222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14.315340293113771</v>
      </c>
      <c r="O29" s="315">
        <f>1/(1+'[93]Asumsi I'!$C$3)^(KKF!A29)</f>
        <v>8.2642510427844609E-2</v>
      </c>
      <c r="P29" s="316">
        <f t="shared" ca="1" si="7"/>
        <v>1.1830556594517989</v>
      </c>
      <c r="Q29" s="316">
        <f t="shared" ca="1" si="9"/>
        <v>68.066206003519881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2.6282395921669996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58.497539706886222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14.315340293113771</v>
      </c>
      <c r="O30" s="315">
        <f>1/(1+'[93]Asumsi I'!$C$3)^(KKF!A30)</f>
        <v>7.3787955739146982E-2</v>
      </c>
      <c r="P30" s="316">
        <f t="shared" ca="1" si="7"/>
        <v>1.0562996959391062</v>
      </c>
      <c r="Q30" s="316">
        <f t="shared" ca="1" si="9"/>
        <v>69.122505699458983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2.6282395921669996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58.497539706886222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14.315340293113771</v>
      </c>
      <c r="O31" s="315">
        <f>1/(1+'[93]Asumsi I'!$C$3)^(KKF!A31)</f>
        <v>6.5882103338524081E-2</v>
      </c>
      <c r="P31" s="316">
        <f t="shared" ca="1" si="7"/>
        <v>0.94312472851705909</v>
      </c>
      <c r="Q31" s="316">
        <f ca="1">Q30+P31</f>
        <v>70.065630427976046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2.6282395921669996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58.497539706886222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14.315340293113771</v>
      </c>
      <c r="O32" s="315">
        <f>1/(1+'[93]Asumsi I'!$C$3)^(KKF!A32)</f>
        <v>5.8823306552253637E-2</v>
      </c>
      <c r="P32" s="316">
        <f t="shared" ca="1" si="7"/>
        <v>0.84207565046165977</v>
      </c>
      <c r="Q32" s="316">
        <f ca="1">Q31+P32</f>
        <v>70.907706078437712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5" t="s">
        <v>1374</v>
      </c>
      <c r="G33" s="605"/>
      <c r="H33" s="605"/>
      <c r="I33" s="324"/>
      <c r="J33" s="325">
        <f ca="1">SUM(J7:J32)</f>
        <v>1633.7249119491526</v>
      </c>
      <c r="K33" s="605" t="s">
        <v>1375</v>
      </c>
      <c r="L33" s="605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4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11.965235598303718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4.0688090993178667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1.1937376395106949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63.310451855747928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0.34582986514581404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1"/>
  <sheetViews>
    <sheetView showGridLines="0" tabSelected="1" zoomScale="85" zoomScaleNormal="85" zoomScaleSheetLayoutView="70" workbookViewId="0">
      <pane ySplit="13" topLeftCell="A110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48.855468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8" t="s">
        <v>1036</v>
      </c>
      <c r="P3" s="628"/>
      <c r="Q3" s="346"/>
      <c r="T3" s="344"/>
      <c r="U3" s="345" t="s">
        <v>1041</v>
      </c>
      <c r="V3" s="344"/>
    </row>
    <row r="4" spans="1:22" ht="18.75">
      <c r="B4" s="629" t="s">
        <v>1023</v>
      </c>
      <c r="C4" s="629"/>
      <c r="D4" s="629"/>
      <c r="E4" s="629"/>
      <c r="F4" s="629"/>
      <c r="G4" s="629"/>
      <c r="H4" s="629"/>
      <c r="I4" s="629"/>
      <c r="J4" s="629"/>
      <c r="K4" s="629"/>
      <c r="O4" s="628"/>
      <c r="P4" s="62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2" t="str">
        <f>DATA!D14</f>
        <v>AGR UD EL RUTAB</v>
      </c>
      <c r="H6" s="612"/>
      <c r="I6" s="612"/>
      <c r="J6" s="612"/>
      <c r="K6" s="61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1549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1" t="s">
        <v>0</v>
      </c>
      <c r="C11" s="633" t="s">
        <v>1</v>
      </c>
      <c r="D11" s="622" t="s">
        <v>42</v>
      </c>
      <c r="E11" s="622" t="s">
        <v>43</v>
      </c>
      <c r="F11" s="622" t="s">
        <v>2</v>
      </c>
      <c r="G11" s="636" t="s">
        <v>41</v>
      </c>
      <c r="H11" s="622" t="s">
        <v>3</v>
      </c>
      <c r="I11" s="622"/>
      <c r="J11" s="622"/>
      <c r="K11" s="623"/>
      <c r="O11" s="351"/>
      <c r="P11" s="352"/>
      <c r="Q11" s="351"/>
      <c r="S11" s="353"/>
      <c r="T11" s="354"/>
      <c r="U11" s="354"/>
      <c r="V11" s="354"/>
    </row>
    <row r="12" spans="1:22">
      <c r="B12" s="632"/>
      <c r="C12" s="634"/>
      <c r="D12" s="626"/>
      <c r="E12" s="626"/>
      <c r="F12" s="626"/>
      <c r="G12" s="637"/>
      <c r="H12" s="624" t="s">
        <v>46</v>
      </c>
      <c r="I12" s="624" t="s">
        <v>5</v>
      </c>
      <c r="J12" s="626" t="s">
        <v>47</v>
      </c>
      <c r="K12" s="627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2"/>
      <c r="C13" s="635"/>
      <c r="D13" s="626"/>
      <c r="E13" s="626"/>
      <c r="F13" s="626"/>
      <c r="G13" s="638"/>
      <c r="H13" s="625"/>
      <c r="I13" s="625"/>
      <c r="J13" s="626"/>
      <c r="K13" s="627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4" t="s">
        <v>480</v>
      </c>
      <c r="C15" s="495" t="s">
        <v>1615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4"/>
      <c r="C16" s="495"/>
      <c r="D16" s="358"/>
      <c r="E16" s="359"/>
      <c r="F16" s="366"/>
      <c r="G16" s="360"/>
      <c r="H16" s="361"/>
      <c r="I16" s="361"/>
      <c r="J16" s="361"/>
      <c r="K16" s="362"/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6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6074400</v>
      </c>
      <c r="J17" s="361">
        <f t="shared" ca="1" si="6"/>
        <v>0</v>
      </c>
      <c r="K17" s="362">
        <f t="shared" ca="1" si="7"/>
        <v>6074400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/>
      <c r="B18" s="496"/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6">
        <v>1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0" ca="1" si="8">IF(OR(D18="MDU",D18="MDU-KD"),(IF($O$3="RAB NON MDU","PLN KD",G18*F18)),0)</f>
        <v>0</v>
      </c>
      <c r="I18" s="361">
        <f t="shared" ref="I18:I20" ca="1" si="9">IF(D18="HDW",G18*F18,0)</f>
        <v>5800000</v>
      </c>
      <c r="J18" s="361">
        <f t="shared" ref="J18:J20" ca="1" si="10">IF(D18="JASA",G18*F18,0)</f>
        <v>0</v>
      </c>
      <c r="K18" s="362">
        <f t="shared" ref="K18:K20" ca="1" si="11">SUM(H18:J18)</f>
        <v>5800000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 t="e">
        <f>IF(AND(C19=0,#REF!=0,#REF!=0),"BLANKS",1)</f>
        <v>#REF!</v>
      </c>
      <c r="B19" s="496">
        <v>2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6">
        <v>2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20133.333333333336</v>
      </c>
      <c r="K19" s="362">
        <f t="shared" ca="1" si="11"/>
        <v>20133.333333333336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494">
        <v>3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6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200000</v>
      </c>
      <c r="J20" s="361">
        <f t="shared" ca="1" si="10"/>
        <v>0</v>
      </c>
      <c r="K20" s="362">
        <f t="shared" ca="1" si="11"/>
        <v>200000</v>
      </c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494"/>
      <c r="C21" s="109"/>
      <c r="D21" s="358"/>
      <c r="E21" s="359"/>
      <c r="F21" s="366"/>
      <c r="G21" s="360"/>
      <c r="H21" s="361"/>
      <c r="I21" s="361"/>
      <c r="J21" s="361"/>
      <c r="K21" s="362"/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494" t="s">
        <v>505</v>
      </c>
      <c r="C22" s="495" t="s">
        <v>1616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6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494"/>
      <c r="C23" s="504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6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51" ca="1" si="16">IF(OR(D23="MDU",D23="MDU-KD"),(IF($O$3="RAB NON MDU","PLN KD",G23*F23)),0)</f>
        <v>0</v>
      </c>
      <c r="I23" s="361">
        <f t="shared" ref="I23:I51" ca="1" si="17">IF(D23="HDW",G23*F23,0)</f>
        <v>0</v>
      </c>
      <c r="J23" s="361">
        <f t="shared" ref="J23:J51" ca="1" si="18">IF(D23="JASA",G23*F23,0)</f>
        <v>0</v>
      </c>
      <c r="K23" s="362">
        <f t="shared" ref="K23:K51" ca="1" si="19">SUM(H23:J23)</f>
        <v>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505" t="s">
        <v>1035</v>
      </c>
      <c r="C24" s="506" t="s">
        <v>1622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1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505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F24*1</f>
        <v>1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16"/>
        <v>176900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176900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 s="368" customFormat="1">
      <c r="A26" s="336"/>
      <c r="B26" s="505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F24*2</f>
        <v>2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16"/>
        <v>353800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353800</v>
      </c>
      <c r="L26" s="367"/>
      <c r="M26" s="367"/>
      <c r="N26" s="367"/>
      <c r="O26" s="363"/>
      <c r="P26" s="363"/>
      <c r="Q26" s="344"/>
      <c r="R26" s="336"/>
      <c r="S26" s="364"/>
      <c r="T26" s="341"/>
      <c r="U26" s="341"/>
      <c r="V26" s="341"/>
    </row>
    <row r="27" spans="1:22" s="368" customFormat="1">
      <c r="A27" s="336"/>
      <c r="B27" s="505">
        <v>3</v>
      </c>
      <c r="C27" s="506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1">
        <f>F24*3</f>
        <v>3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16"/>
        <v>0</v>
      </c>
      <c r="I27" s="361">
        <f t="shared" ca="1" si="17"/>
        <v>79500</v>
      </c>
      <c r="J27" s="361">
        <f t="shared" ca="1" si="18"/>
        <v>0</v>
      </c>
      <c r="K27" s="362">
        <f t="shared" ca="1" si="19"/>
        <v>79500</v>
      </c>
      <c r="L27" s="367"/>
      <c r="M27" s="367"/>
      <c r="N27" s="367"/>
      <c r="O27" s="363"/>
      <c r="P27" s="363"/>
      <c r="Q27" s="344"/>
      <c r="R27" s="336"/>
      <c r="S27" s="364"/>
      <c r="T27" s="341"/>
      <c r="U27" s="341"/>
      <c r="V27" s="341"/>
    </row>
    <row r="28" spans="1:22" s="368" customFormat="1">
      <c r="A28" s="336"/>
      <c r="B28" s="505">
        <v>4</v>
      </c>
      <c r="C28" s="506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1">
        <f>F24*2</f>
        <v>2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16"/>
        <v>0</v>
      </c>
      <c r="I28" s="361">
        <f t="shared" ca="1" si="17"/>
        <v>15876</v>
      </c>
      <c r="J28" s="361">
        <f t="shared" ca="1" si="18"/>
        <v>0</v>
      </c>
      <c r="K28" s="362">
        <f t="shared" ca="1" si="19"/>
        <v>15876</v>
      </c>
      <c r="L28" s="367"/>
      <c r="M28" s="367"/>
      <c r="N28" s="367"/>
      <c r="O28" s="363"/>
      <c r="P28" s="363"/>
      <c r="Q28" s="344"/>
      <c r="R28" s="336"/>
      <c r="S28" s="364"/>
      <c r="T28" s="341"/>
      <c r="U28" s="341"/>
      <c r="V28" s="341"/>
    </row>
    <row r="29" spans="1:22" s="368" customFormat="1">
      <c r="A29" s="336"/>
      <c r="B29" s="505">
        <v>5</v>
      </c>
      <c r="C29" s="506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1">
        <f>F24*1</f>
        <v>1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16"/>
        <v>0</v>
      </c>
      <c r="I29" s="361">
        <f t="shared" ca="1" si="17"/>
        <v>33600</v>
      </c>
      <c r="J29" s="361">
        <f t="shared" ca="1" si="18"/>
        <v>0</v>
      </c>
      <c r="K29" s="362">
        <f t="shared" ca="1" si="19"/>
        <v>33600</v>
      </c>
      <c r="L29" s="367"/>
      <c r="M29" s="367"/>
      <c r="N29" s="367"/>
      <c r="O29" s="363"/>
      <c r="P29" s="363"/>
      <c r="Q29" s="344"/>
      <c r="R29" s="336"/>
      <c r="S29" s="364"/>
      <c r="T29" s="341"/>
      <c r="U29" s="341"/>
      <c r="V29" s="341"/>
    </row>
    <row r="30" spans="1:22" s="368" customFormat="1">
      <c r="A30" s="336"/>
      <c r="B30" s="505">
        <v>6</v>
      </c>
      <c r="C30" s="506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F24*2</f>
        <v>2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16"/>
        <v>0</v>
      </c>
      <c r="I30" s="361">
        <f t="shared" ca="1" si="17"/>
        <v>90000</v>
      </c>
      <c r="J30" s="361">
        <f t="shared" ca="1" si="18"/>
        <v>0</v>
      </c>
      <c r="K30" s="362">
        <f t="shared" ca="1" si="19"/>
        <v>90000</v>
      </c>
      <c r="L30" s="367"/>
      <c r="M30" s="367"/>
      <c r="N30" s="367"/>
      <c r="O30" s="363"/>
      <c r="P30" s="363"/>
      <c r="Q30" s="344"/>
      <c r="R30" s="336"/>
      <c r="S30" s="364"/>
      <c r="T30" s="341"/>
      <c r="U30" s="341"/>
      <c r="V30" s="341"/>
    </row>
    <row r="31" spans="1:22" s="368" customFormat="1">
      <c r="A31" s="336"/>
      <c r="B31" s="505">
        <v>7</v>
      </c>
      <c r="C31" s="506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F24*1</f>
        <v>1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16"/>
        <v>0</v>
      </c>
      <c r="I31" s="361">
        <f t="shared" ca="1" si="17"/>
        <v>95000</v>
      </c>
      <c r="J31" s="361">
        <f t="shared" ca="1" si="18"/>
        <v>0</v>
      </c>
      <c r="K31" s="362">
        <f t="shared" ca="1" si="19"/>
        <v>95000</v>
      </c>
      <c r="L31" s="367"/>
      <c r="M31" s="367"/>
      <c r="N31" s="367"/>
      <c r="O31" s="363"/>
      <c r="P31" s="363"/>
      <c r="Q31" s="344"/>
      <c r="R31" s="336"/>
      <c r="S31" s="364"/>
      <c r="T31" s="341"/>
      <c r="U31" s="341"/>
      <c r="V31" s="341"/>
    </row>
    <row r="32" spans="1:22" s="368" customFormat="1">
      <c r="A32" s="336"/>
      <c r="B32" s="505">
        <v>8</v>
      </c>
      <c r="C32" s="506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1">
        <f>F24*1</f>
        <v>1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16"/>
        <v>0</v>
      </c>
      <c r="I32" s="361">
        <f t="shared" ca="1" si="17"/>
        <v>380500</v>
      </c>
      <c r="J32" s="361">
        <f t="shared" ca="1" si="18"/>
        <v>0</v>
      </c>
      <c r="K32" s="362">
        <f t="shared" ca="1" si="19"/>
        <v>380500</v>
      </c>
      <c r="L32" s="367"/>
      <c r="M32" s="367"/>
      <c r="N32" s="367"/>
      <c r="O32" s="363"/>
      <c r="P32" s="363"/>
      <c r="Q32" s="344"/>
      <c r="R32" s="336"/>
      <c r="S32" s="364"/>
      <c r="T32" s="341"/>
      <c r="U32" s="341"/>
      <c r="V32" s="341"/>
    </row>
    <row r="33" spans="1:22" s="368" customFormat="1">
      <c r="A33" s="336"/>
      <c r="B33" s="505">
        <v>9</v>
      </c>
      <c r="C33" s="506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F24*4</f>
        <v>4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16"/>
        <v>0</v>
      </c>
      <c r="I33" s="361">
        <f t="shared" ca="1" si="17"/>
        <v>45600</v>
      </c>
      <c r="J33" s="361">
        <f t="shared" ca="1" si="18"/>
        <v>0</v>
      </c>
      <c r="K33" s="362">
        <f t="shared" ca="1" si="19"/>
        <v>45600</v>
      </c>
      <c r="L33" s="367"/>
      <c r="M33" s="367"/>
      <c r="N33" s="367"/>
      <c r="O33" s="363"/>
      <c r="P33" s="363"/>
      <c r="Q33" s="344"/>
      <c r="R33" s="336"/>
      <c r="S33" s="364"/>
      <c r="T33" s="341"/>
      <c r="U33" s="341"/>
      <c r="V33" s="341"/>
    </row>
    <row r="34" spans="1:22" s="368" customFormat="1">
      <c r="A34" s="336"/>
      <c r="B34" s="505">
        <v>10</v>
      </c>
      <c r="C34" s="506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F24*1</f>
        <v>1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16"/>
        <v>0</v>
      </c>
      <c r="I34" s="361">
        <f t="shared" ca="1" si="17"/>
        <v>57690</v>
      </c>
      <c r="J34" s="361">
        <f t="shared" ca="1" si="18"/>
        <v>0</v>
      </c>
      <c r="K34" s="362">
        <f t="shared" ca="1" si="19"/>
        <v>57690</v>
      </c>
      <c r="L34" s="367"/>
      <c r="M34" s="367"/>
      <c r="N34" s="367"/>
      <c r="O34" s="363"/>
      <c r="P34" s="363"/>
      <c r="Q34" s="344"/>
      <c r="R34" s="336"/>
      <c r="S34" s="364"/>
      <c r="T34" s="341"/>
      <c r="U34" s="341"/>
      <c r="V34" s="341"/>
    </row>
    <row r="35" spans="1:22" s="368" customFormat="1">
      <c r="A35" s="336"/>
      <c r="B35" s="505">
        <v>11</v>
      </c>
      <c r="C35" s="506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1">
        <f>F24*1</f>
        <v>1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16"/>
        <v>0</v>
      </c>
      <c r="I35" s="361">
        <f t="shared" ca="1" si="17"/>
        <v>28000</v>
      </c>
      <c r="J35" s="361">
        <f t="shared" ca="1" si="18"/>
        <v>0</v>
      </c>
      <c r="K35" s="362">
        <f t="shared" ca="1" si="19"/>
        <v>28000</v>
      </c>
      <c r="L35" s="367"/>
      <c r="M35" s="367"/>
      <c r="N35" s="367"/>
      <c r="O35" s="363"/>
      <c r="P35" s="363"/>
      <c r="Q35" s="344"/>
      <c r="R35" s="336"/>
      <c r="S35" s="364"/>
      <c r="T35" s="341"/>
      <c r="U35" s="341"/>
      <c r="V35" s="341"/>
    </row>
    <row r="36" spans="1:22" s="368" customFormat="1">
      <c r="A36" s="336"/>
      <c r="B36" s="505">
        <v>12</v>
      </c>
      <c r="C36" s="506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91">
        <f>6.2*F24</f>
        <v>6.2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ca="1" si="16"/>
        <v>0</v>
      </c>
      <c r="I36" s="361">
        <f t="shared" ca="1" si="17"/>
        <v>53010</v>
      </c>
      <c r="J36" s="361">
        <f t="shared" ca="1" si="18"/>
        <v>0</v>
      </c>
      <c r="K36" s="362">
        <f t="shared" ca="1" si="19"/>
        <v>53010</v>
      </c>
      <c r="L36" s="367"/>
      <c r="M36" s="367"/>
      <c r="N36" s="367"/>
      <c r="O36" s="363"/>
      <c r="P36" s="363"/>
      <c r="Q36" s="344"/>
      <c r="R36" s="336"/>
      <c r="S36" s="364"/>
      <c r="T36" s="341"/>
      <c r="U36" s="341"/>
      <c r="V36" s="341"/>
    </row>
    <row r="37" spans="1:22" s="368" customFormat="1">
      <c r="A37" s="336"/>
      <c r="B37" s="505">
        <v>13</v>
      </c>
      <c r="C37" s="506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f>F24*5</f>
        <v>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6"/>
        <v>0</v>
      </c>
      <c r="I37" s="361">
        <f t="shared" ca="1" si="17"/>
        <v>12500</v>
      </c>
      <c r="J37" s="361">
        <f t="shared" ca="1" si="18"/>
        <v>0</v>
      </c>
      <c r="K37" s="362">
        <f t="shared" ca="1" si="19"/>
        <v>12500</v>
      </c>
      <c r="L37" s="367"/>
      <c r="M37" s="367"/>
      <c r="N37" s="367"/>
      <c r="O37" s="363"/>
      <c r="P37" s="363"/>
      <c r="Q37" s="344"/>
      <c r="R37" s="336"/>
      <c r="S37" s="364"/>
      <c r="T37" s="341"/>
      <c r="U37" s="341"/>
      <c r="V37" s="341"/>
    </row>
    <row r="38" spans="1:22" s="368" customFormat="1">
      <c r="A38" s="336"/>
      <c r="B38" s="505">
        <v>14</v>
      </c>
      <c r="C38" s="506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91">
        <f>F24*1</f>
        <v>1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6"/>
        <v>0</v>
      </c>
      <c r="I38" s="361">
        <f t="shared" ca="1" si="17"/>
        <v>0</v>
      </c>
      <c r="J38" s="361">
        <f t="shared" ca="1" si="18"/>
        <v>111000</v>
      </c>
      <c r="K38" s="362">
        <f t="shared" ca="1" si="19"/>
        <v>111000</v>
      </c>
      <c r="L38" s="367"/>
      <c r="M38" s="367"/>
      <c r="N38" s="367"/>
      <c r="O38" s="363"/>
      <c r="P38" s="363"/>
      <c r="Q38" s="344"/>
      <c r="R38" s="336"/>
      <c r="S38" s="364"/>
      <c r="T38" s="341"/>
      <c r="U38" s="341"/>
      <c r="V38" s="341"/>
    </row>
    <row r="39" spans="1:22" s="368" customFormat="1">
      <c r="A39" s="336"/>
      <c r="B39" s="494"/>
      <c r="C39" s="504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6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6"/>
        <v>0</v>
      </c>
      <c r="I39" s="361">
        <f t="shared" ca="1" si="17"/>
        <v>0</v>
      </c>
      <c r="J39" s="361">
        <f t="shared" ca="1" si="18"/>
        <v>0</v>
      </c>
      <c r="K39" s="362">
        <f t="shared" ca="1" si="19"/>
        <v>0</v>
      </c>
      <c r="L39" s="367"/>
      <c r="M39" s="367"/>
      <c r="N39" s="367"/>
      <c r="O39" s="363"/>
      <c r="P39" s="363"/>
      <c r="Q39" s="344"/>
      <c r="R39" s="336"/>
      <c r="S39" s="364"/>
      <c r="T39" s="341"/>
      <c r="U39" s="341"/>
      <c r="V39" s="341"/>
    </row>
    <row r="40" spans="1:22" s="368" customFormat="1">
      <c r="A40" s="336"/>
      <c r="B40" s="505" t="s">
        <v>1035</v>
      </c>
      <c r="C40" s="506" t="s">
        <v>1623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10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  <c r="L40" s="367"/>
      <c r="M40" s="367"/>
      <c r="N40" s="367"/>
      <c r="O40" s="363"/>
      <c r="P40" s="363"/>
      <c r="Q40" s="344"/>
      <c r="R40" s="336"/>
      <c r="S40" s="364"/>
      <c r="T40" s="341"/>
      <c r="U40" s="341"/>
      <c r="V40" s="341"/>
    </row>
    <row r="41" spans="1:22" s="368" customFormat="1">
      <c r="A41" s="336"/>
      <c r="B41" s="505">
        <v>1</v>
      </c>
      <c r="C41" s="109" t="s">
        <v>1566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10">
        <f>F40*3</f>
        <v>6</v>
      </c>
      <c r="G41" s="360">
        <f ca="1">IF(ISERROR(OFFSET('HARGA SATUAN'!$I$6,MATCH(RAB!C41,'HARGA SATUAN'!$C$7:$C$1492,0),0)),0,OFFSET('HARGA SATUAN'!$I$6,MATCH(RAB!C41,'HARGA SATUAN'!$C$7:$C$1492,0),0))</f>
        <v>430000</v>
      </c>
      <c r="H41" s="361">
        <f t="shared" ca="1" si="16"/>
        <v>2580000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2580000</v>
      </c>
      <c r="L41" s="367"/>
      <c r="M41" s="367"/>
      <c r="N41" s="367"/>
      <c r="O41" s="363"/>
      <c r="P41" s="363"/>
      <c r="Q41" s="344"/>
      <c r="R41" s="336"/>
      <c r="S41" s="364"/>
      <c r="T41" s="341"/>
      <c r="U41" s="341"/>
      <c r="V41" s="341"/>
    </row>
    <row r="42" spans="1:22" s="368" customFormat="1">
      <c r="A42" s="336"/>
      <c r="B42" s="505">
        <v>2</v>
      </c>
      <c r="C42" s="506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10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7"/>
      <c r="M42" s="367"/>
      <c r="N42" s="367"/>
      <c r="O42" s="363"/>
      <c r="P42" s="363"/>
      <c r="Q42" s="344"/>
      <c r="R42" s="336"/>
      <c r="S42" s="364"/>
      <c r="T42" s="341"/>
      <c r="U42" s="341"/>
      <c r="V42" s="341"/>
    </row>
    <row r="43" spans="1:22" s="368" customFormat="1">
      <c r="A43" s="336"/>
      <c r="B43" s="505">
        <v>3</v>
      </c>
      <c r="C43" s="506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0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7"/>
      <c r="M43" s="367"/>
      <c r="N43" s="367"/>
      <c r="O43" s="363"/>
      <c r="P43" s="363"/>
      <c r="Q43" s="344"/>
      <c r="R43" s="336"/>
      <c r="S43" s="364"/>
      <c r="T43" s="341"/>
      <c r="U43" s="341"/>
      <c r="V43" s="341"/>
    </row>
    <row r="44" spans="1:22" s="368" customFormat="1">
      <c r="A44" s="336"/>
      <c r="B44" s="505">
        <v>4</v>
      </c>
      <c r="C44" s="506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0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7"/>
      <c r="M44" s="367"/>
      <c r="N44" s="367"/>
      <c r="O44" s="363"/>
      <c r="P44" s="363"/>
      <c r="Q44" s="344"/>
      <c r="R44" s="336"/>
      <c r="S44" s="364"/>
      <c r="T44" s="341"/>
      <c r="U44" s="341"/>
      <c r="V44" s="341"/>
    </row>
    <row r="45" spans="1:22" s="368" customFormat="1">
      <c r="A45" s="336"/>
      <c r="B45" s="505">
        <v>5</v>
      </c>
      <c r="C45" s="506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0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7"/>
      <c r="M45" s="367"/>
      <c r="N45" s="367"/>
      <c r="O45" s="363"/>
      <c r="P45" s="363"/>
      <c r="Q45" s="344"/>
      <c r="R45" s="336"/>
      <c r="S45" s="364"/>
      <c r="T45" s="341"/>
      <c r="U45" s="341"/>
      <c r="V45" s="341"/>
    </row>
    <row r="46" spans="1:22" s="368" customFormat="1">
      <c r="A46" s="336"/>
      <c r="B46" s="505">
        <v>6</v>
      </c>
      <c r="C46" s="506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0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7"/>
      <c r="M46" s="367"/>
      <c r="N46" s="367"/>
      <c r="O46" s="363"/>
      <c r="P46" s="363"/>
      <c r="Q46" s="344"/>
      <c r="R46" s="336"/>
      <c r="S46" s="364"/>
      <c r="T46" s="341"/>
      <c r="U46" s="341"/>
      <c r="V46" s="341"/>
    </row>
    <row r="47" spans="1:22" s="368" customFormat="1">
      <c r="A47" s="336"/>
      <c r="B47" s="505">
        <v>7</v>
      </c>
      <c r="C47" s="506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0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7"/>
      <c r="M47" s="367"/>
      <c r="N47" s="367"/>
      <c r="O47" s="363"/>
      <c r="P47" s="363"/>
      <c r="Q47" s="344"/>
      <c r="R47" s="336"/>
      <c r="S47" s="364"/>
      <c r="T47" s="341"/>
      <c r="U47" s="341"/>
      <c r="V47" s="341"/>
    </row>
    <row r="48" spans="1:22" s="368" customFormat="1">
      <c r="A48" s="336"/>
      <c r="B48" s="505">
        <v>8</v>
      </c>
      <c r="C48" s="506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0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7"/>
      <c r="M48" s="367"/>
      <c r="N48" s="367"/>
      <c r="O48" s="363"/>
      <c r="P48" s="363"/>
      <c r="Q48" s="344"/>
      <c r="R48" s="336"/>
      <c r="S48" s="364"/>
      <c r="T48" s="341"/>
      <c r="U48" s="341"/>
      <c r="V48" s="341"/>
    </row>
    <row r="49" spans="1:22" s="368" customFormat="1">
      <c r="A49" s="336"/>
      <c r="B49" s="505">
        <v>9</v>
      </c>
      <c r="C49" s="506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10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7"/>
      <c r="M49" s="367"/>
      <c r="N49" s="367"/>
      <c r="O49" s="363"/>
      <c r="P49" s="363"/>
      <c r="Q49" s="344"/>
      <c r="R49" s="336"/>
      <c r="S49" s="364"/>
      <c r="T49" s="341"/>
      <c r="U49" s="341"/>
      <c r="V49" s="341"/>
    </row>
    <row r="50" spans="1:22" s="368" customFormat="1">
      <c r="A50" s="336"/>
      <c r="B50" s="505">
        <v>10</v>
      </c>
      <c r="C50" s="506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0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7"/>
      <c r="M50" s="367"/>
      <c r="N50" s="367"/>
      <c r="O50" s="363"/>
      <c r="P50" s="363"/>
      <c r="Q50" s="344"/>
      <c r="R50" s="336"/>
      <c r="S50" s="364"/>
      <c r="T50" s="341"/>
      <c r="U50" s="341"/>
      <c r="V50" s="341"/>
    </row>
    <row r="51" spans="1:22" s="368" customFormat="1">
      <c r="A51" s="336"/>
      <c r="B51" s="505">
        <v>11</v>
      </c>
      <c r="C51" s="506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0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7"/>
      <c r="M51" s="367"/>
      <c r="N51" s="367"/>
      <c r="O51" s="363"/>
      <c r="P51" s="363"/>
      <c r="Q51" s="344"/>
      <c r="R51" s="336"/>
      <c r="S51" s="364"/>
      <c r="T51" s="341"/>
      <c r="U51" s="341"/>
      <c r="V51" s="341"/>
    </row>
    <row r="52" spans="1:22">
      <c r="B52" s="505">
        <v>12</v>
      </c>
      <c r="C52" s="506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0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70" ca="1" si="20">IF(OR(D52="MDU",D52="MDU-KD"),(IF($O$3="RAB NON MDU","PLN KD",G52*F52)),0)</f>
        <v>0</v>
      </c>
      <c r="I52" s="361">
        <f t="shared" ref="I52:I70" ca="1" si="21">IF(D52="HDW",G52*F52,0)</f>
        <v>143616</v>
      </c>
      <c r="J52" s="361">
        <f t="shared" ref="J52:J70" ca="1" si="22">IF(D52="JASA",G52*F52,0)</f>
        <v>0</v>
      </c>
      <c r="K52" s="362">
        <f t="shared" ref="K52:K70" ca="1" si="23">SUM(H52:J52)</f>
        <v>143616</v>
      </c>
    </row>
    <row r="53" spans="1:22">
      <c r="B53" s="505">
        <v>13</v>
      </c>
      <c r="C53" s="506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0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</row>
    <row r="54" spans="1:22">
      <c r="B54" s="505">
        <v>14</v>
      </c>
      <c r="C54" s="506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0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</row>
    <row r="55" spans="1:22">
      <c r="B55" s="505">
        <v>15</v>
      </c>
      <c r="C55" s="506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0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</row>
    <row r="56" spans="1:22">
      <c r="B56" s="505">
        <v>16</v>
      </c>
      <c r="C56" s="506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0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</row>
    <row r="57" spans="1:22">
      <c r="B57" s="505">
        <v>17</v>
      </c>
      <c r="C57" s="506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0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</row>
    <row r="58" spans="1:22">
      <c r="B58" s="505">
        <v>18</v>
      </c>
      <c r="C58" s="506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10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</row>
    <row r="59" spans="1:22">
      <c r="B59" s="497"/>
      <c r="C59" s="499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6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</row>
    <row r="60" spans="1:22">
      <c r="B60" s="505" t="s">
        <v>1035</v>
      </c>
      <c r="C60" s="506" t="s">
        <v>1624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11"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0"/>
        <v>0</v>
      </c>
      <c r="I60" s="361">
        <f t="shared" ca="1" si="21"/>
        <v>0</v>
      </c>
      <c r="J60" s="361">
        <f t="shared" ca="1" si="22"/>
        <v>0</v>
      </c>
      <c r="K60" s="362">
        <f t="shared" ca="1" si="23"/>
        <v>0</v>
      </c>
    </row>
    <row r="61" spans="1:22">
      <c r="B61" s="505">
        <v>1</v>
      </c>
      <c r="C61" s="109" t="s">
        <v>1129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1">
        <f>F60*1</f>
        <v>2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0"/>
        <v>353800</v>
      </c>
      <c r="I61" s="361">
        <f t="shared" ca="1" si="21"/>
        <v>0</v>
      </c>
      <c r="J61" s="361">
        <f t="shared" ca="1" si="22"/>
        <v>0</v>
      </c>
      <c r="K61" s="362">
        <f t="shared" ca="1" si="23"/>
        <v>353800</v>
      </c>
    </row>
    <row r="62" spans="1:22">
      <c r="B62" s="505">
        <v>2</v>
      </c>
      <c r="C62" s="506" t="s">
        <v>26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1">
        <f>F60*2</f>
        <v>4</v>
      </c>
      <c r="G62" s="360">
        <f ca="1">IF(ISERROR(OFFSET('HARGA SATUAN'!$I$6,MATCH(RAB!C62,'HARGA SATUAN'!$C$7:$C$1492,0),0)),0,OFFSET('HARGA SATUAN'!$I$6,MATCH(RAB!C62,'HARGA SATUAN'!$C$7:$C$1492,0),0))</f>
        <v>2500</v>
      </c>
      <c r="H62" s="361">
        <f t="shared" ca="1" si="20"/>
        <v>0</v>
      </c>
      <c r="I62" s="361">
        <f t="shared" ca="1" si="21"/>
        <v>10000</v>
      </c>
      <c r="J62" s="361">
        <f t="shared" ca="1" si="22"/>
        <v>0</v>
      </c>
      <c r="K62" s="362">
        <f t="shared" ca="1" si="23"/>
        <v>10000</v>
      </c>
    </row>
    <row r="63" spans="1:22">
      <c r="B63" s="505">
        <v>3</v>
      </c>
      <c r="C63" s="506" t="s">
        <v>38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511">
        <f>F61*1.8</f>
        <v>3.6</v>
      </c>
      <c r="G63" s="360">
        <f ca="1">IF(ISERROR(OFFSET('HARGA SATUAN'!$I$6,MATCH(RAB!C63,'HARGA SATUAN'!$C$7:$C$1492,0),0)),0,OFFSET('HARGA SATUAN'!$I$6,MATCH(RAB!C63,'HARGA SATUAN'!$C$7:$C$1492,0),0))</f>
        <v>8550</v>
      </c>
      <c r="H63" s="361">
        <f t="shared" ca="1" si="20"/>
        <v>0</v>
      </c>
      <c r="I63" s="361">
        <f t="shared" ca="1" si="21"/>
        <v>30780</v>
      </c>
      <c r="J63" s="361">
        <f t="shared" ca="1" si="22"/>
        <v>0</v>
      </c>
      <c r="K63" s="362">
        <f t="shared" ca="1" si="23"/>
        <v>30780</v>
      </c>
    </row>
    <row r="64" spans="1:22">
      <c r="B64" s="505">
        <v>4</v>
      </c>
      <c r="C64" s="506" t="s">
        <v>744</v>
      </c>
      <c r="D64" s="358" t="str">
        <f ca="1">IF(ISERROR(OFFSET('HARGA SATUAN'!$D$6,MATCH(RAB!C64,'HARGA SATUAN'!$C$7:$C$1492,0),0)),"",OFFSET('HARGA SATUAN'!$D$6,MATCH(RAB!C64,'HARGA SATUAN'!$C$7:$C$1492,0),0))</f>
        <v>JASA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11">
        <f>F60*1</f>
        <v>2</v>
      </c>
      <c r="G64" s="360">
        <f ca="1">IF(ISERROR(OFFSET('HARGA SATUAN'!$I$6,MATCH(RAB!C64,'HARGA SATUAN'!$C$7:$C$1492,0),0)),0,OFFSET('HARGA SATUAN'!$I$6,MATCH(RAB!C64,'HARGA SATUAN'!$C$7:$C$1492,0),0))</f>
        <v>31200</v>
      </c>
      <c r="H64" s="361">
        <f t="shared" ca="1" si="20"/>
        <v>0</v>
      </c>
      <c r="I64" s="361">
        <f t="shared" ca="1" si="21"/>
        <v>0</v>
      </c>
      <c r="J64" s="361">
        <f t="shared" ca="1" si="22"/>
        <v>62400</v>
      </c>
      <c r="K64" s="362">
        <f t="shared" ca="1" si="23"/>
        <v>62400</v>
      </c>
    </row>
    <row r="65" spans="2:11">
      <c r="B65" s="505"/>
      <c r="C65" s="506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6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0"/>
        <v>0</v>
      </c>
      <c r="I65" s="361">
        <f t="shared" ca="1" si="21"/>
        <v>0</v>
      </c>
      <c r="J65" s="361">
        <f t="shared" ca="1" si="22"/>
        <v>0</v>
      </c>
      <c r="K65" s="362">
        <f t="shared" ca="1" si="23"/>
        <v>0</v>
      </c>
    </row>
    <row r="66" spans="2:11">
      <c r="B66" s="497">
        <v>1</v>
      </c>
      <c r="C66" s="109" t="s">
        <v>65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366">
        <v>80</v>
      </c>
      <c r="G66" s="360">
        <f ca="1">IF(ISERROR(OFFSET('HARGA SATUAN'!$I$6,MATCH(RAB!C66,'HARGA SATUAN'!$C$7:$C$1492,0),0)),0,OFFSET('HARGA SATUAN'!$I$6,MATCH(RAB!C66,'HARGA SATUAN'!$C$7:$C$1492,0),0))</f>
        <v>14200</v>
      </c>
      <c r="H66" s="361">
        <f t="shared" ca="1" si="20"/>
        <v>1136000</v>
      </c>
      <c r="I66" s="361">
        <f t="shared" ca="1" si="21"/>
        <v>0</v>
      </c>
      <c r="J66" s="361">
        <f t="shared" ca="1" si="22"/>
        <v>0</v>
      </c>
      <c r="K66" s="362">
        <f t="shared" ca="1" si="23"/>
        <v>1136000</v>
      </c>
    </row>
    <row r="67" spans="2:11">
      <c r="B67" s="497">
        <v>2</v>
      </c>
      <c r="C67" s="109" t="s">
        <v>323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Per 50 m</v>
      </c>
      <c r="F67" s="366">
        <f>F66/200</f>
        <v>0.4</v>
      </c>
      <c r="G67" s="360">
        <f ca="1">IF(ISERROR(OFFSET('HARGA SATUAN'!$I$6,MATCH(RAB!C67,'HARGA SATUAN'!$C$7:$C$1492,0),0)),0,OFFSET('HARGA SATUAN'!$I$6,MATCH(RAB!C67,'HARGA SATUAN'!$C$7:$C$1492,0),0))</f>
        <v>330110</v>
      </c>
      <c r="H67" s="361">
        <f t="shared" ca="1" si="20"/>
        <v>0</v>
      </c>
      <c r="I67" s="361">
        <f t="shared" ca="1" si="21"/>
        <v>0</v>
      </c>
      <c r="J67" s="361">
        <f t="shared" ca="1" si="22"/>
        <v>132044</v>
      </c>
      <c r="K67" s="362">
        <f t="shared" ca="1" si="23"/>
        <v>132044</v>
      </c>
    </row>
    <row r="68" spans="2:11">
      <c r="B68" s="497"/>
      <c r="C68" s="49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6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1">
      <c r="B69" s="500" t="s">
        <v>524</v>
      </c>
      <c r="C69" s="501" t="s">
        <v>1625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6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20"/>
        <v>0</v>
      </c>
      <c r="I69" s="361">
        <f t="shared" ca="1" si="21"/>
        <v>0</v>
      </c>
      <c r="J69" s="361">
        <f t="shared" ca="1" si="22"/>
        <v>0</v>
      </c>
      <c r="K69" s="362">
        <f t="shared" ca="1" si="23"/>
        <v>0</v>
      </c>
    </row>
    <row r="70" spans="2:11">
      <c r="B70" s="500"/>
      <c r="C70" s="501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6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0"/>
        <v>0</v>
      </c>
      <c r="I70" s="361">
        <f t="shared" ca="1" si="21"/>
        <v>0</v>
      </c>
      <c r="J70" s="361">
        <f t="shared" ca="1" si="22"/>
        <v>0</v>
      </c>
      <c r="K70" s="362">
        <f t="shared" ca="1" si="23"/>
        <v>0</v>
      </c>
    </row>
    <row r="71" spans="2:11">
      <c r="B71" s="709" t="s">
        <v>1035</v>
      </c>
      <c r="C71" s="710" t="s">
        <v>1631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491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88" ca="1" si="24">IF(OR(D71="MDU",D71="MDU-KD"),(IF($O$3="RAB NON MDU","PLN KD",G71*F71)),0)</f>
        <v>0</v>
      </c>
      <c r="I71" s="361">
        <f t="shared" ref="I71:I88" ca="1" si="25">IF(D71="HDW",G71*F71,0)</f>
        <v>0</v>
      </c>
      <c r="J71" s="361">
        <f t="shared" ref="J71:J88" ca="1" si="26">IF(D71="JASA",G71*F71,0)</f>
        <v>0</v>
      </c>
      <c r="K71" s="362">
        <f t="shared" ref="K71:K88" ca="1" si="27">SUM(H71:J71)</f>
        <v>0</v>
      </c>
    </row>
    <row r="72" spans="2:11">
      <c r="B72" s="709">
        <v>1</v>
      </c>
      <c r="C72" s="109" t="s">
        <v>1147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91">
        <f>F71*1</f>
        <v>1</v>
      </c>
      <c r="G72" s="360">
        <f ca="1">IF(ISERROR(OFFSET('HARGA SATUAN'!$I$6,MATCH(RAB!C72,'HARGA SATUAN'!$C$7:$C$1492,0),0)),0,OFFSET('HARGA SATUAN'!$I$6,MATCH(RAB!C72,'HARGA SATUAN'!$C$7:$C$1492,0),0))</f>
        <v>56838600</v>
      </c>
      <c r="H72" s="361">
        <f t="shared" ca="1" si="24"/>
        <v>56838600</v>
      </c>
      <c r="I72" s="361">
        <f t="shared" ca="1" si="25"/>
        <v>0</v>
      </c>
      <c r="J72" s="361">
        <f t="shared" ca="1" si="26"/>
        <v>0</v>
      </c>
      <c r="K72" s="362">
        <f t="shared" ca="1" si="27"/>
        <v>56838600</v>
      </c>
    </row>
    <row r="73" spans="2:11">
      <c r="B73" s="488">
        <v>2</v>
      </c>
      <c r="C73" s="507" t="s">
        <v>1618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8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4"/>
        <v>0</v>
      </c>
      <c r="I73" s="361">
        <f t="shared" ca="1" si="25"/>
        <v>0</v>
      </c>
      <c r="J73" s="361">
        <f t="shared" ca="1" si="26"/>
        <v>0</v>
      </c>
      <c r="K73" s="362">
        <f t="shared" ca="1" si="27"/>
        <v>0</v>
      </c>
    </row>
    <row r="74" spans="2:11">
      <c r="B74" s="709"/>
      <c r="C74" s="507" t="s">
        <v>65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491">
        <f>F71*(3*3)</f>
        <v>9</v>
      </c>
      <c r="G74" s="360">
        <f ca="1">IF(ISERROR(OFFSET('HARGA SATUAN'!$I$6,MATCH(RAB!C74,'HARGA SATUAN'!$C$7:$C$1492,0),0)),0,OFFSET('HARGA SATUAN'!$I$6,MATCH(RAB!C74,'HARGA SATUAN'!$C$7:$C$1492,0),0))</f>
        <v>14200</v>
      </c>
      <c r="H74" s="361">
        <f t="shared" ca="1" si="24"/>
        <v>127800</v>
      </c>
      <c r="I74" s="361">
        <f t="shared" ca="1" si="25"/>
        <v>0</v>
      </c>
      <c r="J74" s="361">
        <f t="shared" ca="1" si="26"/>
        <v>0</v>
      </c>
      <c r="K74" s="362">
        <f t="shared" ca="1" si="27"/>
        <v>127800</v>
      </c>
    </row>
    <row r="75" spans="2:11">
      <c r="B75" s="709"/>
      <c r="C75" s="109" t="s">
        <v>1460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491">
        <f>F71*3</f>
        <v>3</v>
      </c>
      <c r="G75" s="360">
        <f ca="1">IF(ISERROR(OFFSET('HARGA SATUAN'!$I$6,MATCH(RAB!C75,'HARGA SATUAN'!$C$7:$C$1492,0),0)),0,OFFSET('HARGA SATUAN'!$I$6,MATCH(RAB!C75,'HARGA SATUAN'!$C$7:$C$1492,0),0))</f>
        <v>54500</v>
      </c>
      <c r="H75" s="361">
        <f t="shared" ca="1" si="24"/>
        <v>163500</v>
      </c>
      <c r="I75" s="361">
        <f t="shared" ca="1" si="25"/>
        <v>0</v>
      </c>
      <c r="J75" s="361">
        <f t="shared" ca="1" si="26"/>
        <v>0</v>
      </c>
      <c r="K75" s="362">
        <f t="shared" ca="1" si="27"/>
        <v>163500</v>
      </c>
    </row>
    <row r="76" spans="2:11">
      <c r="B76" s="709">
        <v>3</v>
      </c>
      <c r="C76" s="109" t="s">
        <v>559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91">
        <f>F71*3</f>
        <v>3</v>
      </c>
      <c r="G76" s="360">
        <f ca="1">IF(ISERROR(OFFSET('HARGA SATUAN'!$I$6,MATCH(RAB!C76,'HARGA SATUAN'!$C$7:$C$1492,0),0)),0,OFFSET('HARGA SATUAN'!$I$6,MATCH(RAB!C76,'HARGA SATUAN'!$C$7:$C$1492,0),0))</f>
        <v>725900</v>
      </c>
      <c r="H76" s="361">
        <f t="shared" ca="1" si="24"/>
        <v>2177700</v>
      </c>
      <c r="I76" s="361">
        <f t="shared" ca="1" si="25"/>
        <v>0</v>
      </c>
      <c r="J76" s="361">
        <f t="shared" ca="1" si="26"/>
        <v>0</v>
      </c>
      <c r="K76" s="362">
        <f t="shared" ca="1" si="27"/>
        <v>2177700</v>
      </c>
    </row>
    <row r="77" spans="2:11">
      <c r="B77" s="709">
        <v>4</v>
      </c>
      <c r="C77" s="710" t="s">
        <v>535</v>
      </c>
      <c r="D77" s="358" t="str">
        <f ca="1">IF(ISERROR(OFFSET('HARGA SATUAN'!$D$6,MATCH(RAB!C77,'HARGA SATUAN'!$C$7:$C$1492,0),0)),"",OFFSET('HARGA SATUAN'!$D$6,MATCH(RAB!C77,'HARGA SATUAN'!$C$7:$C$1492,0),0))</f>
        <v>MDU-KD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91">
        <f>F71*3</f>
        <v>3</v>
      </c>
      <c r="G77" s="360">
        <f ca="1">IF(ISERROR(OFFSET('HARGA SATUAN'!$I$6,MATCH(RAB!C77,'HARGA SATUAN'!$C$7:$C$1492,0),0)),0,OFFSET('HARGA SATUAN'!$I$6,MATCH(RAB!C77,'HARGA SATUAN'!$C$7:$C$1492,0),0))</f>
        <v>848250</v>
      </c>
      <c r="H77" s="361">
        <f t="shared" ca="1" si="24"/>
        <v>2544750</v>
      </c>
      <c r="I77" s="361">
        <f t="shared" ca="1" si="25"/>
        <v>0</v>
      </c>
      <c r="J77" s="361">
        <f t="shared" ca="1" si="26"/>
        <v>0</v>
      </c>
      <c r="K77" s="362">
        <f t="shared" ca="1" si="27"/>
        <v>2544750</v>
      </c>
    </row>
    <row r="78" spans="2:11">
      <c r="B78" s="709">
        <v>5</v>
      </c>
      <c r="C78" s="710" t="s">
        <v>55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1">
        <f>F71*3</f>
        <v>3</v>
      </c>
      <c r="G78" s="360">
        <f ca="1">IF(ISERROR(OFFSET('HARGA SATUAN'!$I$6,MATCH(RAB!C78,'HARGA SATUAN'!$C$7:$C$1492,0),0)),0,OFFSET('HARGA SATUAN'!$I$6,MATCH(RAB!C78,'HARGA SATUAN'!$C$7:$C$1492,0),0))</f>
        <v>18000</v>
      </c>
      <c r="H78" s="361">
        <f t="shared" ca="1" si="24"/>
        <v>0</v>
      </c>
      <c r="I78" s="361">
        <f t="shared" ca="1" si="25"/>
        <v>54000</v>
      </c>
      <c r="J78" s="361">
        <f t="shared" ca="1" si="26"/>
        <v>0</v>
      </c>
      <c r="K78" s="362">
        <f t="shared" ca="1" si="27"/>
        <v>54000</v>
      </c>
    </row>
    <row r="79" spans="2:11">
      <c r="B79" s="709">
        <v>6</v>
      </c>
      <c r="C79" s="109" t="s">
        <v>1570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1">
        <f>F71*13</f>
        <v>13</v>
      </c>
      <c r="G79" s="360">
        <f ca="1">IF(ISERROR(OFFSET('HARGA SATUAN'!$I$6,MATCH(RAB!C79,'HARGA SATUAN'!$C$7:$C$1492,0),0)),0,OFFSET('HARGA SATUAN'!$I$6,MATCH(RAB!C79,'HARGA SATUAN'!$C$7:$C$1492,0),0))</f>
        <v>49000</v>
      </c>
      <c r="H79" s="361">
        <f t="shared" ca="1" si="24"/>
        <v>0</v>
      </c>
      <c r="I79" s="361">
        <f t="shared" ca="1" si="25"/>
        <v>637000</v>
      </c>
      <c r="J79" s="361">
        <f t="shared" ca="1" si="26"/>
        <v>0</v>
      </c>
      <c r="K79" s="362">
        <f t="shared" ca="1" si="27"/>
        <v>637000</v>
      </c>
    </row>
    <row r="80" spans="2:11">
      <c r="B80" s="709">
        <v>7</v>
      </c>
      <c r="C80" s="710" t="s">
        <v>163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491">
        <f>F71*22</f>
        <v>22</v>
      </c>
      <c r="G80" s="360">
        <f ca="1">IF(ISERROR(OFFSET('HARGA SATUAN'!$I$6,MATCH(RAB!C80,'HARGA SATUAN'!$C$7:$C$1492,0),0)),0,OFFSET('HARGA SATUAN'!$I$6,MATCH(RAB!C80,'HARGA SATUAN'!$C$7:$C$1492,0),0))</f>
        <v>7938</v>
      </c>
      <c r="H80" s="361">
        <f t="shared" ca="1" si="24"/>
        <v>0</v>
      </c>
      <c r="I80" s="361">
        <f t="shared" ca="1" si="25"/>
        <v>174636</v>
      </c>
      <c r="J80" s="361">
        <f t="shared" ca="1" si="26"/>
        <v>0</v>
      </c>
      <c r="K80" s="362">
        <f t="shared" ca="1" si="27"/>
        <v>174636</v>
      </c>
    </row>
    <row r="81" spans="2:11" ht="30">
      <c r="B81" s="709">
        <v>8</v>
      </c>
      <c r="C81" s="710" t="s">
        <v>176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491">
        <f>F71*1</f>
        <v>1</v>
      </c>
      <c r="G81" s="360">
        <f ca="1">IF(ISERROR(OFFSET('HARGA SATUAN'!$I$6,MATCH(RAB!C81,'HARGA SATUAN'!$C$7:$C$1492,0),0)),0,OFFSET('HARGA SATUAN'!$I$6,MATCH(RAB!C81,'HARGA SATUAN'!$C$7:$C$1492,0),0))</f>
        <v>404600</v>
      </c>
      <c r="H81" s="361">
        <f t="shared" ca="1" si="24"/>
        <v>0</v>
      </c>
      <c r="I81" s="361">
        <f t="shared" ca="1" si="25"/>
        <v>404600</v>
      </c>
      <c r="J81" s="361">
        <f t="shared" ca="1" si="26"/>
        <v>0</v>
      </c>
      <c r="K81" s="362">
        <f t="shared" ca="1" si="27"/>
        <v>404600</v>
      </c>
    </row>
    <row r="82" spans="2:11">
      <c r="B82" s="709">
        <v>9</v>
      </c>
      <c r="C82" s="710" t="s">
        <v>184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91">
        <f>F71*3</f>
        <v>3</v>
      </c>
      <c r="G82" s="360">
        <f ca="1">IF(ISERROR(OFFSET('HARGA SATUAN'!$I$6,MATCH(RAB!C82,'HARGA SATUAN'!$C$7:$C$1492,0),0)),0,OFFSET('HARGA SATUAN'!$I$6,MATCH(RAB!C82,'HARGA SATUAN'!$C$7:$C$1492,0),0))</f>
        <v>15900</v>
      </c>
      <c r="H82" s="361">
        <f t="shared" ca="1" si="24"/>
        <v>0</v>
      </c>
      <c r="I82" s="361">
        <f t="shared" ca="1" si="25"/>
        <v>47700</v>
      </c>
      <c r="J82" s="361">
        <f t="shared" ca="1" si="26"/>
        <v>0</v>
      </c>
      <c r="K82" s="362">
        <f t="shared" ca="1" si="27"/>
        <v>47700</v>
      </c>
    </row>
    <row r="83" spans="2:11">
      <c r="B83" s="709">
        <v>10</v>
      </c>
      <c r="C83" s="710" t="s">
        <v>592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91">
        <f>F71*5</f>
        <v>5</v>
      </c>
      <c r="G83" s="360">
        <f ca="1">IF(ISERROR(OFFSET('HARGA SATUAN'!$I$6,MATCH(RAB!C83,'HARGA SATUAN'!$C$7:$C$1492,0),0)),0,OFFSET('HARGA SATUAN'!$I$6,MATCH(RAB!C83,'HARGA SATUAN'!$C$7:$C$1492,0),0))</f>
        <v>283100</v>
      </c>
      <c r="H83" s="361">
        <f t="shared" ca="1" si="24"/>
        <v>0</v>
      </c>
      <c r="I83" s="361">
        <f t="shared" ca="1" si="25"/>
        <v>1415500</v>
      </c>
      <c r="J83" s="361">
        <f t="shared" ca="1" si="26"/>
        <v>0</v>
      </c>
      <c r="K83" s="362">
        <f t="shared" ca="1" si="27"/>
        <v>1415500</v>
      </c>
    </row>
    <row r="84" spans="2:11">
      <c r="B84" s="709">
        <v>11</v>
      </c>
      <c r="C84" s="710" t="s">
        <v>593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91">
        <f>F71*4</f>
        <v>4</v>
      </c>
      <c r="G84" s="360">
        <f ca="1">IF(ISERROR(OFFSET('HARGA SATUAN'!$I$6,MATCH(RAB!C84,'HARGA SATUAN'!$C$7:$C$1492,0),0)),0,OFFSET('HARGA SATUAN'!$I$6,MATCH(RAB!C84,'HARGA SATUAN'!$C$7:$C$1492,0),0))</f>
        <v>380500</v>
      </c>
      <c r="H84" s="361">
        <f t="shared" ca="1" si="24"/>
        <v>0</v>
      </c>
      <c r="I84" s="361">
        <f t="shared" ca="1" si="25"/>
        <v>1522000</v>
      </c>
      <c r="J84" s="361">
        <f t="shared" ca="1" si="26"/>
        <v>0</v>
      </c>
      <c r="K84" s="362">
        <f t="shared" ca="1" si="27"/>
        <v>1522000</v>
      </c>
    </row>
    <row r="85" spans="2:11">
      <c r="B85" s="709">
        <v>12</v>
      </c>
      <c r="C85" s="710" t="s">
        <v>208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91">
        <f>F71*3</f>
        <v>3</v>
      </c>
      <c r="G85" s="360">
        <f ca="1">IF(ISERROR(OFFSET('HARGA SATUAN'!$I$6,MATCH(RAB!C85,'HARGA SATUAN'!$C$7:$C$1492,0),0)),0,OFFSET('HARGA SATUAN'!$I$6,MATCH(RAB!C85,'HARGA SATUAN'!$C$7:$C$1492,0),0))</f>
        <v>173400</v>
      </c>
      <c r="H85" s="361">
        <f t="shared" ca="1" si="24"/>
        <v>0</v>
      </c>
      <c r="I85" s="361">
        <f t="shared" ca="1" si="25"/>
        <v>520200</v>
      </c>
      <c r="J85" s="361">
        <f t="shared" ca="1" si="26"/>
        <v>0</v>
      </c>
      <c r="K85" s="362">
        <f t="shared" ca="1" si="27"/>
        <v>520200</v>
      </c>
    </row>
    <row r="86" spans="2:11">
      <c r="B86" s="709">
        <v>13</v>
      </c>
      <c r="C86" s="710" t="s">
        <v>247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1">
        <f>F71*1</f>
        <v>1</v>
      </c>
      <c r="G86" s="360">
        <f ca="1">IF(ISERROR(OFFSET('HARGA SATUAN'!$I$6,MATCH(RAB!C86,'HARGA SATUAN'!$C$7:$C$1492,0),0)),0,OFFSET('HARGA SATUAN'!$I$6,MATCH(RAB!C86,'HARGA SATUAN'!$C$7:$C$1492,0),0))</f>
        <v>57690</v>
      </c>
      <c r="H86" s="361">
        <f t="shared" ca="1" si="24"/>
        <v>0</v>
      </c>
      <c r="I86" s="361">
        <f t="shared" ca="1" si="25"/>
        <v>57690</v>
      </c>
      <c r="J86" s="361">
        <f t="shared" ca="1" si="26"/>
        <v>0</v>
      </c>
      <c r="K86" s="362">
        <f t="shared" ca="1" si="27"/>
        <v>57690</v>
      </c>
    </row>
    <row r="87" spans="2:11">
      <c r="B87" s="709">
        <v>14</v>
      </c>
      <c r="C87" s="710" t="s">
        <v>234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91">
        <f>F71*2</f>
        <v>2</v>
      </c>
      <c r="G87" s="360">
        <f ca="1">IF(ISERROR(OFFSET('HARGA SATUAN'!$I$6,MATCH(RAB!C87,'HARGA SATUAN'!$C$7:$C$1492,0),0)),0,OFFSET('HARGA SATUAN'!$I$6,MATCH(RAB!C87,'HARGA SATUAN'!$C$7:$C$1492,0),0))</f>
        <v>67500</v>
      </c>
      <c r="H87" s="361">
        <f t="shared" ca="1" si="24"/>
        <v>0</v>
      </c>
      <c r="I87" s="361">
        <f t="shared" ca="1" si="25"/>
        <v>135000</v>
      </c>
      <c r="J87" s="361">
        <f t="shared" ca="1" si="26"/>
        <v>0</v>
      </c>
      <c r="K87" s="362">
        <f t="shared" ca="1" si="27"/>
        <v>135000</v>
      </c>
    </row>
    <row r="88" spans="2:11">
      <c r="B88" s="709">
        <v>15</v>
      </c>
      <c r="C88" s="710" t="s">
        <v>267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91">
        <f>F71*2</f>
        <v>2</v>
      </c>
      <c r="G88" s="360">
        <f ca="1">IF(ISERROR(OFFSET('HARGA SATUAN'!$I$6,MATCH(RAB!C88,'HARGA SATUAN'!$C$7:$C$1492,0),0)),0,OFFSET('HARGA SATUAN'!$I$6,MATCH(RAB!C88,'HARGA SATUAN'!$C$7:$C$1492,0),0))</f>
        <v>129000</v>
      </c>
      <c r="H88" s="361">
        <f t="shared" ca="1" si="24"/>
        <v>0</v>
      </c>
      <c r="I88" s="361">
        <f t="shared" ca="1" si="25"/>
        <v>258000</v>
      </c>
      <c r="J88" s="361">
        <f t="shared" ca="1" si="26"/>
        <v>0</v>
      </c>
      <c r="K88" s="362">
        <f t="shared" ca="1" si="27"/>
        <v>258000</v>
      </c>
    </row>
    <row r="89" spans="2:11">
      <c r="B89" s="709">
        <v>16</v>
      </c>
      <c r="C89" s="710" t="s">
        <v>607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91">
        <f>F71*4</f>
        <v>4</v>
      </c>
      <c r="G89" s="360">
        <f ca="1">IF(ISERROR(OFFSET('HARGA SATUAN'!$I$6,MATCH(RAB!C89,'HARGA SATUAN'!$C$7:$C$1492,0),0)),0,OFFSET('HARGA SATUAN'!$I$6,MATCH(RAB!C89,'HARGA SATUAN'!$C$7:$C$1492,0),0))</f>
        <v>250000</v>
      </c>
      <c r="H89" s="361">
        <f t="shared" ref="H89:H90" ca="1" si="28">IF(OR(D89="MDU",D89="MDU-KD"),(IF($O$3="RAB NON MDU","PLN KD",G89*F89)),0)</f>
        <v>0</v>
      </c>
      <c r="I89" s="361">
        <f t="shared" ref="I89:I90" ca="1" si="29">IF(D89="HDW",G89*F89,0)</f>
        <v>1000000</v>
      </c>
      <c r="J89" s="361">
        <f t="shared" ref="J89:J90" ca="1" si="30">IF(D89="JASA",G89*F89,0)</f>
        <v>0</v>
      </c>
      <c r="K89" s="362">
        <f t="shared" ref="K89:K90" ca="1" si="31">SUM(H89:J89)</f>
        <v>1000000</v>
      </c>
    </row>
    <row r="90" spans="2:11">
      <c r="B90" s="709">
        <v>17</v>
      </c>
      <c r="C90" s="710" t="s">
        <v>784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491">
        <f>F71*1</f>
        <v>1</v>
      </c>
      <c r="G90" s="360">
        <f ca="1">IF(ISERROR(OFFSET('HARGA SATUAN'!$I$6,MATCH(RAB!C90,'HARGA SATUAN'!$C$7:$C$1492,0),0)),0,OFFSET('HARGA SATUAN'!$I$6,MATCH(RAB!C90,'HARGA SATUAN'!$C$7:$C$1492,0),0))</f>
        <v>2953300</v>
      </c>
      <c r="H90" s="361">
        <f t="shared" ca="1" si="28"/>
        <v>0</v>
      </c>
      <c r="I90" s="361">
        <f t="shared" ca="1" si="29"/>
        <v>0</v>
      </c>
      <c r="J90" s="361">
        <f t="shared" ca="1" si="30"/>
        <v>2953300</v>
      </c>
      <c r="K90" s="362">
        <f t="shared" ca="1" si="31"/>
        <v>2953300</v>
      </c>
    </row>
    <row r="91" spans="2:11">
      <c r="B91" s="709"/>
      <c r="C91" s="710"/>
      <c r="D91" s="358"/>
      <c r="E91" s="359"/>
      <c r="F91" s="491"/>
      <c r="G91" s="360"/>
      <c r="H91" s="361"/>
      <c r="I91" s="361"/>
      <c r="J91" s="361"/>
      <c r="K91" s="362"/>
    </row>
    <row r="92" spans="2:11">
      <c r="B92" s="488" t="s">
        <v>1035</v>
      </c>
      <c r="C92" s="490" t="s">
        <v>1619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491">
        <v>2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ref="H92:H102" ca="1" si="32">IF(OR(D92="MDU",D92="MDU-KD"),(IF($O$3="RAB NON MDU","PLN KD",G92*F92)),0)</f>
        <v>0</v>
      </c>
      <c r="I92" s="361">
        <f t="shared" ref="I92:I102" ca="1" si="33">IF(D92="HDW",G92*F92,0)</f>
        <v>0</v>
      </c>
      <c r="J92" s="361">
        <f t="shared" ref="J92:J102" ca="1" si="34">IF(D92="JASA",G92*F92,0)</f>
        <v>0</v>
      </c>
      <c r="K92" s="362">
        <f t="shared" ref="K92:K102" ca="1" si="35">SUM(H92:J92)</f>
        <v>0</v>
      </c>
    </row>
    <row r="93" spans="2:11">
      <c r="B93" s="488">
        <v>1</v>
      </c>
      <c r="C93" s="489" t="s">
        <v>29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91">
        <f>F92*1</f>
        <v>2</v>
      </c>
      <c r="G93" s="360">
        <f ca="1">IF(ISERROR(OFFSET('HARGA SATUAN'!$I$6,MATCH(RAB!C93,'HARGA SATUAN'!$C$7:$C$1492,0),0)),0,OFFSET('HARGA SATUAN'!$I$6,MATCH(RAB!C93,'HARGA SATUAN'!$C$7:$C$1492,0),0))</f>
        <v>185200</v>
      </c>
      <c r="H93" s="361">
        <f t="shared" ca="1" si="32"/>
        <v>0</v>
      </c>
      <c r="I93" s="361">
        <f t="shared" ca="1" si="33"/>
        <v>370400</v>
      </c>
      <c r="J93" s="361">
        <f t="shared" ca="1" si="34"/>
        <v>0</v>
      </c>
      <c r="K93" s="362">
        <f t="shared" ca="1" si="35"/>
        <v>370400</v>
      </c>
    </row>
    <row r="94" spans="2:11">
      <c r="B94" s="505">
        <v>2</v>
      </c>
      <c r="C94" s="506" t="s">
        <v>30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91">
        <f>F92*1</f>
        <v>2</v>
      </c>
      <c r="G94" s="360">
        <f ca="1">IF(ISERROR(OFFSET('HARGA SATUAN'!$I$6,MATCH(RAB!C94,'HARGA SATUAN'!$C$7:$C$1492,0),0)),0,OFFSET('HARGA SATUAN'!$I$6,MATCH(RAB!C94,'HARGA SATUAN'!$C$7:$C$1492,0),0))</f>
        <v>47459</v>
      </c>
      <c r="H94" s="361">
        <f t="shared" ca="1" si="32"/>
        <v>0</v>
      </c>
      <c r="I94" s="361">
        <f t="shared" ca="1" si="33"/>
        <v>94918</v>
      </c>
      <c r="J94" s="361">
        <f t="shared" ca="1" si="34"/>
        <v>0</v>
      </c>
      <c r="K94" s="362">
        <f t="shared" ca="1" si="35"/>
        <v>94918</v>
      </c>
    </row>
    <row r="95" spans="2:11">
      <c r="B95" s="505">
        <v>3</v>
      </c>
      <c r="C95" s="506" t="s">
        <v>31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91">
        <f>F92*1</f>
        <v>2</v>
      </c>
      <c r="G95" s="360">
        <f ca="1">IF(ISERROR(OFFSET('HARGA SATUAN'!$I$6,MATCH(RAB!C95,'HARGA SATUAN'!$C$7:$C$1492,0),0)),0,OFFSET('HARGA SATUAN'!$I$6,MATCH(RAB!C95,'HARGA SATUAN'!$C$7:$C$1492,0),0))</f>
        <v>4880</v>
      </c>
      <c r="H95" s="361">
        <f t="shared" ca="1" si="32"/>
        <v>0</v>
      </c>
      <c r="I95" s="361">
        <f t="shared" ca="1" si="33"/>
        <v>9760</v>
      </c>
      <c r="J95" s="361">
        <f t="shared" ca="1" si="34"/>
        <v>0</v>
      </c>
      <c r="K95" s="362">
        <f t="shared" ca="1" si="35"/>
        <v>9760</v>
      </c>
    </row>
    <row r="96" spans="2:11">
      <c r="B96" s="505">
        <v>4</v>
      </c>
      <c r="C96" s="506" t="s">
        <v>32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491">
        <f>F92*10</f>
        <v>20</v>
      </c>
      <c r="G96" s="360">
        <f ca="1">IF(ISERROR(OFFSET('HARGA SATUAN'!$I$6,MATCH(RAB!C96,'HARGA SATUAN'!$C$7:$C$1492,0),0)),0,OFFSET('HARGA SATUAN'!$I$6,MATCH(RAB!C96,'HARGA SATUAN'!$C$7:$C$1492,0),0))</f>
        <v>30000</v>
      </c>
      <c r="H96" s="361">
        <f t="shared" ca="1" si="32"/>
        <v>0</v>
      </c>
      <c r="I96" s="361">
        <f t="shared" ca="1" si="33"/>
        <v>600000</v>
      </c>
      <c r="J96" s="361">
        <f t="shared" ca="1" si="34"/>
        <v>0</v>
      </c>
      <c r="K96" s="362">
        <f t="shared" ca="1" si="35"/>
        <v>600000</v>
      </c>
    </row>
    <row r="97" spans="2:11">
      <c r="B97" s="505">
        <v>5</v>
      </c>
      <c r="C97" s="506" t="s">
        <v>33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1">
        <f>F92*2</f>
        <v>4</v>
      </c>
      <c r="G97" s="360">
        <f ca="1">IF(ISERROR(OFFSET('HARGA SATUAN'!$I$6,MATCH(RAB!C97,'HARGA SATUAN'!$C$7:$C$1492,0),0)),0,OFFSET('HARGA SATUAN'!$I$6,MATCH(RAB!C97,'HARGA SATUAN'!$C$7:$C$1492,0),0))</f>
        <v>9500</v>
      </c>
      <c r="H97" s="361">
        <f t="shared" ca="1" si="32"/>
        <v>0</v>
      </c>
      <c r="I97" s="361">
        <f t="shared" ca="1" si="33"/>
        <v>38000</v>
      </c>
      <c r="J97" s="361">
        <f t="shared" ca="1" si="34"/>
        <v>0</v>
      </c>
      <c r="K97" s="362">
        <f t="shared" ca="1" si="35"/>
        <v>38000</v>
      </c>
    </row>
    <row r="98" spans="2:11">
      <c r="B98" s="505">
        <v>6</v>
      </c>
      <c r="C98" s="506" t="s">
        <v>34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1">
        <f>F92*5.5</f>
        <v>11</v>
      </c>
      <c r="G98" s="360">
        <f ca="1">IF(ISERROR(OFFSET('HARGA SATUAN'!$I$6,MATCH(RAB!C98,'HARGA SATUAN'!$C$7:$C$1492,0),0)),0,OFFSET('HARGA SATUAN'!$I$6,MATCH(RAB!C98,'HARGA SATUAN'!$C$7:$C$1492,0),0))</f>
        <v>6100</v>
      </c>
      <c r="H98" s="361">
        <f t="shared" ca="1" si="32"/>
        <v>0</v>
      </c>
      <c r="I98" s="361">
        <f t="shared" ca="1" si="33"/>
        <v>67100</v>
      </c>
      <c r="J98" s="361">
        <f t="shared" ca="1" si="34"/>
        <v>0</v>
      </c>
      <c r="K98" s="362">
        <f t="shared" ca="1" si="35"/>
        <v>67100</v>
      </c>
    </row>
    <row r="99" spans="2:11">
      <c r="B99" s="505">
        <v>7</v>
      </c>
      <c r="C99" s="506" t="s">
        <v>35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91">
        <f>F92*6</f>
        <v>12</v>
      </c>
      <c r="G99" s="360">
        <f ca="1">IF(ISERROR(OFFSET('HARGA SATUAN'!$I$6,MATCH(RAB!C99,'HARGA SATUAN'!$C$7:$C$1492,0),0)),0,OFFSET('HARGA SATUAN'!$I$6,MATCH(RAB!C99,'HARGA SATUAN'!$C$7:$C$1492,0),0))</f>
        <v>2300</v>
      </c>
      <c r="H99" s="361">
        <f t="shared" ca="1" si="32"/>
        <v>0</v>
      </c>
      <c r="I99" s="361">
        <f t="shared" ca="1" si="33"/>
        <v>27600</v>
      </c>
      <c r="J99" s="361">
        <f t="shared" ca="1" si="34"/>
        <v>0</v>
      </c>
      <c r="K99" s="362">
        <f t="shared" ca="1" si="35"/>
        <v>27600</v>
      </c>
    </row>
    <row r="100" spans="2:11">
      <c r="B100" s="505">
        <v>8</v>
      </c>
      <c r="C100" s="506" t="s">
        <v>1620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Mtr</v>
      </c>
      <c r="F100" s="491">
        <f>F92*4.8</f>
        <v>9.6</v>
      </c>
      <c r="G100" s="360">
        <f ca="1">IF(ISERROR(OFFSET('HARGA SATUAN'!$I$6,MATCH(RAB!C100,'HARGA SATUAN'!$C$7:$C$1492,0),0)),0,OFFSET('HARGA SATUAN'!$I$6,MATCH(RAB!C100,'HARGA SATUAN'!$C$7:$C$1492,0),0))</f>
        <v>23310</v>
      </c>
      <c r="H100" s="361">
        <f t="shared" ca="1" si="32"/>
        <v>0</v>
      </c>
      <c r="I100" s="361">
        <f t="shared" ca="1" si="33"/>
        <v>223776</v>
      </c>
      <c r="J100" s="361">
        <f t="shared" ca="1" si="34"/>
        <v>0</v>
      </c>
      <c r="K100" s="362">
        <f t="shared" ca="1" si="35"/>
        <v>223776</v>
      </c>
    </row>
    <row r="101" spans="2:11">
      <c r="B101" s="505">
        <v>9</v>
      </c>
      <c r="C101" s="506" t="s">
        <v>736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491">
        <f>F92*1</f>
        <v>2</v>
      </c>
      <c r="G101" s="360">
        <f ca="1">IF(ISERROR(OFFSET('HARGA SATUAN'!$I$6,MATCH(RAB!C101,'HARGA SATUAN'!$C$7:$C$1492,0),0)),0,OFFSET('HARGA SATUAN'!$I$6,MATCH(RAB!C101,'HARGA SATUAN'!$C$7:$C$1492,0),0))</f>
        <v>65400</v>
      </c>
      <c r="H101" s="361">
        <f t="shared" ca="1" si="32"/>
        <v>0</v>
      </c>
      <c r="I101" s="361">
        <f t="shared" ca="1" si="33"/>
        <v>0</v>
      </c>
      <c r="J101" s="361">
        <f t="shared" ca="1" si="34"/>
        <v>130800</v>
      </c>
      <c r="K101" s="362">
        <f t="shared" ca="1" si="35"/>
        <v>130800</v>
      </c>
    </row>
    <row r="102" spans="2:11">
      <c r="B102" s="500"/>
      <c r="C102" s="501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91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32"/>
        <v>0</v>
      </c>
      <c r="I102" s="361">
        <f t="shared" ca="1" si="33"/>
        <v>0</v>
      </c>
      <c r="J102" s="361">
        <f t="shared" ca="1" si="34"/>
        <v>0</v>
      </c>
      <c r="K102" s="362">
        <f t="shared" ca="1" si="35"/>
        <v>0</v>
      </c>
    </row>
    <row r="103" spans="2:11">
      <c r="B103" s="500" t="s">
        <v>524</v>
      </c>
      <c r="C103" s="501" t="s">
        <v>1455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91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ref="H103:H104" ca="1" si="36">IF(OR(D103="MDU",D103="MDU-KD"),(IF($O$3="RAB NON MDU","PLN KD",G103*F103)),0)</f>
        <v>0</v>
      </c>
      <c r="I103" s="361">
        <f t="shared" ref="I103:I104" ca="1" si="37">IF(D103="HDW",G103*F103,0)</f>
        <v>0</v>
      </c>
      <c r="J103" s="361">
        <f t="shared" ref="J103:J104" ca="1" si="38">IF(D103="JASA",G103*F103,0)</f>
        <v>0</v>
      </c>
      <c r="K103" s="362">
        <f t="shared" ref="K103:K104" ca="1" si="39">SUM(H103:J103)</f>
        <v>0</v>
      </c>
    </row>
    <row r="104" spans="2:11">
      <c r="B104" s="500"/>
      <c r="C104" s="501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491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36"/>
        <v>0</v>
      </c>
      <c r="I104" s="361">
        <f t="shared" ca="1" si="37"/>
        <v>0</v>
      </c>
      <c r="J104" s="361">
        <f t="shared" ca="1" si="38"/>
        <v>0</v>
      </c>
      <c r="K104" s="362">
        <f t="shared" ca="1" si="39"/>
        <v>0</v>
      </c>
    </row>
    <row r="105" spans="2:11">
      <c r="B105" s="492" t="s">
        <v>1035</v>
      </c>
      <c r="C105" s="493" t="s">
        <v>1632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10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ref="H105:H127" ca="1" si="40">IF(OR(D105="MDU",D105="MDU-KD"),(IF($O$3="RAB NON MDU","PLN KD",G105*F105)),0)</f>
        <v>0</v>
      </c>
      <c r="I105" s="361">
        <f t="shared" ref="I105:I127" ca="1" si="41">IF(D105="HDW",G105*F105,0)</f>
        <v>0</v>
      </c>
      <c r="J105" s="361">
        <f t="shared" ref="J105:J127" ca="1" si="42">IF(D105="JASA",G105*F105,0)</f>
        <v>0</v>
      </c>
      <c r="K105" s="362">
        <f t="shared" ref="K105:K127" ca="1" si="43">SUM(H105:J105)</f>
        <v>0</v>
      </c>
    </row>
    <row r="106" spans="2:11" ht="30">
      <c r="B106" s="709">
        <v>1</v>
      </c>
      <c r="C106" s="109" t="s">
        <v>1196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10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1504200</v>
      </c>
      <c r="H106" s="361">
        <f t="shared" ca="1" si="40"/>
        <v>1504200</v>
      </c>
      <c r="I106" s="361">
        <f t="shared" ca="1" si="41"/>
        <v>0</v>
      </c>
      <c r="J106" s="361">
        <f t="shared" ca="1" si="42"/>
        <v>0</v>
      </c>
      <c r="K106" s="362">
        <f t="shared" ca="1" si="43"/>
        <v>1504200</v>
      </c>
    </row>
    <row r="107" spans="2:11">
      <c r="B107" s="709">
        <v>2</v>
      </c>
      <c r="C107" s="711" t="s">
        <v>518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Unit</v>
      </c>
      <c r="F107" s="510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14217900</v>
      </c>
      <c r="H107" s="361">
        <f t="shared" ca="1" si="40"/>
        <v>14217900</v>
      </c>
      <c r="I107" s="361">
        <f t="shared" ca="1" si="41"/>
        <v>0</v>
      </c>
      <c r="J107" s="361">
        <f t="shared" ca="1" si="42"/>
        <v>0</v>
      </c>
      <c r="K107" s="362">
        <f t="shared" ca="1" si="43"/>
        <v>14217900</v>
      </c>
    </row>
    <row r="108" spans="2:11">
      <c r="B108" s="709">
        <v>3</v>
      </c>
      <c r="C108" s="711" t="s">
        <v>1142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10">
        <f>F105*1</f>
        <v>1</v>
      </c>
      <c r="G108" s="360">
        <f ca="1">IF(ISERROR(OFFSET('HARGA SATUAN'!$I$6,MATCH(RAB!C108,'HARGA SATUAN'!$C$7:$C$1492,0),0)),0,OFFSET('HARGA SATUAN'!$I$6,MATCH(RAB!C108,'HARGA SATUAN'!$C$7:$C$1492,0),0))</f>
        <v>1113900</v>
      </c>
      <c r="H108" s="361">
        <f t="shared" ca="1" si="40"/>
        <v>0</v>
      </c>
      <c r="I108" s="361">
        <f t="shared" ca="1" si="41"/>
        <v>1113900</v>
      </c>
      <c r="J108" s="361">
        <f t="shared" ca="1" si="42"/>
        <v>0</v>
      </c>
      <c r="K108" s="362">
        <f t="shared" ca="1" si="43"/>
        <v>1113900</v>
      </c>
    </row>
    <row r="109" spans="2:11">
      <c r="B109" s="709">
        <v>4</v>
      </c>
      <c r="C109" s="109" t="s">
        <v>80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Mtr</v>
      </c>
      <c r="F109" s="510">
        <v>44</v>
      </c>
      <c r="G109" s="360">
        <f ca="1">IF(ISERROR(OFFSET('HARGA SATUAN'!$I$6,MATCH(RAB!C109,'HARGA SATUAN'!$C$7:$C$1492,0),0)),0,OFFSET('HARGA SATUAN'!$I$6,MATCH(RAB!C109,'HARGA SATUAN'!$C$7:$C$1492,0),0))</f>
        <v>94700</v>
      </c>
      <c r="H109" s="361">
        <f t="shared" ca="1" si="40"/>
        <v>4166800</v>
      </c>
      <c r="I109" s="361">
        <f t="shared" ca="1" si="41"/>
        <v>0</v>
      </c>
      <c r="J109" s="361">
        <f t="shared" ca="1" si="42"/>
        <v>0</v>
      </c>
      <c r="K109" s="362">
        <f t="shared" ca="1" si="43"/>
        <v>4166800</v>
      </c>
    </row>
    <row r="110" spans="2:11">
      <c r="B110" s="709">
        <v>5</v>
      </c>
      <c r="C110" s="711" t="s">
        <v>799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10">
        <f>F105*1</f>
        <v>1</v>
      </c>
      <c r="G110" s="360">
        <f ca="1">IF(ISERROR(OFFSET('HARGA SATUAN'!$I$6,MATCH(RAB!C110,'HARGA SATUAN'!$C$7:$C$1492,0),0)),0,OFFSET('HARGA SATUAN'!$I$6,MATCH(RAB!C110,'HARGA SATUAN'!$C$7:$C$1492,0),0))</f>
        <v>106400</v>
      </c>
      <c r="H110" s="361">
        <f t="shared" ca="1" si="40"/>
        <v>0</v>
      </c>
      <c r="I110" s="361">
        <f t="shared" ca="1" si="41"/>
        <v>0</v>
      </c>
      <c r="J110" s="361">
        <f t="shared" ca="1" si="42"/>
        <v>106400</v>
      </c>
      <c r="K110" s="362">
        <f t="shared" ca="1" si="43"/>
        <v>106400</v>
      </c>
    </row>
    <row r="111" spans="2:11">
      <c r="B111" s="497"/>
      <c r="C111" s="499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502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40"/>
        <v>0</v>
      </c>
      <c r="I111" s="361">
        <f t="shared" ca="1" si="41"/>
        <v>0</v>
      </c>
      <c r="J111" s="361">
        <f t="shared" ca="1" si="42"/>
        <v>0</v>
      </c>
      <c r="K111" s="362">
        <f t="shared" ca="1" si="43"/>
        <v>0</v>
      </c>
    </row>
    <row r="112" spans="2:11">
      <c r="B112" s="505" t="s">
        <v>1035</v>
      </c>
      <c r="C112" s="509" t="s">
        <v>1621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10">
        <v>1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40"/>
        <v>0</v>
      </c>
      <c r="I112" s="361">
        <f t="shared" ca="1" si="41"/>
        <v>0</v>
      </c>
      <c r="J112" s="361">
        <f t="shared" ca="1" si="42"/>
        <v>0</v>
      </c>
      <c r="K112" s="362">
        <f t="shared" ca="1" si="43"/>
        <v>0</v>
      </c>
    </row>
    <row r="113" spans="2:11">
      <c r="B113" s="505">
        <v>1</v>
      </c>
      <c r="C113" s="509" t="s">
        <v>115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10">
        <f>F112*1</f>
        <v>1</v>
      </c>
      <c r="G113" s="360">
        <f ca="1">IF(ISERROR(OFFSET('HARGA SATUAN'!$I$6,MATCH(RAB!C113,'HARGA SATUAN'!$C$7:$C$1492,0),0)),0,OFFSET('HARGA SATUAN'!$I$6,MATCH(RAB!C113,'HARGA SATUAN'!$C$7:$C$1492,0),0))</f>
        <v>11500</v>
      </c>
      <c r="H113" s="361">
        <f t="shared" ca="1" si="40"/>
        <v>0</v>
      </c>
      <c r="I113" s="361">
        <f t="shared" ca="1" si="41"/>
        <v>11500</v>
      </c>
      <c r="J113" s="361">
        <f t="shared" ca="1" si="42"/>
        <v>0</v>
      </c>
      <c r="K113" s="362">
        <f t="shared" ca="1" si="43"/>
        <v>11500</v>
      </c>
    </row>
    <row r="114" spans="2:11">
      <c r="B114" s="505">
        <v>2</v>
      </c>
      <c r="C114" s="509" t="s">
        <v>145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Set</v>
      </c>
      <c r="F114" s="510">
        <f>F112*1</f>
        <v>1</v>
      </c>
      <c r="G114" s="360">
        <f ca="1">IF(ISERROR(OFFSET('HARGA SATUAN'!$I$6,MATCH(RAB!C114,'HARGA SATUAN'!$C$7:$C$1492,0),0)),0,OFFSET('HARGA SATUAN'!$I$6,MATCH(RAB!C114,'HARGA SATUAN'!$C$7:$C$1492,0),0))</f>
        <v>6200</v>
      </c>
      <c r="H114" s="361">
        <f t="shared" ca="1" si="40"/>
        <v>0</v>
      </c>
      <c r="I114" s="361">
        <f t="shared" ca="1" si="41"/>
        <v>6200</v>
      </c>
      <c r="J114" s="361">
        <f t="shared" ca="1" si="42"/>
        <v>0</v>
      </c>
      <c r="K114" s="362">
        <f t="shared" ca="1" si="43"/>
        <v>6200</v>
      </c>
    </row>
    <row r="115" spans="2:11">
      <c r="B115" s="505">
        <v>3</v>
      </c>
      <c r="C115" s="509" t="s">
        <v>587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Btg</v>
      </c>
      <c r="F115" s="510">
        <f>F112*1</f>
        <v>1</v>
      </c>
      <c r="G115" s="360">
        <f ca="1">IF(ISERROR(OFFSET('HARGA SATUAN'!$I$6,MATCH(RAB!C115,'HARGA SATUAN'!$C$7:$C$1492,0),0)),0,OFFSET('HARGA SATUAN'!$I$6,MATCH(RAB!C115,'HARGA SATUAN'!$C$7:$C$1492,0),0))</f>
        <v>45796</v>
      </c>
      <c r="H115" s="361">
        <f t="shared" ca="1" si="40"/>
        <v>0</v>
      </c>
      <c r="I115" s="361">
        <f t="shared" ca="1" si="41"/>
        <v>45796</v>
      </c>
      <c r="J115" s="361">
        <f t="shared" ca="1" si="42"/>
        <v>0</v>
      </c>
      <c r="K115" s="362">
        <f t="shared" ca="1" si="43"/>
        <v>45796</v>
      </c>
    </row>
    <row r="116" spans="2:11">
      <c r="B116" s="505">
        <v>4</v>
      </c>
      <c r="C116" s="509" t="s">
        <v>118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Set</v>
      </c>
      <c r="F116" s="510">
        <f>F112*1</f>
        <v>1</v>
      </c>
      <c r="G116" s="360">
        <f ca="1">IF(ISERROR(OFFSET('HARGA SATUAN'!$I$6,MATCH(RAB!C116,'HARGA SATUAN'!$C$7:$C$1492,0),0)),0,OFFSET('HARGA SATUAN'!$I$6,MATCH(RAB!C116,'HARGA SATUAN'!$C$7:$C$1492,0),0))</f>
        <v>5300</v>
      </c>
      <c r="H116" s="361">
        <f t="shared" ca="1" si="40"/>
        <v>0</v>
      </c>
      <c r="I116" s="361">
        <f t="shared" ca="1" si="41"/>
        <v>5300</v>
      </c>
      <c r="J116" s="361">
        <f t="shared" ca="1" si="42"/>
        <v>0</v>
      </c>
      <c r="K116" s="362">
        <f t="shared" ca="1" si="43"/>
        <v>5300</v>
      </c>
    </row>
    <row r="117" spans="2:11">
      <c r="B117" s="505">
        <v>5</v>
      </c>
      <c r="C117" s="509" t="s">
        <v>117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10">
        <f>F112*1</f>
        <v>1</v>
      </c>
      <c r="G117" s="360">
        <f ca="1">IF(ISERROR(OFFSET('HARGA SATUAN'!$I$6,MATCH(RAB!C117,'HARGA SATUAN'!$C$7:$C$1492,0),0)),0,OFFSET('HARGA SATUAN'!$I$6,MATCH(RAB!C117,'HARGA SATUAN'!$C$7:$C$1492,0),0))</f>
        <v>58600</v>
      </c>
      <c r="H117" s="361">
        <f t="shared" ca="1" si="40"/>
        <v>0</v>
      </c>
      <c r="I117" s="361">
        <f t="shared" ca="1" si="41"/>
        <v>58600</v>
      </c>
      <c r="J117" s="361">
        <f t="shared" ca="1" si="42"/>
        <v>0</v>
      </c>
      <c r="K117" s="362">
        <f t="shared" ca="1" si="43"/>
        <v>58600</v>
      </c>
    </row>
    <row r="118" spans="2:11">
      <c r="B118" s="505">
        <v>6</v>
      </c>
      <c r="C118" s="109" t="s">
        <v>1155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10">
        <f>F112*2</f>
        <v>2</v>
      </c>
      <c r="G118" s="360">
        <f ca="1">IF(ISERROR(OFFSET('HARGA SATUAN'!$I$6,MATCH(RAB!C118,'HARGA SATUAN'!$C$7:$C$1492,0),0)),0,OFFSET('HARGA SATUAN'!$I$6,MATCH(RAB!C118,'HARGA SATUAN'!$C$7:$C$1492,0),0))</f>
        <v>2900</v>
      </c>
      <c r="H118" s="361">
        <f t="shared" ca="1" si="40"/>
        <v>0</v>
      </c>
      <c r="I118" s="361">
        <f t="shared" ca="1" si="41"/>
        <v>5800</v>
      </c>
      <c r="J118" s="361">
        <f t="shared" ca="1" si="42"/>
        <v>0</v>
      </c>
      <c r="K118" s="362">
        <f t="shared" ca="1" si="43"/>
        <v>5800</v>
      </c>
    </row>
    <row r="119" spans="2:11">
      <c r="B119" s="505">
        <v>7</v>
      </c>
      <c r="C119" s="509" t="s">
        <v>119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Set</v>
      </c>
      <c r="F119" s="510">
        <f>F112*4</f>
        <v>4</v>
      </c>
      <c r="G119" s="360">
        <f ca="1">IF(ISERROR(OFFSET('HARGA SATUAN'!$I$6,MATCH(RAB!C119,'HARGA SATUAN'!$C$7:$C$1492,0),0)),0,OFFSET('HARGA SATUAN'!$I$6,MATCH(RAB!C119,'HARGA SATUAN'!$C$7:$C$1492,0),0))</f>
        <v>8900</v>
      </c>
      <c r="H119" s="361">
        <f t="shared" ca="1" si="40"/>
        <v>0</v>
      </c>
      <c r="I119" s="361">
        <f t="shared" ca="1" si="41"/>
        <v>35600</v>
      </c>
      <c r="J119" s="361">
        <f t="shared" ca="1" si="42"/>
        <v>0</v>
      </c>
      <c r="K119" s="362">
        <f t="shared" ca="1" si="43"/>
        <v>35600</v>
      </c>
    </row>
    <row r="120" spans="2:11">
      <c r="B120" s="497"/>
      <c r="C120" s="499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502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40"/>
        <v>0</v>
      </c>
      <c r="I120" s="361">
        <f t="shared" ca="1" si="41"/>
        <v>0</v>
      </c>
      <c r="J120" s="361">
        <f t="shared" ca="1" si="42"/>
        <v>0</v>
      </c>
      <c r="K120" s="362">
        <f t="shared" ca="1" si="43"/>
        <v>0</v>
      </c>
    </row>
    <row r="121" spans="2:11">
      <c r="B121" s="497" t="s">
        <v>1035</v>
      </c>
      <c r="C121" s="498" t="s">
        <v>1617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491">
        <v>1</v>
      </c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40"/>
        <v>0</v>
      </c>
      <c r="I121" s="361">
        <f t="shared" ca="1" si="41"/>
        <v>0</v>
      </c>
      <c r="J121" s="361">
        <f t="shared" ca="1" si="42"/>
        <v>0</v>
      </c>
      <c r="K121" s="362">
        <f t="shared" ca="1" si="43"/>
        <v>0</v>
      </c>
    </row>
    <row r="122" spans="2:11">
      <c r="B122" s="497">
        <v>1</v>
      </c>
      <c r="C122" s="498" t="s">
        <v>29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491">
        <f>F121*1</f>
        <v>1</v>
      </c>
      <c r="G122" s="360">
        <f ca="1">IF(ISERROR(OFFSET('HARGA SATUAN'!$I$6,MATCH(RAB!C122,'HARGA SATUAN'!$C$7:$C$1492,0),0)),0,OFFSET('HARGA SATUAN'!$I$6,MATCH(RAB!C122,'HARGA SATUAN'!$C$7:$C$1492,0),0))</f>
        <v>185200</v>
      </c>
      <c r="H122" s="361">
        <f t="shared" ca="1" si="40"/>
        <v>0</v>
      </c>
      <c r="I122" s="361">
        <f t="shared" ca="1" si="41"/>
        <v>185200</v>
      </c>
      <c r="J122" s="361">
        <f t="shared" ca="1" si="42"/>
        <v>0</v>
      </c>
      <c r="K122" s="362">
        <f t="shared" ca="1" si="43"/>
        <v>185200</v>
      </c>
    </row>
    <row r="123" spans="2:11">
      <c r="B123" s="497">
        <v>2</v>
      </c>
      <c r="C123" s="498" t="s">
        <v>30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491">
        <f>F121*1</f>
        <v>1</v>
      </c>
      <c r="G123" s="360">
        <f ca="1">IF(ISERROR(OFFSET('HARGA SATUAN'!$I$6,MATCH(RAB!C123,'HARGA SATUAN'!$C$7:$C$1492,0),0)),0,OFFSET('HARGA SATUAN'!$I$6,MATCH(RAB!C123,'HARGA SATUAN'!$C$7:$C$1492,0),0))</f>
        <v>47459</v>
      </c>
      <c r="H123" s="361">
        <f t="shared" ca="1" si="40"/>
        <v>0</v>
      </c>
      <c r="I123" s="361">
        <f t="shared" ca="1" si="41"/>
        <v>47459</v>
      </c>
      <c r="J123" s="361">
        <f t="shared" ca="1" si="42"/>
        <v>0</v>
      </c>
      <c r="K123" s="362">
        <f t="shared" ca="1" si="43"/>
        <v>47459</v>
      </c>
    </row>
    <row r="124" spans="2:11">
      <c r="B124" s="497">
        <v>3</v>
      </c>
      <c r="C124" s="498" t="s">
        <v>32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Mtr</v>
      </c>
      <c r="F124" s="491">
        <f>F121*1.5</f>
        <v>1.5</v>
      </c>
      <c r="G124" s="360">
        <f ca="1">IF(ISERROR(OFFSET('HARGA SATUAN'!$I$6,MATCH(RAB!C124,'HARGA SATUAN'!$C$7:$C$1492,0),0)),0,OFFSET('HARGA SATUAN'!$I$6,MATCH(RAB!C124,'HARGA SATUAN'!$C$7:$C$1492,0),0))</f>
        <v>30000</v>
      </c>
      <c r="H124" s="361">
        <f t="shared" ca="1" si="40"/>
        <v>0</v>
      </c>
      <c r="I124" s="361">
        <f t="shared" ca="1" si="41"/>
        <v>45000</v>
      </c>
      <c r="J124" s="361">
        <f t="shared" ca="1" si="42"/>
        <v>0</v>
      </c>
      <c r="K124" s="362">
        <f t="shared" ca="1" si="43"/>
        <v>45000</v>
      </c>
    </row>
    <row r="125" spans="2:11">
      <c r="B125" s="497">
        <v>4</v>
      </c>
      <c r="C125" s="498" t="s">
        <v>33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91">
        <f>F121*2</f>
        <v>2</v>
      </c>
      <c r="G125" s="360">
        <f ca="1">IF(ISERROR(OFFSET('HARGA SATUAN'!$I$6,MATCH(RAB!C125,'HARGA SATUAN'!$C$7:$C$1492,0),0)),0,OFFSET('HARGA SATUAN'!$I$6,MATCH(RAB!C125,'HARGA SATUAN'!$C$7:$C$1492,0),0))</f>
        <v>9500</v>
      </c>
      <c r="H125" s="361">
        <f t="shared" ca="1" si="40"/>
        <v>0</v>
      </c>
      <c r="I125" s="361">
        <f t="shared" ca="1" si="41"/>
        <v>19000</v>
      </c>
      <c r="J125" s="361">
        <f t="shared" ca="1" si="42"/>
        <v>0</v>
      </c>
      <c r="K125" s="362">
        <f t="shared" ca="1" si="43"/>
        <v>19000</v>
      </c>
    </row>
    <row r="126" spans="2:11">
      <c r="B126" s="497">
        <v>5</v>
      </c>
      <c r="C126" s="498" t="s">
        <v>735</v>
      </c>
      <c r="D126" s="358" t="str">
        <f ca="1">IF(ISERROR(OFFSET('HARGA SATUAN'!$D$6,MATCH(RAB!C126,'HARGA SATUAN'!$C$7:$C$1492,0),0)),"",OFFSET('HARGA SATUAN'!$D$6,MATCH(RAB!C126,'HARGA SATUAN'!$C$7:$C$1492,0),0))</f>
        <v>JASA</v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491">
        <f>F121*1</f>
        <v>1</v>
      </c>
      <c r="G126" s="360">
        <f ca="1">IF(ISERROR(OFFSET('HARGA SATUAN'!$I$6,MATCH(RAB!C126,'HARGA SATUAN'!$C$7:$C$1492,0),0)),0,OFFSET('HARGA SATUAN'!$I$6,MATCH(RAB!C126,'HARGA SATUAN'!$C$7:$C$1492,0),0))</f>
        <v>56400</v>
      </c>
      <c r="H126" s="361">
        <f t="shared" ca="1" si="40"/>
        <v>0</v>
      </c>
      <c r="I126" s="361">
        <f t="shared" ca="1" si="41"/>
        <v>0</v>
      </c>
      <c r="J126" s="361">
        <f t="shared" ca="1" si="42"/>
        <v>56400</v>
      </c>
      <c r="K126" s="362">
        <f t="shared" ca="1" si="43"/>
        <v>56400</v>
      </c>
    </row>
    <row r="127" spans="2:11">
      <c r="B127" s="370"/>
      <c r="C127" s="369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366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40"/>
        <v>0</v>
      </c>
      <c r="I127" s="361">
        <f t="shared" ca="1" si="41"/>
        <v>0</v>
      </c>
      <c r="J127" s="361">
        <f t="shared" ca="1" si="42"/>
        <v>0</v>
      </c>
      <c r="K127" s="362">
        <f t="shared" ca="1" si="43"/>
        <v>0</v>
      </c>
    </row>
    <row r="128" spans="2:11">
      <c r="B128" s="500" t="s">
        <v>526</v>
      </c>
      <c r="C128" s="501" t="s">
        <v>1626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/>
      </c>
      <c r="F128" s="366"/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ref="H128:H130" ca="1" si="44">IF(OR(D128="MDU",D128="MDU-KD"),(IF($O$3="RAB NON MDU","PLN KD",G128*F128)),0)</f>
        <v>0</v>
      </c>
      <c r="I128" s="361">
        <f t="shared" ref="I128:I130" ca="1" si="45">IF(D128="HDW",G128*F128,0)</f>
        <v>0</v>
      </c>
      <c r="J128" s="361">
        <f t="shared" ref="J128:J130" ca="1" si="46">IF(D128="JASA",G128*F128,0)</f>
        <v>0</v>
      </c>
      <c r="K128" s="362">
        <f t="shared" ref="K128:K130" ca="1" si="47">SUM(H128:J128)</f>
        <v>0</v>
      </c>
    </row>
    <row r="129" spans="2:13">
      <c r="B129" s="370"/>
      <c r="C129" s="369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366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44"/>
        <v>0</v>
      </c>
      <c r="I129" s="361">
        <f t="shared" ca="1" si="45"/>
        <v>0</v>
      </c>
      <c r="J129" s="361">
        <f t="shared" ca="1" si="46"/>
        <v>0</v>
      </c>
      <c r="K129" s="362">
        <f t="shared" ca="1" si="47"/>
        <v>0</v>
      </c>
    </row>
    <row r="130" spans="2:13">
      <c r="B130" s="371"/>
      <c r="C130" s="372" t="s">
        <v>475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366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44"/>
        <v>0</v>
      </c>
      <c r="I130" s="361">
        <f t="shared" ca="1" si="45"/>
        <v>0</v>
      </c>
      <c r="J130" s="361">
        <f t="shared" ca="1" si="46"/>
        <v>0</v>
      </c>
      <c r="K130" s="362">
        <f t="shared" ca="1" si="47"/>
        <v>0</v>
      </c>
    </row>
    <row r="131" spans="2:13">
      <c r="B131" s="374">
        <v>1</v>
      </c>
      <c r="C131" s="375" t="s">
        <v>1091</v>
      </c>
      <c r="D131" s="376" t="str">
        <f ca="1">IF(ISERROR(OFFSET('HARGA SATUAN'!$D$6,MATCH(RAB!C131,'HARGA SATUAN'!$C$7:$C$1492,0),0)),"",OFFSET('HARGA SATUAN'!$D$6,MATCH(RAB!C131,'HARGA SATUAN'!$C$7:$C$1492,0),0))</f>
        <v>JASA</v>
      </c>
      <c r="E131" s="377" t="str">
        <f ca="1">IF(ISERROR(OFFSET('HARGA SATUAN'!$E$6,MATCH(RAB!C131,'HARGA SATUAN'!$C$7:$C$1492,0),0)),"",OFFSET('HARGA SATUAN'!$E$6,MATCH(RAB!C131,'HARGA SATUAN'!$C$7:$C$1492,0),0))</f>
        <v>Lot</v>
      </c>
      <c r="F131" s="378">
        <v>1</v>
      </c>
      <c r="G131" s="379">
        <f ca="1">IF(ISERROR(OFFSET('HARGA SATUAN'!$I$6,MATCH(RAB!C131,'HARGA SATUAN'!$C$7:$C$1492,0),0)),0,OFFSET('HARGA SATUAN'!$I$6,MATCH(RAB!C131,'HARGA SATUAN'!$C$7:$C$1492,0),0))</f>
        <v>2.5000000000000001E-2</v>
      </c>
      <c r="H131" s="380">
        <f ca="1">((SUM(H14:H130)*2.5%))</f>
        <v>2158543.75</v>
      </c>
      <c r="I131" s="380">
        <f ca="1">((SUM(I14:I130)*2.5%))</f>
        <v>632950.06833333336</v>
      </c>
      <c r="J131" s="380">
        <f ca="1">((SUM(J14:J130)*2.5%))</f>
        <v>96046.933333333349</v>
      </c>
      <c r="K131" s="380">
        <f ca="1">((SUM(K14:K130)*2.5%))</f>
        <v>2887540.7516666669</v>
      </c>
    </row>
    <row r="132" spans="2:13">
      <c r="B132" s="381"/>
      <c r="C132" s="382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IF(ISERROR(OFFSET('HARGA SATUAN'!$E$6,MATCH(RAB!C132,'HARGA SATUAN'!$C$7:$C$1492,0),0)),"",OFFSET('HARGA SATUAN'!$E$6,MATCH(RAB!C132,'HARGA SATUAN'!$C$7:$C$1492,0),0))</f>
        <v/>
      </c>
      <c r="F132" s="373"/>
      <c r="G132" s="360" t="str">
        <f ca="1">IF(ISERROR(OFFSET('HARGA SATUAN'!$I$6,MATCH(RAB!C132,'HARGA SATUAN'!$C$7:$C$1492,0),0)),"",OFFSET('HARGA SATUAN'!$I$6,MATCH(RAB!C132,'HARGA SATUAN'!$C$7:$C$1492,0),0))</f>
        <v/>
      </c>
      <c r="H132" s="361">
        <f ca="1">IF(OR(D132="MDU",D132="MDU-KD"),IF(G132="PLN",0,G132*F132),0)</f>
        <v>0</v>
      </c>
      <c r="I132" s="361">
        <f ca="1">IF(D132="HDW",IF(G132="PLN",0,G132*F132),0)</f>
        <v>0</v>
      </c>
      <c r="J132" s="361">
        <f ca="1">IF(D132="JASA",IF(G132="PLN",0,G132*F132),0)</f>
        <v>0</v>
      </c>
      <c r="K132" s="362">
        <f ca="1">SUM(H132:J132)</f>
        <v>0</v>
      </c>
    </row>
    <row r="133" spans="2:13" ht="15.75" thickBot="1">
      <c r="B133" s="383"/>
      <c r="C133" s="384"/>
      <c r="D133" s="385"/>
      <c r="E133" s="386"/>
      <c r="F133" s="386"/>
      <c r="G133" s="386"/>
      <c r="H133" s="387"/>
      <c r="I133" s="387"/>
      <c r="J133" s="387"/>
      <c r="K133" s="388"/>
    </row>
    <row r="134" spans="2:13">
      <c r="B134" s="389"/>
      <c r="C134" s="630" t="s">
        <v>1008</v>
      </c>
      <c r="D134" s="630"/>
      <c r="E134" s="630"/>
      <c r="F134" s="630"/>
      <c r="G134" s="390" t="s">
        <v>9</v>
      </c>
      <c r="H134" s="391">
        <f ca="1">SUM(H14:H132)</f>
        <v>88500293.75</v>
      </c>
      <c r="I134" s="391">
        <f ca="1">SUM(I14:I132)</f>
        <v>25950952.80166667</v>
      </c>
      <c r="J134" s="391">
        <f ca="1">SUM(J14:J132)</f>
        <v>3937924.2666666666</v>
      </c>
      <c r="K134" s="391">
        <f ca="1">SUM(K14:K132)</f>
        <v>118389170.81833333</v>
      </c>
    </row>
    <row r="135" spans="2:13">
      <c r="B135" s="392"/>
      <c r="C135" s="613" t="s">
        <v>1458</v>
      </c>
      <c r="D135" s="613"/>
      <c r="E135" s="613"/>
      <c r="F135" s="613"/>
      <c r="G135" s="393" t="s">
        <v>9</v>
      </c>
      <c r="H135" s="394">
        <f ca="1">H134*0.11</f>
        <v>9735032.3125</v>
      </c>
      <c r="I135" s="394">
        <f ca="1">I134*0.11</f>
        <v>2854604.8081833338</v>
      </c>
      <c r="J135" s="394">
        <f ca="1">J134*0.11</f>
        <v>433171.66933333332</v>
      </c>
      <c r="K135" s="394">
        <f ca="1">K134*0.11</f>
        <v>13022808.790016666</v>
      </c>
    </row>
    <row r="136" spans="2:13" ht="15.75" thickBot="1">
      <c r="B136" s="392"/>
      <c r="C136" s="611" t="s">
        <v>463</v>
      </c>
      <c r="D136" s="611"/>
      <c r="E136" s="611"/>
      <c r="F136" s="611"/>
      <c r="G136" s="395" t="s">
        <v>9</v>
      </c>
      <c r="H136" s="396">
        <f ca="1">SUM(H134:H135)</f>
        <v>98235326.0625</v>
      </c>
      <c r="I136" s="396">
        <f ca="1">SUM(I134:I135)</f>
        <v>28805557.609850004</v>
      </c>
      <c r="J136" s="395">
        <f ca="1">SUM(J134:J135)</f>
        <v>4371095.9359999998</v>
      </c>
      <c r="K136" s="395">
        <f ca="1">SUM(K134:K135)</f>
        <v>131411979.60834999</v>
      </c>
      <c r="M136" s="478"/>
    </row>
    <row r="137" spans="2:13">
      <c r="B137" s="614" t="str">
        <f ca="1">"Terbilang : "&amp;PROPER(IF(K136=0,"nol",IF(K136&lt;0,"minus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IF(--MID(TEXT(ABS(K136),"000000000000000"),1,3)=0,"",MID(TEXT(ABS(K136),"000000000000000"),1,1)&amp;" ratus "&amp;MID(TEXT(ABS(K136),"000000000000000"),2,1)&amp;" puluh "&amp;MID(TEXT(ABS(K136),"000000000000000"),3,1)&amp;" trilyun ")&amp; IF(--MID(TEXT(ABS(K136),"000000000000000"),4,3)=0,"",MID(TEXT(ABS(K136),"000000000000000"),4,1)&amp;" ratus "&amp;MID(TEXT(ABS(K136),"000000000000000"),5,1)&amp;" puluh "&amp;MID(TEXT(ABS(K136),"000000000000000"),6,1)&amp;" milyar ")&amp; IF(--MID(TEXT(ABS(K136),"000000000000000"),7,3)=0,"",MID(TEXT(ABS(K136),"000000000000000"),7,1)&amp;" ratus "&amp;MID(TEXT(ABS(K136),"000000000000000"),8,1)&amp;" puluh "&amp;MID(TEXT(ABS(K136),"000000000000000"),9,1)&amp;" juta ")&amp; IF(--MID(TEXT(ABS(K136),"000000000000000"),10,3)=0,"",IF(--MID(TEXT(ABS(K136),"000000000000000"),10,3)=1,"*",MID(TEXT(ABS(K136),"000000000000000"),10,1)&amp;" ratus "&amp;MID(TEXT(ABS(K136),"000000000000000"),11,1)&amp;" puluh ")&amp;MID(TEXT(ABS(K136),"000000000000000"),12,1)&amp;" ribu ")&amp; IF(--MID(TEXT(ABS(K136),"000000000000000"),13,3)=0,"",MID(TEXT(ABS(K136),"000000000000000"),13,1)&amp;" ratus "&amp;MID(TEXT(ABS(K136),"000000000000000"),14,1)&amp;" puluh "&amp;MID(TEXT(ABS(K136),"000000000000000"),15,1)),1,"satu"),2,"dua"),3,"tiga"),4,"empat"),5,"lima"),6,"enam"),7,"tujuh"),8,"delapan"),9,"sembilan"),"0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Satu Juta Empat Ratus Sebelas Ribu Sembilan Ratus Delapan Puluh Rupiah</v>
      </c>
      <c r="C137" s="615"/>
      <c r="D137" s="615"/>
      <c r="E137" s="615"/>
      <c r="F137" s="615"/>
      <c r="G137" s="615"/>
      <c r="H137" s="615"/>
      <c r="I137" s="615"/>
      <c r="J137" s="615"/>
      <c r="K137" s="616"/>
    </row>
    <row r="138" spans="2:13">
      <c r="B138" s="617"/>
      <c r="C138" s="618"/>
      <c r="D138" s="618"/>
      <c r="E138" s="618"/>
      <c r="F138" s="618"/>
      <c r="G138" s="618"/>
      <c r="H138" s="618"/>
      <c r="I138" s="618"/>
      <c r="J138" s="618"/>
      <c r="K138" s="619"/>
    </row>
    <row r="139" spans="2:13" ht="15.75" thickBot="1">
      <c r="B139" s="397" t="s">
        <v>1614</v>
      </c>
      <c r="C139" s="398"/>
      <c r="D139" s="399"/>
      <c r="E139" s="399"/>
      <c r="F139" s="399"/>
      <c r="G139" s="400"/>
      <c r="H139" s="400"/>
      <c r="I139" s="400"/>
      <c r="J139" s="400"/>
      <c r="K139" s="401"/>
    </row>
    <row r="140" spans="2:13">
      <c r="C140" s="402"/>
      <c r="E140" s="404"/>
      <c r="F140" s="404"/>
      <c r="G140" s="404"/>
    </row>
    <row r="141" spans="2:13">
      <c r="C141" s="337"/>
      <c r="E141" s="404"/>
      <c r="F141" s="404"/>
      <c r="G141" s="404"/>
      <c r="H141" s="620"/>
      <c r="I141" s="620"/>
      <c r="J141" s="621"/>
      <c r="K141" s="621"/>
    </row>
    <row r="142" spans="2:13">
      <c r="C142" s="337"/>
      <c r="E142" s="404"/>
      <c r="F142" s="404"/>
      <c r="G142" s="404"/>
      <c r="H142" s="405"/>
      <c r="I142" s="610" t="s">
        <v>1611</v>
      </c>
      <c r="J142" s="610"/>
      <c r="K142" s="610"/>
    </row>
    <row r="143" spans="2:13">
      <c r="C143" s="337"/>
      <c r="E143" s="404"/>
      <c r="F143" s="404"/>
      <c r="G143" s="404"/>
      <c r="H143" s="405"/>
      <c r="I143" s="610" t="s">
        <v>1547</v>
      </c>
      <c r="J143" s="610"/>
      <c r="K143" s="610"/>
    </row>
    <row r="144" spans="2:13">
      <c r="C144" s="337"/>
      <c r="E144" s="404"/>
      <c r="F144" s="404"/>
      <c r="G144" s="404"/>
      <c r="H144" s="406"/>
      <c r="I144" s="407"/>
      <c r="J144" s="407"/>
      <c r="K144" s="407"/>
    </row>
    <row r="145" spans="3:11">
      <c r="C145" s="337"/>
      <c r="E145" s="404"/>
      <c r="F145" s="404"/>
      <c r="G145" s="404"/>
      <c r="H145" s="406"/>
      <c r="I145" s="406"/>
      <c r="J145" s="406"/>
      <c r="K145" s="406"/>
    </row>
    <row r="146" spans="3:11">
      <c r="C146" s="337"/>
      <c r="E146" s="404"/>
      <c r="F146" s="404"/>
      <c r="G146" s="404"/>
      <c r="H146" s="406"/>
      <c r="I146" s="406"/>
      <c r="J146" s="406"/>
      <c r="K146" s="406"/>
    </row>
    <row r="147" spans="3:11">
      <c r="C147" s="337"/>
      <c r="E147" s="404"/>
      <c r="F147" s="404"/>
      <c r="G147" s="404"/>
      <c r="H147" s="406"/>
      <c r="I147" s="406"/>
      <c r="J147" s="406"/>
      <c r="K147" s="406"/>
    </row>
    <row r="148" spans="3:11">
      <c r="C148" s="337"/>
      <c r="E148" s="404"/>
      <c r="F148" s="404"/>
      <c r="G148" s="404"/>
      <c r="H148" s="408"/>
      <c r="I148" s="610" t="s">
        <v>1548</v>
      </c>
      <c r="J148" s="610"/>
      <c r="K148" s="610"/>
    </row>
    <row r="149" spans="3:11">
      <c r="C149" s="402"/>
      <c r="E149" s="404"/>
      <c r="F149" s="404"/>
      <c r="G149" s="404"/>
      <c r="H149" s="406"/>
      <c r="I149" s="406"/>
      <c r="J149" s="406"/>
      <c r="K149" s="406"/>
    </row>
    <row r="150" spans="3:11">
      <c r="C150" s="402"/>
      <c r="E150" s="404"/>
      <c r="F150" s="404"/>
      <c r="G150" s="404"/>
      <c r="H150" s="406"/>
      <c r="I150" s="406"/>
      <c r="J150" s="406"/>
      <c r="K150" s="406"/>
    </row>
    <row r="151" spans="3:11">
      <c r="C151" s="402"/>
      <c r="E151" s="404"/>
      <c r="F151" s="404"/>
      <c r="G151" s="404"/>
      <c r="H151" s="406"/>
      <c r="I151" s="406"/>
      <c r="J151" s="406"/>
      <c r="K151" s="406"/>
    </row>
  </sheetData>
  <sheetProtection sort="0" autoFilter="0"/>
  <protectedRanges>
    <protectedRange sqref="B127 B129" name="Range1_1"/>
    <protectedRange sqref="F14:F16 F127:F130" name="Range1_1_2_2"/>
    <protectedRange sqref="C127 C129" name="Range1_1_1"/>
    <protectedRange sqref="B68:C68 B105:C108 B110:C120 B109 B59:C59 B66:B67" name="Range1_1_1_1"/>
    <protectedRange sqref="B15:C16 B22:C23 B17:B21 B39:C39" name="Range1_6_1_1"/>
    <protectedRange sqref="C72" name="Range1_1_3_3"/>
    <protectedRange sqref="C20:C21" name="Range1_1_3_6"/>
    <protectedRange sqref="C25 C61" name="Range1_1_3_7"/>
    <protectedRange sqref="C26" name="Range1_1_3_1_1"/>
    <protectedRange sqref="C41" name="Range1_1_3_8"/>
    <protectedRange sqref="C66" name="Range1_1_3_10"/>
    <protectedRange sqref="C67" name="Range1_1_3_12"/>
    <protectedRange sqref="C75" name="Range1_1_3_1"/>
    <protectedRange sqref="C79" name="Range1_1_3_2"/>
    <protectedRange sqref="C109" name="Range1_1_3_9"/>
  </protectedRanges>
  <mergeCells count="22">
    <mergeCell ref="O3:P4"/>
    <mergeCell ref="B4:K4"/>
    <mergeCell ref="C134:F134"/>
    <mergeCell ref="B11:B13"/>
    <mergeCell ref="C11:C13"/>
    <mergeCell ref="D11:D13"/>
    <mergeCell ref="E11:E13"/>
    <mergeCell ref="F11:F13"/>
    <mergeCell ref="G11:G13"/>
    <mergeCell ref="I12:I13"/>
    <mergeCell ref="I143:K143"/>
    <mergeCell ref="I148:K148"/>
    <mergeCell ref="C136:F136"/>
    <mergeCell ref="G6:K6"/>
    <mergeCell ref="I142:K142"/>
    <mergeCell ref="C135:F135"/>
    <mergeCell ref="B137:K138"/>
    <mergeCell ref="H141:K141"/>
    <mergeCell ref="H11:K11"/>
    <mergeCell ref="H12:H13"/>
    <mergeCell ref="J12:J13"/>
    <mergeCell ref="K12:K13"/>
  </mergeCells>
  <phoneticPr fontId="137" type="noConversion"/>
  <conditionalFormatting sqref="C17:C21">
    <cfRule type="cellIs" dxfId="16" priority="19" operator="equal">
      <formula>0</formula>
    </cfRule>
  </conditionalFormatting>
  <conditionalFormatting sqref="C25:C26">
    <cfRule type="cellIs" dxfId="15" priority="16" operator="equal">
      <formula>0</formula>
    </cfRule>
  </conditionalFormatting>
  <conditionalFormatting sqref="C41">
    <cfRule type="cellIs" dxfId="14" priority="13" operator="equal">
      <formula>0</formula>
    </cfRule>
  </conditionalFormatting>
  <conditionalFormatting sqref="C61">
    <cfRule type="cellIs" dxfId="13" priority="11" operator="equal">
      <formula>0</formula>
    </cfRule>
  </conditionalFormatting>
  <conditionalFormatting sqref="C66:C67">
    <cfRule type="cellIs" dxfId="12" priority="9" operator="equal">
      <formula>0</formula>
    </cfRule>
  </conditionalFormatting>
  <conditionalFormatting sqref="C118">
    <cfRule type="cellIs" dxfId="11" priority="18" operator="equal">
      <formula>0</formula>
    </cfRule>
  </conditionalFormatting>
  <conditionalFormatting sqref="E1:E3 G1:G13 E5:E13 H12:I12 O13 E131:G131 H131:K133 E132:H132 E133:F133 E92:K130">
    <cfRule type="cellIs" dxfId="10" priority="1023" stopIfTrue="1" operator="equal">
      <formula>0</formula>
    </cfRule>
  </conditionalFormatting>
  <conditionalFormatting sqref="E14:K70 E71:E91 G71:K91">
    <cfRule type="cellIs" dxfId="9" priority="12" stopIfTrue="1" operator="equal">
      <formula>0</formula>
    </cfRule>
  </conditionalFormatting>
  <conditionalFormatting sqref="G132:G65598 E137:E65598">
    <cfRule type="cellIs" dxfId="8" priority="157" stopIfTrue="1" operator="equal">
      <formula>0</formula>
    </cfRule>
  </conditionalFormatting>
  <conditionalFormatting sqref="S14:V51">
    <cfRule type="cellIs" dxfId="7" priority="277" stopIfTrue="1" operator="equal">
      <formula>0</formula>
    </cfRule>
  </conditionalFormatting>
  <conditionalFormatting sqref="C72">
    <cfRule type="cellIs" dxfId="6" priority="7" operator="equal">
      <formula>0</formula>
    </cfRule>
  </conditionalFormatting>
  <conditionalFormatting sqref="C76">
    <cfRule type="cellIs" dxfId="5" priority="6" operator="equal">
      <formula>0</formula>
    </cfRule>
  </conditionalFormatting>
  <conditionalFormatting sqref="F71:F91">
    <cfRule type="cellIs" dxfId="4" priority="5" stopIfTrue="1" operator="equal">
      <formula>0</formula>
    </cfRule>
  </conditionalFormatting>
  <conditionalFormatting sqref="C75">
    <cfRule type="cellIs" dxfId="3" priority="4" operator="equal">
      <formula>0</formula>
    </cfRule>
  </conditionalFormatting>
  <conditionalFormatting sqref="C79">
    <cfRule type="cellIs" dxfId="2" priority="3" operator="equal">
      <formula>0</formula>
    </cfRule>
  </conditionalFormatting>
  <conditionalFormatting sqref="C106">
    <cfRule type="cellIs" dxfId="1" priority="2" operator="equal">
      <formula>0</formula>
    </cfRule>
  </conditionalFormatting>
  <conditionalFormatting sqref="C10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21:F126 F71:F104 F24:F38 F60:F64 C73:C74 H14:K1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3" zoomScale="115" zoomScaleNormal="115" zoomScaleSheetLayoutView="115" workbookViewId="0">
      <selection activeCell="Q42" sqref="Q4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2" t="s">
        <v>1439</v>
      </c>
      <c r="X2" s="693"/>
      <c r="Y2" s="693"/>
      <c r="Z2" s="693"/>
      <c r="AA2" s="693"/>
      <c r="AB2" s="693"/>
      <c r="AC2" s="693"/>
      <c r="AD2" s="694"/>
    </row>
    <row r="3" spans="3:30">
      <c r="C3" s="238"/>
      <c r="W3" s="695"/>
      <c r="X3" s="696"/>
      <c r="Y3" s="696"/>
      <c r="Z3" s="696"/>
      <c r="AA3" s="696"/>
      <c r="AB3" s="696"/>
      <c r="AC3" s="696"/>
      <c r="AD3" s="697"/>
    </row>
    <row r="4" spans="3:30">
      <c r="C4" s="238"/>
      <c r="W4" s="239" t="s">
        <v>987</v>
      </c>
      <c r="AD4" s="240"/>
    </row>
    <row r="5" spans="3:30">
      <c r="C5" s="238"/>
      <c r="E5" s="503"/>
      <c r="W5" s="241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238"/>
      <c r="W6" s="241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238"/>
      <c r="E7" s="484"/>
      <c r="W7" s="241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238"/>
      <c r="W8" s="241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238"/>
      <c r="W9" s="241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238"/>
      <c r="W10" s="241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238"/>
      <c r="W11" s="241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238"/>
      <c r="W12" s="241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238"/>
      <c r="W13" s="241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238"/>
      <c r="W14" s="241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238"/>
      <c r="W15" s="241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238"/>
      <c r="W16" s="241">
        <v>11</v>
      </c>
      <c r="X16" s="642" t="s">
        <v>1456</v>
      </c>
      <c r="Y16" s="642"/>
      <c r="Z16" s="642"/>
      <c r="AA16" s="642"/>
      <c r="AB16" s="642"/>
      <c r="AC16" s="642"/>
      <c r="AD16" s="643"/>
    </row>
    <row r="17" spans="3:30">
      <c r="C17" s="238"/>
      <c r="S17" s="242"/>
      <c r="W17" s="241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243"/>
      <c r="D18" s="244"/>
      <c r="E18" s="244"/>
      <c r="W18" s="241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238"/>
      <c r="W19" s="245"/>
      <c r="X19" s="690"/>
      <c r="Y19" s="690"/>
      <c r="Z19" s="690"/>
      <c r="AA19" s="690"/>
      <c r="AB19" s="690"/>
      <c r="AC19" s="690"/>
      <c r="AD19" s="691"/>
    </row>
    <row r="20" spans="3:30">
      <c r="C20" s="238"/>
      <c r="W20" s="678" t="s">
        <v>992</v>
      </c>
      <c r="X20" s="679"/>
      <c r="Y20" s="679"/>
      <c r="Z20" s="679"/>
      <c r="AA20" s="679"/>
      <c r="AB20" s="679"/>
      <c r="AC20" s="679"/>
      <c r="AD20" s="680"/>
    </row>
    <row r="21" spans="3:30">
      <c r="C21" s="238"/>
      <c r="W21" s="681" t="s">
        <v>985</v>
      </c>
      <c r="X21" s="682"/>
      <c r="Y21" s="682"/>
      <c r="Z21" s="683"/>
      <c r="AA21" s="684" t="s">
        <v>986</v>
      </c>
      <c r="AB21" s="685"/>
      <c r="AC21" s="685"/>
      <c r="AD21" s="686"/>
    </row>
    <row r="22" spans="3:30">
      <c r="C22" s="238"/>
      <c r="W22" s="708" t="s">
        <v>1628</v>
      </c>
      <c r="X22" s="687"/>
      <c r="Y22" s="486">
        <v>1</v>
      </c>
      <c r="Z22" s="487"/>
      <c r="AA22" s="688"/>
      <c r="AB22" s="689"/>
      <c r="AC22" s="248"/>
      <c r="AD22" s="249"/>
    </row>
    <row r="23" spans="3:30">
      <c r="C23" s="238"/>
      <c r="W23" s="708" t="s">
        <v>1629</v>
      </c>
      <c r="X23" s="687"/>
      <c r="Y23" s="486">
        <v>1</v>
      </c>
      <c r="Z23" s="487"/>
      <c r="AA23" s="676"/>
      <c r="AB23" s="677"/>
      <c r="AC23" s="248"/>
      <c r="AD23" s="249"/>
    </row>
    <row r="24" spans="3:30">
      <c r="C24" s="238"/>
      <c r="W24" s="671" t="s">
        <v>1622</v>
      </c>
      <c r="X24" s="673"/>
      <c r="Y24" s="246">
        <v>1</v>
      </c>
      <c r="Z24" s="247"/>
      <c r="AA24" s="674"/>
      <c r="AB24" s="675"/>
      <c r="AC24" s="248"/>
      <c r="AD24" s="249"/>
    </row>
    <row r="25" spans="3:30">
      <c r="C25" s="238"/>
      <c r="W25" s="671" t="s">
        <v>1623</v>
      </c>
      <c r="X25" s="673"/>
      <c r="Y25" s="246">
        <v>2</v>
      </c>
      <c r="Z25" s="247"/>
      <c r="AA25" s="676"/>
      <c r="AB25" s="677"/>
      <c r="AC25" s="248"/>
      <c r="AD25" s="249"/>
    </row>
    <row r="26" spans="3:30">
      <c r="C26" s="238"/>
      <c r="W26" s="474" t="s">
        <v>1630</v>
      </c>
      <c r="X26" s="475"/>
      <c r="Y26" s="246">
        <v>1</v>
      </c>
      <c r="Z26" s="247"/>
      <c r="AA26" s="676"/>
      <c r="AB26" s="677"/>
      <c r="AC26" s="248"/>
      <c r="AD26" s="249"/>
    </row>
    <row r="27" spans="3:30">
      <c r="C27" s="238"/>
      <c r="W27" s="474" t="s">
        <v>1619</v>
      </c>
      <c r="X27" s="475"/>
      <c r="Y27" s="246">
        <v>2</v>
      </c>
      <c r="Z27" s="247"/>
      <c r="AA27" s="670"/>
      <c r="AB27" s="665"/>
      <c r="AC27" s="248"/>
      <c r="AD27" s="249"/>
    </row>
    <row r="28" spans="3:30">
      <c r="C28" s="238"/>
      <c r="W28" s="474" t="s">
        <v>1624</v>
      </c>
      <c r="X28" s="475"/>
      <c r="Y28" s="246">
        <v>2</v>
      </c>
      <c r="Z28" s="247"/>
      <c r="AA28" s="670"/>
      <c r="AB28" s="665"/>
      <c r="AC28" s="248"/>
      <c r="AD28" s="249"/>
    </row>
    <row r="29" spans="3:30">
      <c r="C29" s="238"/>
      <c r="W29" s="474"/>
      <c r="X29" s="475"/>
      <c r="Y29" s="246"/>
      <c r="Z29" s="247"/>
      <c r="AA29" s="670"/>
      <c r="AB29" s="665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70"/>
      <c r="AB30" s="665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70"/>
      <c r="AB31" s="665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70"/>
      <c r="AB32" s="665"/>
      <c r="AC32" s="248"/>
      <c r="AD32" s="249"/>
    </row>
    <row r="33" spans="3:30">
      <c r="C33" s="238"/>
      <c r="W33" s="474"/>
      <c r="X33" s="475"/>
      <c r="Y33" s="246"/>
      <c r="Z33" s="247"/>
      <c r="AA33" s="670"/>
      <c r="AB33" s="665"/>
      <c r="AC33" s="248"/>
      <c r="AD33" s="249"/>
    </row>
    <row r="34" spans="3:30">
      <c r="C34" s="238"/>
      <c r="W34" s="474"/>
      <c r="X34" s="475"/>
      <c r="Y34" s="246"/>
      <c r="Z34" s="247"/>
      <c r="AA34" s="670"/>
      <c r="AB34" s="665"/>
      <c r="AC34" s="248"/>
      <c r="AD34" s="249"/>
    </row>
    <row r="35" spans="3:30">
      <c r="C35" s="238"/>
      <c r="W35" s="671"/>
      <c r="X35" s="672"/>
      <c r="Y35" s="246"/>
      <c r="Z35" s="247"/>
      <c r="AA35" s="670"/>
      <c r="AB35" s="665"/>
      <c r="AC35" s="248"/>
      <c r="AD35" s="249"/>
    </row>
    <row r="36" spans="3:30">
      <c r="C36" s="238"/>
      <c r="W36" s="662"/>
      <c r="X36" s="663"/>
      <c r="Y36" s="246"/>
      <c r="Z36" s="251"/>
      <c r="AA36" s="664"/>
      <c r="AB36" s="665"/>
      <c r="AC36" s="248"/>
      <c r="AD36" s="249"/>
    </row>
    <row r="37" spans="3:30" ht="12.75" customHeight="1">
      <c r="C37" s="238"/>
      <c r="W37" s="666"/>
      <c r="X37" s="667"/>
      <c r="Y37" s="246"/>
      <c r="Z37" s="251"/>
      <c r="AA37" s="668"/>
      <c r="AB37" s="669"/>
      <c r="AC37" s="252"/>
      <c r="AD37" s="253"/>
    </row>
    <row r="38" spans="3:30" ht="12.75" customHeight="1">
      <c r="C38" s="238"/>
      <c r="W38" s="666"/>
      <c r="X38" s="66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6"/>
      <c r="X39" s="667"/>
      <c r="Y39" s="254"/>
      <c r="Z39" s="257"/>
      <c r="AA39" s="658"/>
      <c r="AB39" s="659"/>
      <c r="AC39" s="252"/>
      <c r="AD39" s="253"/>
    </row>
    <row r="40" spans="3:30" ht="12" customHeight="1">
      <c r="C40" s="238"/>
      <c r="W40" s="654"/>
      <c r="X40" s="65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6"/>
      <c r="X41" s="657"/>
      <c r="Y41" s="260"/>
      <c r="Z41" s="261"/>
      <c r="AA41" s="658"/>
      <c r="AB41" s="659"/>
      <c r="AC41" s="252"/>
      <c r="AD41" s="253"/>
    </row>
    <row r="42" spans="3:30" ht="12" customHeight="1">
      <c r="C42" s="238"/>
      <c r="W42" s="660" t="s">
        <v>1457</v>
      </c>
      <c r="X42" s="661"/>
      <c r="Y42" s="661"/>
      <c r="Z42" s="66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9" t="s">
        <v>11</v>
      </c>
      <c r="X44" s="640"/>
      <c r="Y44" s="642"/>
      <c r="Z44" s="642"/>
      <c r="AA44" s="642"/>
      <c r="AB44" s="642"/>
      <c r="AC44" s="642"/>
      <c r="AD44" s="64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9" t="s">
        <v>984</v>
      </c>
      <c r="X45" s="640"/>
      <c r="Y45" s="642">
        <v>1</v>
      </c>
      <c r="Z45" s="642"/>
      <c r="AA45" s="642"/>
      <c r="AB45" s="642" t="s">
        <v>12</v>
      </c>
      <c r="AC45" s="64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9" t="s">
        <v>15</v>
      </c>
      <c r="X46" s="640"/>
      <c r="Y46" s="653"/>
      <c r="Z46" s="653"/>
      <c r="AA46" s="653"/>
      <c r="AB46" s="642" t="s">
        <v>16</v>
      </c>
      <c r="AC46" s="64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7" t="s">
        <v>17</v>
      </c>
      <c r="X47" s="647"/>
      <c r="Y47" s="647"/>
      <c r="Z47" s="647"/>
      <c r="AA47" s="647"/>
      <c r="AB47" s="647"/>
      <c r="AC47" s="647"/>
      <c r="AD47" s="64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9" t="str">
        <f>RAB!G6</f>
        <v>AGR UD EL RUTAB</v>
      </c>
      <c r="X48" s="649"/>
      <c r="Y48" s="649"/>
      <c r="Z48" s="649"/>
      <c r="AA48" s="649"/>
      <c r="AB48" s="649"/>
      <c r="AC48" s="649"/>
      <c r="AD48" s="65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9"/>
      <c r="X49" s="649"/>
      <c r="Y49" s="649"/>
      <c r="Z49" s="649"/>
      <c r="AA49" s="649"/>
      <c r="AB49" s="649"/>
      <c r="AC49" s="649"/>
      <c r="AD49" s="65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9"/>
      <c r="X50" s="649"/>
      <c r="Y50" s="649"/>
      <c r="Z50" s="649"/>
      <c r="AA50" s="649"/>
      <c r="AB50" s="649"/>
      <c r="AC50" s="649"/>
      <c r="AD50" s="65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1"/>
      <c r="X51" s="651"/>
      <c r="Y51" s="651"/>
      <c r="Z51" s="651"/>
      <c r="AA51" s="651"/>
      <c r="AB51" s="651"/>
      <c r="AC51" s="651"/>
      <c r="AD51" s="65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9" t="s">
        <v>18</v>
      </c>
      <c r="X52" s="640"/>
      <c r="Y52" s="642" t="s">
        <v>1550</v>
      </c>
      <c r="Z52" s="642"/>
      <c r="AA52" s="642"/>
      <c r="AB52" s="642"/>
      <c r="AC52" s="642"/>
      <c r="AD52" s="64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9" t="s">
        <v>19</v>
      </c>
      <c r="X53" s="640"/>
      <c r="Y53" s="642" t="s">
        <v>1550</v>
      </c>
      <c r="Z53" s="642"/>
      <c r="AA53" s="642"/>
      <c r="AB53" s="642"/>
      <c r="AC53" s="642"/>
      <c r="AD53" s="64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9" t="s">
        <v>20</v>
      </c>
      <c r="X54" s="640"/>
      <c r="Y54" s="641" t="s">
        <v>1551</v>
      </c>
      <c r="Z54" s="641"/>
      <c r="AA54" s="641"/>
      <c r="AB54" s="642"/>
      <c r="AC54" s="642"/>
      <c r="AD54" s="64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4" t="s">
        <v>21</v>
      </c>
      <c r="X55" s="645"/>
      <c r="Y55" s="641" t="s">
        <v>1552</v>
      </c>
      <c r="Z55" s="641"/>
      <c r="AA55" s="641"/>
      <c r="AB55" s="641"/>
      <c r="AC55" s="641"/>
      <c r="AD55" s="646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V50" sqref="V5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8" t="s">
        <v>1529</v>
      </c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700"/>
      <c r="AD4" s="217"/>
      <c r="AE4" s="216"/>
      <c r="AF4" s="216"/>
    </row>
    <row r="5" spans="2:32" ht="13.5" customHeight="1">
      <c r="B5" s="215"/>
      <c r="C5" s="215"/>
      <c r="D5" s="701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2"/>
      <c r="P5" s="702"/>
      <c r="Q5" s="702"/>
      <c r="R5" s="702"/>
      <c r="S5" s="702"/>
      <c r="T5" s="702"/>
      <c r="U5" s="702"/>
      <c r="V5" s="702"/>
      <c r="W5" s="702"/>
      <c r="X5" s="702"/>
      <c r="Y5" s="702"/>
      <c r="Z5" s="702"/>
      <c r="AA5" s="702"/>
      <c r="AB5" s="702"/>
      <c r="AC5" s="703"/>
      <c r="AD5" s="217"/>
      <c r="AE5" s="216"/>
      <c r="AF5" s="216"/>
    </row>
    <row r="6" spans="2:32" ht="12.75" customHeight="1">
      <c r="B6" s="215"/>
      <c r="C6" s="215"/>
      <c r="D6" s="701"/>
      <c r="E6" s="702"/>
      <c r="F6" s="702"/>
      <c r="G6" s="702"/>
      <c r="H6" s="702"/>
      <c r="I6" s="702"/>
      <c r="J6" s="702"/>
      <c r="K6" s="702"/>
      <c r="L6" s="702"/>
      <c r="M6" s="702"/>
      <c r="N6" s="702"/>
      <c r="O6" s="702"/>
      <c r="P6" s="702"/>
      <c r="Q6" s="702"/>
      <c r="R6" s="702"/>
      <c r="S6" s="702"/>
      <c r="T6" s="702"/>
      <c r="U6" s="702"/>
      <c r="V6" s="702"/>
      <c r="W6" s="702"/>
      <c r="X6" s="702"/>
      <c r="Y6" s="702"/>
      <c r="Z6" s="702"/>
      <c r="AA6" s="702"/>
      <c r="AB6" s="702"/>
      <c r="AC6" s="703"/>
      <c r="AE6" s="216"/>
      <c r="AF6" s="216"/>
    </row>
    <row r="7" spans="2:32" ht="12.75" customHeight="1" thickBot="1">
      <c r="B7" s="215"/>
      <c r="C7" s="215"/>
      <c r="D7" s="704"/>
      <c r="E7" s="705"/>
      <c r="F7" s="705"/>
      <c r="G7" s="705"/>
      <c r="H7" s="705"/>
      <c r="I7" s="705"/>
      <c r="J7" s="705"/>
      <c r="K7" s="705"/>
      <c r="L7" s="705"/>
      <c r="M7" s="705"/>
      <c r="N7" s="705"/>
      <c r="O7" s="705"/>
      <c r="P7" s="705"/>
      <c r="Q7" s="705"/>
      <c r="R7" s="705"/>
      <c r="S7" s="705"/>
      <c r="T7" s="705"/>
      <c r="U7" s="705"/>
      <c r="V7" s="705"/>
      <c r="W7" s="705"/>
      <c r="X7" s="705"/>
      <c r="Y7" s="705"/>
      <c r="Z7" s="705"/>
      <c r="AA7" s="705"/>
      <c r="AB7" s="705"/>
      <c r="AC7" s="70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R71" sqref="R71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2" t="s">
        <v>1528</v>
      </c>
      <c r="D3" s="702"/>
      <c r="E3" s="702"/>
      <c r="F3" s="702"/>
      <c r="G3" s="702"/>
      <c r="H3" s="702"/>
      <c r="I3" s="702"/>
      <c r="J3" s="702"/>
      <c r="K3" s="702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02"/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07" t="s">
        <v>1627</v>
      </c>
      <c r="D6" s="707"/>
      <c r="E6" s="707"/>
      <c r="F6" s="707"/>
      <c r="G6" s="707"/>
      <c r="H6" s="707"/>
      <c r="I6" s="707"/>
      <c r="J6" s="707"/>
      <c r="K6" s="707"/>
      <c r="L6" s="707"/>
      <c r="M6" s="707"/>
      <c r="W6" s="182"/>
      <c r="Y6" s="422"/>
      <c r="Z6" s="422"/>
      <c r="AA6" s="422"/>
      <c r="AB6" s="423"/>
      <c r="AC6" s="423"/>
    </row>
    <row r="7" spans="1:29" ht="18" customHeight="1">
      <c r="A7" s="181"/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2023-12-14T03:01:24Z</dcterms:modified>
</cp:coreProperties>
</file>