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B. BP KURANG DR INVESTASI (PP KURANG DR 5 TH)\OKT\UD SRI REJEKI\"/>
    </mc:Choice>
  </mc:AlternateContent>
  <xr:revisionPtr revIDLastSave="0" documentId="8_{6F78E4B4-35A3-478E-BC75-F0F60FEC1B57}" xr6:coauthVersionLast="47" xr6:coauthVersionMax="47" xr10:uidLastSave="{00000000-0000-0000-0000-000000000000}"/>
  <bookViews>
    <workbookView xWindow="-120" yWindow="-120" windowWidth="24240" windowHeight="1314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E7" i="64" l="1"/>
  <c r="F36" i="11"/>
  <c r="F35" i="11"/>
  <c r="F34" i="11"/>
  <c r="F33" i="11"/>
  <c r="F32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E36" i="11"/>
  <c r="G36" i="11"/>
  <c r="D37" i="11"/>
  <c r="J37" i="11" s="1"/>
  <c r="E37" i="11"/>
  <c r="G37" i="11"/>
  <c r="D38" i="11"/>
  <c r="J38" i="11" s="1"/>
  <c r="E38" i="11"/>
  <c r="G38" i="11"/>
  <c r="I33" i="11" l="1"/>
  <c r="J36" i="11"/>
  <c r="J34" i="11"/>
  <c r="I34" i="11"/>
  <c r="I37" i="11"/>
  <c r="H37" i="11"/>
  <c r="I31" i="11"/>
  <c r="I38" i="11"/>
  <c r="I36" i="11"/>
  <c r="I35" i="11"/>
  <c r="H35" i="11"/>
  <c r="H38" i="11"/>
  <c r="K38" i="11" s="1"/>
  <c r="J33" i="11"/>
  <c r="K33" i="11" s="1"/>
  <c r="H31" i="11"/>
  <c r="I32" i="11"/>
  <c r="H36" i="11"/>
  <c r="H32" i="11"/>
  <c r="F98" i="11"/>
  <c r="D96" i="11"/>
  <c r="H96" i="11" s="1"/>
  <c r="E96" i="11"/>
  <c r="G96" i="11"/>
  <c r="D97" i="11"/>
  <c r="J97" i="11" s="1"/>
  <c r="E97" i="11"/>
  <c r="G97" i="11"/>
  <c r="D98" i="11"/>
  <c r="H98" i="11" s="1"/>
  <c r="E98" i="11"/>
  <c r="G98" i="11"/>
  <c r="D99" i="11"/>
  <c r="H99" i="11" s="1"/>
  <c r="E99" i="11"/>
  <c r="G99" i="11"/>
  <c r="D100" i="11"/>
  <c r="H100" i="11" s="1"/>
  <c r="E100" i="11"/>
  <c r="G100" i="11"/>
  <c r="D101" i="11"/>
  <c r="J101" i="11" s="1"/>
  <c r="E101" i="11"/>
  <c r="G101" i="11"/>
  <c r="F18" i="11"/>
  <c r="F155" i="11"/>
  <c r="F154" i="11"/>
  <c r="F153" i="11"/>
  <c r="F152" i="11"/>
  <c r="F151" i="11"/>
  <c r="F150" i="11"/>
  <c r="F149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D58" i="11"/>
  <c r="H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H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H73" i="11" s="1"/>
  <c r="E73" i="11"/>
  <c r="G73" i="11"/>
  <c r="D74" i="11"/>
  <c r="J74" i="11" s="1"/>
  <c r="E74" i="11"/>
  <c r="G7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D39" i="11"/>
  <c r="J39" i="11" s="1"/>
  <c r="E39" i="11"/>
  <c r="G39" i="11"/>
  <c r="D40" i="11"/>
  <c r="J40" i="11" s="1"/>
  <c r="E40" i="11"/>
  <c r="G40" i="11"/>
  <c r="D41" i="1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F29" i="11"/>
  <c r="F27" i="11"/>
  <c r="F26" i="11"/>
  <c r="F28" i="11" s="1"/>
  <c r="K34" i="11" l="1"/>
  <c r="K37" i="11"/>
  <c r="K31" i="11"/>
  <c r="K32" i="11"/>
  <c r="K36" i="11"/>
  <c r="K35" i="11"/>
  <c r="J98" i="11"/>
  <c r="I99" i="11"/>
  <c r="J96" i="11"/>
  <c r="I98" i="11"/>
  <c r="J100" i="11"/>
  <c r="I96" i="11"/>
  <c r="I100" i="11"/>
  <c r="H101" i="11"/>
  <c r="J99" i="11"/>
  <c r="H97" i="11"/>
  <c r="I101" i="11"/>
  <c r="I97" i="11"/>
  <c r="J60" i="11"/>
  <c r="I70" i="11"/>
  <c r="J64" i="11"/>
  <c r="J58" i="11"/>
  <c r="I43" i="11"/>
  <c r="J72" i="11"/>
  <c r="I66" i="11"/>
  <c r="I64" i="11"/>
  <c r="I74" i="11"/>
  <c r="I60" i="11"/>
  <c r="I58" i="11"/>
  <c r="I72" i="11"/>
  <c r="H70" i="11"/>
  <c r="I69" i="11"/>
  <c r="J68" i="11"/>
  <c r="H66" i="11"/>
  <c r="I65" i="11"/>
  <c r="H62" i="11"/>
  <c r="I61" i="11"/>
  <c r="I68" i="11"/>
  <c r="I62" i="11"/>
  <c r="H74" i="11"/>
  <c r="I73" i="11"/>
  <c r="I71" i="11"/>
  <c r="I67" i="11"/>
  <c r="I63" i="11"/>
  <c r="I59" i="11"/>
  <c r="J73" i="11"/>
  <c r="H71" i="11"/>
  <c r="J69" i="11"/>
  <c r="H67" i="11"/>
  <c r="J65" i="11"/>
  <c r="H63" i="11"/>
  <c r="J61" i="11"/>
  <c r="H59" i="11"/>
  <c r="K59" i="11" s="1"/>
  <c r="I49" i="11"/>
  <c r="J53" i="11"/>
  <c r="I51" i="11"/>
  <c r="I50" i="11"/>
  <c r="H41" i="11"/>
  <c r="I39" i="11"/>
  <c r="H47" i="11"/>
  <c r="I47" i="11"/>
  <c r="I55" i="11"/>
  <c r="I54" i="11"/>
  <c r="I53" i="11"/>
  <c r="H51" i="11"/>
  <c r="I41" i="11"/>
  <c r="I57" i="11"/>
  <c r="I45" i="11"/>
  <c r="H43" i="11"/>
  <c r="I42" i="11"/>
  <c r="I46" i="11"/>
  <c r="J57" i="11"/>
  <c r="J54" i="11"/>
  <c r="H53" i="11"/>
  <c r="I52" i="11"/>
  <c r="H50" i="11"/>
  <c r="J49" i="11"/>
  <c r="J46" i="11"/>
  <c r="H45" i="11"/>
  <c r="I44" i="11"/>
  <c r="H42" i="11"/>
  <c r="J41" i="11"/>
  <c r="H39" i="11"/>
  <c r="I56" i="11"/>
  <c r="I48" i="11"/>
  <c r="I40" i="11"/>
  <c r="H55" i="11"/>
  <c r="H56" i="11"/>
  <c r="H52" i="11"/>
  <c r="H48" i="11"/>
  <c r="H44" i="11"/>
  <c r="H40" i="11"/>
  <c r="K61" i="11" l="1"/>
  <c r="K96" i="11"/>
  <c r="K64" i="11"/>
  <c r="K98" i="11"/>
  <c r="K99" i="11"/>
  <c r="K100" i="11"/>
  <c r="K97" i="11"/>
  <c r="K101" i="11"/>
  <c r="K55" i="11"/>
  <c r="K66" i="11"/>
  <c r="K49" i="11"/>
  <c r="K50" i="11"/>
  <c r="K60" i="11"/>
  <c r="K51" i="11"/>
  <c r="K63" i="11"/>
  <c r="K73" i="11"/>
  <c r="K70" i="11"/>
  <c r="K58" i="11"/>
  <c r="K72" i="11"/>
  <c r="K68" i="11"/>
  <c r="K43" i="11"/>
  <c r="K47" i="11"/>
  <c r="K71" i="11"/>
  <c r="K65" i="11"/>
  <c r="K74" i="11"/>
  <c r="K62" i="11"/>
  <c r="K67" i="11"/>
  <c r="K39" i="11"/>
  <c r="K45" i="11"/>
  <c r="K69" i="11"/>
  <c r="K57" i="11"/>
  <c r="K56" i="11"/>
  <c r="K42" i="11"/>
  <c r="K53" i="11"/>
  <c r="K44" i="11"/>
  <c r="K54" i="11"/>
  <c r="K40" i="11"/>
  <c r="K46" i="11"/>
  <c r="K48" i="11"/>
  <c r="K52" i="11"/>
  <c r="K41" i="11"/>
  <c r="F84" i="11" l="1"/>
  <c r="F90" i="11"/>
  <c r="D22" i="11"/>
  <c r="H22" i="11" s="1"/>
  <c r="E22" i="11"/>
  <c r="G22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E29" i="11"/>
  <c r="G29" i="11"/>
  <c r="D30" i="11"/>
  <c r="J30" i="11" s="1"/>
  <c r="E30" i="11"/>
  <c r="G30" i="11"/>
  <c r="G21" i="11"/>
  <c r="J29" i="11" l="1"/>
  <c r="I30" i="11"/>
  <c r="J27" i="11"/>
  <c r="J22" i="11"/>
  <c r="I28" i="11"/>
  <c r="I27" i="11"/>
  <c r="I26" i="11"/>
  <c r="J25" i="11"/>
  <c r="I29" i="11"/>
  <c r="I22" i="11"/>
  <c r="J24" i="11"/>
  <c r="I25" i="11"/>
  <c r="I24" i="11"/>
  <c r="J28" i="11"/>
  <c r="H29" i="11"/>
  <c r="H30" i="11"/>
  <c r="H26" i="11"/>
  <c r="K24" i="11" l="1"/>
  <c r="K27" i="11"/>
  <c r="K26" i="11"/>
  <c r="K30" i="11"/>
  <c r="K29" i="11"/>
  <c r="K25" i="11"/>
  <c r="K22" i="11"/>
  <c r="K28" i="11"/>
  <c r="F131" i="11" l="1"/>
  <c r="F130" i="11"/>
  <c r="F129" i="11"/>
  <c r="F128" i="11"/>
  <c r="F127" i="11"/>
  <c r="F126" i="11"/>
  <c r="F125" i="11"/>
  <c r="F124" i="11"/>
  <c r="F123" i="11"/>
  <c r="D122" i="11"/>
  <c r="H122" i="11" s="1"/>
  <c r="E122" i="11"/>
  <c r="G122" i="11"/>
  <c r="D123" i="11"/>
  <c r="J123" i="11" s="1"/>
  <c r="E123" i="11"/>
  <c r="G123" i="11"/>
  <c r="D124" i="11"/>
  <c r="J124" i="11" s="1"/>
  <c r="E124" i="11"/>
  <c r="G124" i="11"/>
  <c r="D125" i="11"/>
  <c r="H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J128" i="11" s="1"/>
  <c r="E128" i="11"/>
  <c r="G128" i="11"/>
  <c r="D129" i="11"/>
  <c r="H129" i="11" s="1"/>
  <c r="E129" i="11"/>
  <c r="G129" i="11"/>
  <c r="D130" i="11"/>
  <c r="H130" i="11" s="1"/>
  <c r="E130" i="11"/>
  <c r="G130" i="11"/>
  <c r="D131" i="11"/>
  <c r="E131" i="11"/>
  <c r="G131" i="11"/>
  <c r="D132" i="11"/>
  <c r="J132" i="11" s="1"/>
  <c r="E132" i="11"/>
  <c r="G132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3" i="11"/>
  <c r="D102" i="11"/>
  <c r="J102" i="11" s="1"/>
  <c r="E102" i="11"/>
  <c r="G102" i="11"/>
  <c r="D103" i="11"/>
  <c r="I103" i="11" s="1"/>
  <c r="E103" i="11"/>
  <c r="G103" i="11"/>
  <c r="D104" i="11"/>
  <c r="J104" i="11" s="1"/>
  <c r="E104" i="11"/>
  <c r="G104" i="11"/>
  <c r="D105" i="11"/>
  <c r="J105" i="11" s="1"/>
  <c r="E105" i="11"/>
  <c r="G105" i="11"/>
  <c r="D106" i="11"/>
  <c r="J106" i="11" s="1"/>
  <c r="E106" i="11"/>
  <c r="G106" i="11"/>
  <c r="D107" i="11"/>
  <c r="I107" i="11" s="1"/>
  <c r="E107" i="11"/>
  <c r="G107" i="11"/>
  <c r="D108" i="11"/>
  <c r="J108" i="11" s="1"/>
  <c r="E108" i="11"/>
  <c r="G108" i="11"/>
  <c r="D109" i="11"/>
  <c r="J109" i="11" s="1"/>
  <c r="E109" i="11"/>
  <c r="G109" i="11"/>
  <c r="D110" i="11"/>
  <c r="J110" i="11" s="1"/>
  <c r="E110" i="11"/>
  <c r="G110" i="11"/>
  <c r="D111" i="11"/>
  <c r="J111" i="11" s="1"/>
  <c r="E111" i="11"/>
  <c r="G111" i="11"/>
  <c r="D112" i="11"/>
  <c r="H112" i="11" s="1"/>
  <c r="E112" i="11"/>
  <c r="G112" i="11"/>
  <c r="D113" i="11"/>
  <c r="J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H119" i="11" s="1"/>
  <c r="E119" i="11"/>
  <c r="G119" i="11"/>
  <c r="D120" i="11"/>
  <c r="H120" i="11" s="1"/>
  <c r="E120" i="11"/>
  <c r="G120" i="11"/>
  <c r="D121" i="11"/>
  <c r="J121" i="11" s="1"/>
  <c r="E121" i="11"/>
  <c r="G121" i="11"/>
  <c r="D95" i="11"/>
  <c r="H95" i="11" s="1"/>
  <c r="E95" i="11"/>
  <c r="G95" i="11"/>
  <c r="F94" i="11"/>
  <c r="F93" i="11"/>
  <c r="F92" i="11"/>
  <c r="F91" i="11"/>
  <c r="D90" i="11"/>
  <c r="J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H93" i="11" s="1"/>
  <c r="E93" i="11"/>
  <c r="G93" i="11"/>
  <c r="D94" i="11"/>
  <c r="E94" i="11"/>
  <c r="G94" i="11"/>
  <c r="G83" i="11"/>
  <c r="G84" i="11"/>
  <c r="G85" i="11"/>
  <c r="G86" i="11"/>
  <c r="G87" i="11"/>
  <c r="G88" i="11"/>
  <c r="G89" i="11"/>
  <c r="D83" i="11"/>
  <c r="H83" i="11" s="1"/>
  <c r="E83" i="11"/>
  <c r="D84" i="11"/>
  <c r="J84" i="11" s="1"/>
  <c r="E84" i="11"/>
  <c r="D85" i="11"/>
  <c r="E85" i="11"/>
  <c r="D86" i="11"/>
  <c r="H86" i="11" s="1"/>
  <c r="E86" i="11"/>
  <c r="D87" i="11"/>
  <c r="H87" i="11" s="1"/>
  <c r="E87" i="11"/>
  <c r="D88" i="11"/>
  <c r="E88" i="11"/>
  <c r="D89" i="11"/>
  <c r="I89" i="11" s="1"/>
  <c r="E89" i="11"/>
  <c r="F88" i="11"/>
  <c r="F87" i="11"/>
  <c r="F86" i="11"/>
  <c r="F85" i="11"/>
  <c r="F82" i="11"/>
  <c r="F81" i="11"/>
  <c r="F80" i="11"/>
  <c r="F79" i="11"/>
  <c r="F78" i="11"/>
  <c r="F77" i="11"/>
  <c r="G75" i="11"/>
  <c r="G76" i="11"/>
  <c r="G77" i="11"/>
  <c r="G78" i="11"/>
  <c r="G79" i="11"/>
  <c r="G80" i="11"/>
  <c r="G81" i="11"/>
  <c r="G82" i="11"/>
  <c r="D75" i="11"/>
  <c r="H75" i="11" s="1"/>
  <c r="E75" i="11"/>
  <c r="D76" i="11"/>
  <c r="J76" i="11" s="1"/>
  <c r="E76" i="11"/>
  <c r="D77" i="11"/>
  <c r="E77" i="11"/>
  <c r="D78" i="11"/>
  <c r="H78" i="11" s="1"/>
  <c r="E78" i="11"/>
  <c r="D79" i="11"/>
  <c r="H79" i="11" s="1"/>
  <c r="E79" i="11"/>
  <c r="D80" i="11"/>
  <c r="J80" i="11" s="1"/>
  <c r="E80" i="11"/>
  <c r="D81" i="11"/>
  <c r="E81" i="11"/>
  <c r="D82" i="11"/>
  <c r="H82" i="11" s="1"/>
  <c r="E82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I18" i="11" s="1"/>
  <c r="E18" i="11"/>
  <c r="G18" i="11"/>
  <c r="D19" i="11"/>
  <c r="J19" i="11" s="1"/>
  <c r="E19" i="11"/>
  <c r="G19" i="11"/>
  <c r="D148" i="11"/>
  <c r="J148" i="11" s="1"/>
  <c r="E148" i="11"/>
  <c r="G148" i="11"/>
  <c r="D149" i="11"/>
  <c r="J149" i="11" s="1"/>
  <c r="E149" i="11"/>
  <c r="G149" i="11"/>
  <c r="D150" i="11"/>
  <c r="H150" i="11" s="1"/>
  <c r="E150" i="11"/>
  <c r="G150" i="11"/>
  <c r="D151" i="11"/>
  <c r="H151" i="11" s="1"/>
  <c r="E151" i="11"/>
  <c r="G151" i="11"/>
  <c r="D152" i="11"/>
  <c r="J152" i="11" s="1"/>
  <c r="E152" i="11"/>
  <c r="G152" i="11"/>
  <c r="D153" i="11"/>
  <c r="J153" i="11" s="1"/>
  <c r="E153" i="11"/>
  <c r="G153" i="11"/>
  <c r="D154" i="11"/>
  <c r="H154" i="11" s="1"/>
  <c r="E154" i="11"/>
  <c r="G154" i="11"/>
  <c r="D155" i="11"/>
  <c r="H155" i="11" s="1"/>
  <c r="E155" i="11"/>
  <c r="G155" i="11"/>
  <c r="D156" i="11"/>
  <c r="H156" i="11" s="1"/>
  <c r="E156" i="11"/>
  <c r="G156" i="11"/>
  <c r="D157" i="11"/>
  <c r="J157" i="11" s="1"/>
  <c r="E157" i="11"/>
  <c r="G157" i="11"/>
  <c r="F146" i="11"/>
  <c r="F145" i="11"/>
  <c r="F144" i="11"/>
  <c r="F143" i="11"/>
  <c r="F142" i="11"/>
  <c r="F139" i="11"/>
  <c r="F137" i="11"/>
  <c r="F136" i="11"/>
  <c r="F135" i="11"/>
  <c r="G6" i="11"/>
  <c r="D21" i="11"/>
  <c r="H21" i="11" s="1"/>
  <c r="E21" i="11"/>
  <c r="D133" i="11"/>
  <c r="J133" i="11" s="1"/>
  <c r="E133" i="11"/>
  <c r="G133" i="11"/>
  <c r="D134" i="11"/>
  <c r="H134" i="11" s="1"/>
  <c r="E134" i="11"/>
  <c r="G134" i="11"/>
  <c r="D135" i="11"/>
  <c r="E135" i="11"/>
  <c r="G135" i="11"/>
  <c r="D136" i="11"/>
  <c r="J136" i="11" s="1"/>
  <c r="E136" i="11"/>
  <c r="G136" i="11"/>
  <c r="D137" i="11"/>
  <c r="J137" i="11" s="1"/>
  <c r="E137" i="11"/>
  <c r="G137" i="11"/>
  <c r="D138" i="11"/>
  <c r="E138" i="11"/>
  <c r="G138" i="11"/>
  <c r="D139" i="11"/>
  <c r="H139" i="11" s="1"/>
  <c r="E139" i="11"/>
  <c r="G139" i="11"/>
  <c r="D140" i="11"/>
  <c r="J140" i="11" s="1"/>
  <c r="E140" i="11"/>
  <c r="G140" i="11"/>
  <c r="D141" i="11"/>
  <c r="J141" i="11" s="1"/>
  <c r="E141" i="11"/>
  <c r="G141" i="11"/>
  <c r="D142" i="11"/>
  <c r="H142" i="11" s="1"/>
  <c r="E142" i="11"/>
  <c r="G142" i="11"/>
  <c r="D143" i="11"/>
  <c r="H143" i="11" s="1"/>
  <c r="E143" i="11"/>
  <c r="G143" i="11"/>
  <c r="D144" i="11"/>
  <c r="H144" i="11" s="1"/>
  <c r="E144" i="11"/>
  <c r="G144" i="11"/>
  <c r="D145" i="11"/>
  <c r="J145" i="11" s="1"/>
  <c r="E145" i="11"/>
  <c r="G145" i="11"/>
  <c r="D146" i="11"/>
  <c r="H146" i="11" s="1"/>
  <c r="E146" i="11"/>
  <c r="G146" i="11"/>
  <c r="D147" i="11"/>
  <c r="J147" i="11" s="1"/>
  <c r="E147" i="11"/>
  <c r="G147" i="11"/>
  <c r="D158" i="11"/>
  <c r="J158" i="11" s="1"/>
  <c r="E158" i="11"/>
  <c r="G158" i="11"/>
  <c r="D159" i="11"/>
  <c r="J159" i="11" s="1"/>
  <c r="E159" i="11"/>
  <c r="G159" i="11"/>
  <c r="D20" i="60"/>
  <c r="J131" i="11" l="1"/>
  <c r="J130" i="11"/>
  <c r="J122" i="11"/>
  <c r="I126" i="11"/>
  <c r="I122" i="11"/>
  <c r="I128" i="11"/>
  <c r="H128" i="11"/>
  <c r="H124" i="11"/>
  <c r="I124" i="11"/>
  <c r="I132" i="11"/>
  <c r="I130" i="11"/>
  <c r="I129" i="11"/>
  <c r="J103" i="11"/>
  <c r="H132" i="11"/>
  <c r="H126" i="11"/>
  <c r="I125" i="11"/>
  <c r="I131" i="11"/>
  <c r="I116" i="11"/>
  <c r="J115" i="11"/>
  <c r="H131" i="11"/>
  <c r="J129" i="11"/>
  <c r="H127" i="11"/>
  <c r="J125" i="11"/>
  <c r="H123" i="11"/>
  <c r="J116" i="11"/>
  <c r="I127" i="11"/>
  <c r="I123" i="11"/>
  <c r="I115" i="11"/>
  <c r="I111" i="11"/>
  <c r="J107" i="11"/>
  <c r="I119" i="11"/>
  <c r="H107" i="11"/>
  <c r="J120" i="11"/>
  <c r="J119" i="11"/>
  <c r="H111" i="11"/>
  <c r="J112" i="11"/>
  <c r="H108" i="11"/>
  <c r="I105" i="11"/>
  <c r="I104" i="11"/>
  <c r="I120" i="11"/>
  <c r="I112" i="11"/>
  <c r="I108" i="11"/>
  <c r="H103" i="11"/>
  <c r="H121" i="11"/>
  <c r="H117" i="11"/>
  <c r="H113" i="11"/>
  <c r="H109" i="11"/>
  <c r="H104" i="11"/>
  <c r="I109" i="11"/>
  <c r="H105" i="11"/>
  <c r="K105" i="11" s="1"/>
  <c r="I121" i="11"/>
  <c r="I117" i="11"/>
  <c r="I113" i="11"/>
  <c r="I110" i="11"/>
  <c r="I102" i="11"/>
  <c r="H118" i="11"/>
  <c r="H114" i="11"/>
  <c r="H110" i="11"/>
  <c r="H106" i="11"/>
  <c r="H102" i="11"/>
  <c r="I118" i="11"/>
  <c r="I114" i="11"/>
  <c r="I106" i="11"/>
  <c r="J95" i="11"/>
  <c r="I95" i="11"/>
  <c r="J94" i="11"/>
  <c r="J92" i="11"/>
  <c r="I94" i="11"/>
  <c r="J93" i="11"/>
  <c r="I92" i="11"/>
  <c r="I93" i="11"/>
  <c r="I90" i="11"/>
  <c r="H94" i="11"/>
  <c r="H90" i="11"/>
  <c r="I91" i="11"/>
  <c r="H91" i="11"/>
  <c r="J87" i="11"/>
  <c r="I85" i="11"/>
  <c r="H89" i="11"/>
  <c r="J83" i="11"/>
  <c r="J88" i="11"/>
  <c r="H85" i="11"/>
  <c r="I81" i="11"/>
  <c r="I77" i="11"/>
  <c r="H88" i="11"/>
  <c r="I87" i="11"/>
  <c r="J86" i="11"/>
  <c r="H84" i="11"/>
  <c r="I83" i="11"/>
  <c r="I88" i="11"/>
  <c r="I84" i="11"/>
  <c r="J89" i="11"/>
  <c r="I86" i="11"/>
  <c r="J85" i="11"/>
  <c r="K85" i="11" s="1"/>
  <c r="H81" i="11"/>
  <c r="J79" i="11"/>
  <c r="I76" i="11"/>
  <c r="I80" i="11"/>
  <c r="H77" i="11"/>
  <c r="J75" i="11"/>
  <c r="J82" i="11"/>
  <c r="H80" i="11"/>
  <c r="I79" i="11"/>
  <c r="J78" i="11"/>
  <c r="H76" i="11"/>
  <c r="I75" i="11"/>
  <c r="I82" i="11"/>
  <c r="J81" i="11"/>
  <c r="I78" i="11"/>
  <c r="J77" i="11"/>
  <c r="J17" i="11"/>
  <c r="J18" i="11"/>
  <c r="H18" i="11"/>
  <c r="I15" i="11"/>
  <c r="I17" i="11"/>
  <c r="K17" i="11" s="1"/>
  <c r="H15" i="11"/>
  <c r="I16" i="11"/>
  <c r="H19" i="11"/>
  <c r="H16" i="11"/>
  <c r="I19" i="11"/>
  <c r="I154" i="11"/>
  <c r="I150" i="11"/>
  <c r="I152" i="11"/>
  <c r="I148" i="11"/>
  <c r="I157" i="11"/>
  <c r="H157" i="11"/>
  <c r="I156" i="11"/>
  <c r="I155" i="11"/>
  <c r="J154" i="11"/>
  <c r="H152" i="11"/>
  <c r="I151" i="11"/>
  <c r="J150" i="11"/>
  <c r="H148" i="11"/>
  <c r="I153" i="11"/>
  <c r="I149" i="11"/>
  <c r="J156" i="11"/>
  <c r="J155" i="11"/>
  <c r="H153" i="11"/>
  <c r="J151" i="11"/>
  <c r="H149" i="11"/>
  <c r="H135" i="11"/>
  <c r="H138" i="11"/>
  <c r="J144" i="11"/>
  <c r="I140" i="11"/>
  <c r="I158" i="11"/>
  <c r="I144" i="11"/>
  <c r="I142" i="11"/>
  <c r="H140" i="11"/>
  <c r="J139" i="11"/>
  <c r="J138" i="11"/>
  <c r="J142" i="11"/>
  <c r="J21" i="11"/>
  <c r="H158" i="11"/>
  <c r="I136" i="11"/>
  <c r="H136" i="11"/>
  <c r="J135" i="11"/>
  <c r="J134" i="11"/>
  <c r="I134" i="11"/>
  <c r="J143" i="11"/>
  <c r="I21" i="11"/>
  <c r="J146" i="11"/>
  <c r="I138" i="11"/>
  <c r="I145" i="11"/>
  <c r="H159" i="11"/>
  <c r="H147" i="11"/>
  <c r="I146" i="11"/>
  <c r="H145" i="11"/>
  <c r="H141" i="11"/>
  <c r="H137" i="11"/>
  <c r="H133" i="11"/>
  <c r="I159" i="11"/>
  <c r="I147" i="11"/>
  <c r="I141" i="11"/>
  <c r="I137" i="11"/>
  <c r="I133" i="11"/>
  <c r="I143" i="11"/>
  <c r="I139" i="11"/>
  <c r="I135" i="11"/>
  <c r="D14" i="11"/>
  <c r="J14" i="11" s="1"/>
  <c r="E14" i="11"/>
  <c r="G14" i="11"/>
  <c r="K19" i="60"/>
  <c r="D19" i="60"/>
  <c r="K128" i="11" l="1"/>
  <c r="K144" i="11"/>
  <c r="K154" i="11"/>
  <c r="K78" i="11"/>
  <c r="K110" i="11"/>
  <c r="K122" i="11"/>
  <c r="K120" i="11"/>
  <c r="K126" i="11"/>
  <c r="K107" i="11"/>
  <c r="K130" i="11"/>
  <c r="K112" i="11"/>
  <c r="K129" i="11"/>
  <c r="K111" i="11"/>
  <c r="K115" i="11"/>
  <c r="K124" i="11"/>
  <c r="K108" i="11"/>
  <c r="K104" i="11"/>
  <c r="K103" i="11"/>
  <c r="K119" i="11"/>
  <c r="K116" i="11"/>
  <c r="K132" i="11"/>
  <c r="K125" i="11"/>
  <c r="K123" i="11"/>
  <c r="K131" i="11"/>
  <c r="K127" i="11"/>
  <c r="K117" i="11"/>
  <c r="K109" i="11"/>
  <c r="K113" i="11"/>
  <c r="K121" i="11"/>
  <c r="K114" i="11"/>
  <c r="K102" i="11"/>
  <c r="K118" i="11"/>
  <c r="K106" i="11"/>
  <c r="K92" i="11"/>
  <c r="K95" i="11"/>
  <c r="K93" i="11"/>
  <c r="K91" i="11"/>
  <c r="K79" i="11"/>
  <c r="K87" i="11"/>
  <c r="K83" i="11"/>
  <c r="K94" i="11"/>
  <c r="K86" i="11"/>
  <c r="K90" i="11"/>
  <c r="K89" i="11"/>
  <c r="K88" i="11"/>
  <c r="K76" i="11"/>
  <c r="K84" i="11"/>
  <c r="K81" i="11"/>
  <c r="K77" i="11"/>
  <c r="K82" i="11"/>
  <c r="K75" i="11"/>
  <c r="K80" i="11"/>
  <c r="K18" i="11"/>
  <c r="K16" i="11"/>
  <c r="K15" i="11"/>
  <c r="K157" i="11"/>
  <c r="K19" i="11"/>
  <c r="K153" i="11"/>
  <c r="K150" i="11"/>
  <c r="K156" i="11"/>
  <c r="K152" i="11"/>
  <c r="K151" i="11"/>
  <c r="K155" i="11"/>
  <c r="K149" i="11"/>
  <c r="K148" i="11"/>
  <c r="K145" i="11"/>
  <c r="K158" i="11"/>
  <c r="K21" i="11"/>
  <c r="K140" i="11"/>
  <c r="K134" i="11"/>
  <c r="K136" i="11"/>
  <c r="K142" i="11"/>
  <c r="K146" i="11"/>
  <c r="K138" i="11"/>
  <c r="K143" i="11"/>
  <c r="K139" i="11"/>
  <c r="K135" i="11"/>
  <c r="K141" i="11"/>
  <c r="K147" i="11"/>
  <c r="K159" i="11"/>
  <c r="K133" i="11"/>
  <c r="K13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60" i="11"/>
  <c r="D161" i="11"/>
  <c r="H161" i="11" s="1"/>
  <c r="E1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6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61" i="11"/>
  <c r="I16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161" i="1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63" i="11"/>
  <c r="H164" i="11" s="1"/>
  <c r="I163" i="11"/>
  <c r="I164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97" i="29" l="1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65" i="11"/>
  <c r="I165" i="11"/>
  <c r="F364" i="29"/>
  <c r="F69" i="39"/>
  <c r="F72" i="39"/>
  <c r="F367" i="29"/>
  <c r="J160" i="11"/>
  <c r="K16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63" i="11" l="1"/>
  <c r="K164" i="11" s="1"/>
  <c r="K165" i="11" s="1"/>
  <c r="B16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63" i="11"/>
  <c r="J1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7" i="41" l="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<sst xmlns="http://schemas.openxmlformats.org/spreadsheetml/2006/main" count="4828" uniqueCount="1644">
  <si>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</si>
  <si>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</si>
  <si>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</si>
  <si>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</si>
  <si>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</si>
  <si>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</si>
  <si>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</si>
  <si>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</si>
  <si>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</si>
  <si>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</si>
  <si>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</si>
  <si>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</si>
  <si>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</si>
  <si>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</si>
  <si>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</si>
  <si>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</si>
  <si>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</si>
  <si>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</si>
  <si>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</si>
  <si>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</si>
  <si>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</si>
  <si>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</si>
  <si>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</si>
  <si>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</si>
  <si>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</si>
  <si>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</si>
  <si>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</si>
  <si>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</si>
  <si>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</si>
  <si>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</si>
  <si>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</si>
  <si>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</si>
  <si>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</si>
  <si>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</si>
  <si>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</si>
  <si>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</si>
  <si>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</si>
  <si>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</si>
  <si>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</si>
  <si>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</si>
  <si>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</si>
  <si>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</si>
  <si>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</si>
  <si>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</si>
  <si>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</si>
  <si>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</si>
  <si>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</si>
  <si>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</si>
  <si>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</si>
  <si>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</si>
  <si>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</si>
  <si>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</si>
  <si>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</si>
  <si>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</si>
  <si>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</si>
  <si>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</si>
  <si>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</si>
  <si>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</si>
  <si>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</si>
  <si>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</si>
  <si>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</si>
  <si>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</si>
  <si>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</si>
  <si>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</si>
  <si>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</si>
  <si>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</si>
  <si>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</si>
  <si>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</si>
  <si>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</si>
  <si>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</si>
  <si>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</si>
  <si>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</si>
  <si>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</si>
  <si>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</si>
  <si>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</si>
  <si>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</si>
  <si>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</si>
  <si>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</si>
  <si>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</si>
  <si>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</si>
  <si>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</si>
  <si>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</si>
  <si>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</si>
  <si>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</si>
  <si>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</si>
  <si>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</si>
  <si>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</si>
  <si>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</si>
  <si>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</si>
  <si>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</si>
  <si>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</si>
  <si>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</si>
  <si>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</si>
  <si>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</si>
  <si>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</si>
  <si>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</si>
  <si>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</si>
  <si>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</si>
  <si>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</si>
  <si>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</si>
  <si>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</si>
  <si>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</si>
  <si>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</si>
  <si>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</si>
  <si>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</si>
  <si>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</si>
  <si>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</si>
  <si>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</si>
  <si>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</si>
  <si>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</si>
  <si>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</si>
  <si>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</si>
  <si>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</si>
  <si>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</si>
  <si>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</si>
  <si>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</si>
  <si>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</si>
  <si>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</si>
  <si>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</si>
  <si>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</si>
  <si>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</si>
  <si>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</si>
  <si>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</si>
  <si>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</si>
  <si>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</si>
  <si>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</si>
  <si>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</si>
  <si>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</si>
  <si>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</si>
  <si>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</si>
  <si>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</si>
  <si>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</si>
  <si>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</si>
  <si>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</si>
  <si>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</si>
  <si>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</si>
  <si>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</si>
  <si>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</si>
  <si>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</si>
  <si>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</si>
  <si>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</si>
  <si>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</si>
  <si>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</si>
  <si>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</si>
  <si>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</si>
  <si>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</si>
  <si>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</si>
  <si>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</si>
  <si>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</si>
  <si>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</si>
  <si>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</si>
  <si>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</si>
  <si>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</si>
  <si>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</si>
  <si>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</si>
  <si>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</si>
  <si>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</si>
  <si>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</si>
  <si>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</si>
  <si>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</si>
  <si>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</si>
  <si>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</si>
  <si>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</si>
  <si>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</si>
  <si>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</si>
  <si>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</si>
  <si>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</si>
  <si>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</si>
  <si>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</si>
  <si>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</si>
  <si>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</si>
  <si>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</si>
  <si>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</si>
  <si>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</si>
  <si>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</si>
  <si>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</si>
  <si>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</si>
  <si>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</si>
  <si>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</si>
  <si>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</si>
  <si>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</si>
  <si>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</si>
  <si>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</si>
  <si>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</si>
  <si>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</si>
  <si>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</si>
  <si>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</si>
  <si>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</si>
  <si>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</si>
  <si>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</si>
  <si>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</si>
  <si>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</si>
  <si>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</si>
  <si>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</si>
  <si>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</si>
  <si>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</si>
  <si>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</si>
  <si>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</si>
  <si>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</si>
  <si>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</si>
  <si>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</si>
  <si>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</si>
  <si>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</si>
  <si>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</si>
  <si>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</si>
  <si>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</si>
  <si>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</si>
  <si>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</si>
  <si>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</si>
  <si>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</si>
  <si>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</si>
  <si>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</si>
  <si>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</si>
  <si>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</si>
  <si>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</si>
  <si>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</si>
  <si>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</si>
  <si>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</si>
  <si>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</si>
  <si>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</si>
  <si>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</si>
  <si>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</si>
  <si>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</si>
  <si>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</si>
  <si>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</si>
  <si>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</si>
  <si>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</si>
  <si>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</si>
  <si>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</si>
  <si>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</si>
  <si>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</si>
  <si>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</si>
  <si>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</si>
  <si>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</si>
  <si>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</si>
  <si>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</si>
  <si>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</si>
  <si>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</si>
  <si>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</si>
  <si>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</si>
  <si>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</si>
  <si>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</si>
  <si>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</si>
  <si>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</si>
  <si>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</si>
  <si>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</si>
  <si>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</si>
  <si>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</si>
  <si>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</si>
  <si>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</si>
  <si>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</si>
  <si>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</si>
  <si>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</si>
  <si>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</si>
  <si>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</si>
  <si>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</si>
  <si>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</si>
  <si>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</si>
  <si>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</si>
  <si>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</si>
  <si>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</si>
  <si>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</si>
  <si>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</si>
  <si>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</si>
  <si>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</si>
  <si>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</si>
  <si>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</si>
  <si>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</si>
  <si>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</si>
  <si>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</si>
  <si>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</si>
  <si>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</si>
  <si>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</si>
  <si>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</si>
  <si>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</si>
  <si>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</si>
  <si>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</si>
  <si>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</si>
  <si>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</si>
  <si>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</si>
  <si>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</si>
  <si>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</si>
  <si>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</si>
  <si>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</si>
  <si>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</si>
  <si>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</si>
  <si>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</si>
  <si>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</si>
  <si>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</si>
  <si>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</si>
  <si>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</si>
  <si>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</si>
  <si>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</si>
  <si>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</si>
  <si>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</si>
  <si>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</si>
  <si>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</si>
  <si>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</si>
  <si>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</si>
  <si>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</si>
  <si>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</si>
  <si>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</si>
  <si>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</si>
  <si>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</si>
  <si>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</si>
  <si>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</si>
  <si>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</si>
  <si>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</si>
  <si>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</si>
  <si>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</si>
  <si>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</si>
  <si>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</si>
  <si>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</si>
  <si>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</si>
  <si>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</si>
  <si>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</si>
  <si>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</si>
  <si>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</si>
  <si>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</si>
  <si>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</si>
  <si>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</si>
  <si>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</si>
  <si>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</si>
  <si>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</si>
  <si>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</si>
  <si>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</si>
  <si>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</si>
  <si>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</si>
  <si>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</si>
  <si>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</si>
  <si>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</si>
  <si>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</si>
  <si>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</si>
  <si>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</si>
  <si>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</si>
  <si>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</si>
  <si>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</si>
  <si>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</si>
  <si>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</si>
  <si>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</si>
  <si>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</si>
  <si>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</si>
  <si>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</si>
  <si>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</si>
  <si>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</si>
  <si>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</si>
  <si>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</si>
  <si>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</si>
  <si>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</si>
  <si>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</si>
  <si>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</si>
  <si>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</si>
  <si>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</si>
  <si>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</si>
  <si>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</si>
  <si>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</si>
  <si>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</si>
  <si>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</si>
  <si>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</si>
  <si>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</si>
  <si>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</si>
  <si>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</si>
  <si>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</si>
  <si>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</si>
  <si>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</si>
  <si>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</si>
  <si>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</si>
  <si>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</si>
  <si>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</si>
  <si>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</si>
  <si>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</si>
  <si>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</si>
  <si>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</si>
  <si>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</si>
  <si>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</si>
  <si>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</si>
  <si>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</si>
  <si>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</si>
  <si>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</si>
  <si>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</si>
  <si>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</si>
  <si>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</si>
  <si>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</si>
  <si>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</si>
  <si>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</si>
  <si>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</si>
  <si>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</si>
  <si>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</si>
  <si>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</si>
  <si>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</si>
  <si>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</si>
  <si>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</si>
  <si>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</si>
  <si>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</si>
  <si>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</si>
  <si>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</si>
  <si>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</si>
  <si>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</si>
  <si>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</si>
  <si>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</si>
  <si>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</si>
  <si>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</si>
  <si>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</si>
  <si>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</si>
  <si>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</si>
  <si>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</si>
  <si>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</si>
  <si>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</si>
  <si>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</si>
  <si>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</si>
  <si>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</si>
  <si>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</si>
  <si>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</si>
  <si>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</si>
  <si>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</si>
  <si>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</si>
  <si>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</si>
  <si>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</si>
  <si>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</si>
  <si>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</si>
  <si>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</si>
  <si>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</si>
  <si>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</si>
  <si>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</si>
  <si>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</si>
  <si>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</si>
  <si>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</si>
  <si>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</si>
  <si>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</si>
  <si>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</si>
  <si>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</si>
  <si>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</si>
  <si>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</si>
  <si>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</si>
  <si>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</si>
  <si>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</si>
  <si>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</si>
  <si>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</si>
  <si>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</si>
  <si>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</si>
  <si>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</si>
  <si>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</si>
  <si>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</si>
  <si>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</si>
  <si>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</si>
  <si>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</si>
  <si>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</si>
  <si>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</si>
  <si>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</si>
  <si>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</si>
  <si>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</si>
  <si>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</si>
  <si>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</si>
  <si>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</si>
  <si>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</si>
  <si>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</si>
  <si>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</si>
  <si>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</si>
  <si>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</si>
  <si>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</si>
  <si>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</si>
  <si>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</si>
  <si>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</si>
  <si>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</si>
  <si>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</si>
  <si>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</si>
  <si>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</si>
  <si>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</si>
  <si>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</si>
  <si>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</si>
  <si>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</si>
  <si>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</si>
  <si>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</si>
  <si>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</si>
  <si>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</si>
  <si>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</si>
  <si>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</si>
  <si>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</si>
  <si>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</si>
  <si>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</si>
  <si>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</si>
  <si>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</si>
  <si>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</si>
  <si>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</si>
  <si>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</si>
  <si>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</si>
  <si>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</si>
  <si>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</si>
  <si>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</si>
  <si>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</si>
  <si>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</si>
  <si>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</si>
  <si>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</si>
  <si>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</si>
  <si>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</si>
  <si>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</si>
  <si>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</si>
  <si>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</si>
  <si>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</si>
  <si>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</si>
  <si>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</si>
  <si>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</si>
  <si>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</si>
  <si>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</si>
  <si>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</si>
  <si>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</si>
  <si>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</si>
  <si>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</si>
  <si>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</si>
  <si>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</si>
  <si>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</si>
  <si>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</si>
  <si>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</si>
  <si>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</si>
  <si>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</si>
  <si>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</si>
  <si>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</si>
  <si>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</si>
  <si>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</si>
  <si>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</si>
  <si>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</si>
  <si>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</si>
  <si>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</si>
  <si>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</si>
  <si>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</si>
  <si>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</si>
  <si>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</si>
  <si>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</si>
  <si>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</si>
  <si>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</si>
  <si>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</si>
  <si>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</si>
  <si>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</si>
  <si>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</si>
  <si>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</si>
  <si>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</si>
  <si>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</si>
  <si>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</si>
  <si>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</si>
  <si>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</si>
  <si>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</si>
  <si>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</si>
  <si>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</si>
  <si>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</si>
  <si>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</si>
  <si>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</si>
  <si>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</si>
  <si>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</si>
  <si>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</si>
  <si>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</si>
  <si>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</si>
  <si>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</si>
  <si>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</si>
  <si>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</si>
  <si>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</si>
  <si>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</si>
  <si>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</si>
  <si>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</si>
  <si>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</si>
  <si>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</si>
  <si>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</si>
  <si>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</si>
  <si>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</si>
  <si>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</si>
  <si>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</si>
  <si>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</si>
  <si>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</si>
  <si>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</si>
  <si>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</si>
  <si>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</si>
  <si>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</si>
  <si>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</si>
  <si>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</si>
  <si>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</si>
  <si>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</si>
  <si>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</si>
  <si>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</si>
  <si>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</si>
  <si>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</si>
  <si>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</si>
  <si>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</si>
  <si>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</si>
  <si>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</si>
  <si>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</si>
  <si>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</si>
  <si>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</si>
  <si>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</si>
  <si>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</si>
  <si>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</si>
  <si>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</si>
  <si>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</si>
  <si>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</si>
  <si>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</si>
  <si>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</si>
  <si>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</si>
  <si>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</si>
  <si>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</si>
  <si>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</si>
  <si>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</si>
  <si>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</si>
  <si>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</si>
  <si>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</si>
  <si>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</si>
  <si>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</si>
  <si>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</si>
  <si>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</si>
  <si>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</si>
  <si>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</si>
  <si>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</si>
  <si>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</si>
  <si>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</si>
  <si>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</si>
  <si>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</si>
  <si>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</si>
  <si>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</si>
  <si>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</si>
  <si>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</si>
  <si>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</si>
  <si>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</si>
  <si>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</si>
  <si>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</si>
  <si>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</si>
  <si>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</si>
  <si>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</si>
  <si>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</si>
  <si>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</si>
  <si>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</si>
  <si>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</si>
  <si>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</si>
  <si>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</si>
  <si>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</si>
  <si>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</si>
  <si>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</si>
  <si>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</si>
  <si>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</si>
  <si>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</si>
  <si>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</si>
  <si>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</si>
  <si>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</si>
  <si>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</si>
  <si>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</si>
  <si>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</si>
  <si>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</si>
  <si>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</si>
  <si>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</si>
  <si>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</si>
  <si>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</si>
  <si>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</si>
  <si>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</si>
  <si>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</si>
  <si>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</si>
  <si>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</si>
  <si>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</si>
  <si>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</si>
  <si>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</si>
  <si>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</si>
  <si>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</si>
  <si>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</si>
  <si>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</si>
  <si>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</si>
  <si>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</si>
  <si>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</si>
  <si>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</si>
  <si>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</si>
  <si>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</si>
  <si>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</si>
  <si>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</si>
  <si>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</si>
  <si>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</si>
  <si>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</si>
  <si>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</si>
  <si>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</si>
  <si>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</si>
  <si>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</si>
  <si>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</si>
  <si>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</si>
  <si>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</si>
  <si>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</si>
  <si>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</si>
  <si>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</si>
  <si>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</si>
  <si>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</si>
  <si>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</si>
  <si>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</si>
  <si>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</si>
  <si>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</si>
  <si>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</si>
  <si>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</si>
  <si>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</si>
  <si>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</si>
  <si>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</si>
  <si>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</si>
  <si>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</si>
  <si>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</si>
  <si>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</si>
  <si>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</si>
  <si>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</si>
  <si>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</si>
  <si>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</si>
  <si>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</si>
  <si>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</si>
  <si>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</si>
  <si>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</si>
  <si>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</si>
  <si>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</si>
  <si>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</si>
  <si>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</si>
  <si>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</si>
  <si>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</si>
  <si>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</si>
  <si>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</si>
  <si>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</si>
  <si>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</si>
  <si>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</si>
  <si>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</si>
  <si>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</si>
  <si>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</si>
  <si>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</si>
  <si>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</si>
  <si>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</si>
  <si>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</si>
  <si>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</si>
  <si>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</si>
  <si>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</si>
  <si>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</si>
  <si>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</si>
  <si>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</si>
  <si>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</si>
  <si>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</si>
  <si>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</si>
  <si>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</si>
  <si>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</si>
  <si>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</si>
  <si>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</si>
  <si>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</si>
  <si>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</si>
  <si>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</si>
  <si>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</si>
  <si>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</si>
  <si>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</si>
  <si>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</si>
  <si>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</si>
  <si>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</si>
  <si>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</si>
  <si>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</si>
  <si>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</si>
  <si>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</si>
  <si>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</si>
  <si>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</si>
  <si>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</si>
  <si>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</si>
  <si>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</si>
  <si>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</si>
  <si>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</si>
  <si>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</si>
  <si>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</si>
  <si>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</si>
  <si>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</si>
  <si>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</si>
  <si>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</si>
  <si>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</si>
  <si>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</si>
  <si>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</si>
  <si>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</si>
  <si>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</si>
  <si>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</si>
  <si>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</si>
  <si>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</si>
  <si>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</si>
  <si>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</si>
  <si>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</si>
  <si>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</si>
  <si>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</si>
  <si>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</si>
  <si>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</si>
  <si>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</si>
  <si>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</si>
  <si>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</si>
  <si>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</si>
  <si>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</si>
  <si>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</si>
  <si>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</si>
  <si>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</si>
  <si>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</si>
  <si>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</si>
  <si>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</si>
  <si>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</si>
  <si>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</si>
  <si>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</si>
  <si>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</si>
  <si>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</si>
  <si>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</si>
  <si>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</si>
  <si>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</si>
  <si>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</si>
  <si>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</si>
  <si>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</si>
  <si>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</si>
  <si>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</si>
  <si>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</si>
  <si>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</si>
  <si>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</si>
  <si>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</si>
  <si>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</si>
  <si>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</si>
  <si>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</si>
  <si>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</si>
  <si>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</si>
  <si>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</si>
  <si>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</si>
  <si>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</si>
  <si>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</si>
  <si>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</si>
  <si>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</si>
  <si>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</si>
  <si>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</si>
  <si>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</si>
  <si>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</si>
  <si>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</si>
  <si>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</si>
  <si>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</si>
  <si>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</si>
  <si>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</si>
  <si>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</si>
  <si>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</si>
  <si>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</si>
  <si>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</si>
  <si>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</si>
  <si>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</si>
  <si>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</si>
  <si>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</si>
  <si>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</si>
  <si>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</si>
  <si>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</si>
  <si>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</si>
  <si>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</si>
  <si>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</si>
  <si>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</si>
  <si>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</si>
  <si>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</si>
  <si>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</si>
  <si>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</si>
  <si>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</si>
  <si>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</si>
  <si>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</si>
  <si>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</si>
  <si>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</si>
  <si>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</si>
  <si>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</si>
  <si>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</si>
  <si>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</si>
  <si>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</si>
  <si>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</si>
  <si>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</si>
  <si>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</si>
  <si>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</si>
  <si>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</si>
  <si>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</si>
  <si>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</si>
  <si>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</si>
  <si>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</si>
  <si>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</si>
  <si>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</si>
  <si>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</si>
  <si>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</si>
  <si>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</si>
  <si>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</si>
  <si>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</si>
  <si>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</si>
  <si>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</si>
  <si>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</si>
  <si>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</si>
  <si>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</si>
  <si>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</si>
  <si>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</si>
  <si>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</si>
  <si>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</si>
  <si>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</si>
  <si>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</si>
  <si>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</si>
  <si>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</si>
  <si>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</si>
  <si>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</si>
  <si>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</si>
  <si>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</si>
  <si>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</si>
  <si>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</si>
  <si>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</si>
  <si>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</si>
  <si>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</si>
  <si>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</si>
  <si>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</si>
  <si>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</si>
  <si>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</si>
  <si>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</si>
  <si>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</si>
  <si>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</si>
  <si>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</si>
  <si>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</si>
  <si>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</si>
  <si>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</si>
  <si>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</si>
  <si>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</si>
  <si>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</si>
  <si>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</si>
  <si>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</si>
  <si>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</si>
  <si>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</si>
  <si>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</si>
  <si>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</si>
  <si>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</si>
  <si>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</si>
  <si>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</si>
  <si>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</si>
  <si>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</si>
  <si>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</si>
  <si>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</si>
  <si>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</si>
  <si>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</si>
  <si>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</si>
  <si>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</si>
  <si>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</si>
  <si>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</si>
  <si>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</si>
  <si>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</si>
  <si>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</si>
  <si>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</si>
  <si>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</si>
  <si>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</si>
  <si>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</si>
  <si>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</si>
  <si>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</si>
  <si>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</si>
  <si>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</si>
  <si>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</si>
  <si>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</si>
  <si>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</si>
  <si>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</si>
  <si>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</si>
  <si>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</si>
  <si>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</si>
  <si>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</si>
  <si>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</si>
  <si>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</si>
  <si>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</si>
  <si>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</si>
  <si>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</si>
  <si>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</si>
  <si>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</si>
  <si>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</si>
  <si>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</si>
  <si>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</si>
  <si>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</si>
  <si>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</si>
  <si>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</si>
  <si>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</si>
  <si>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</si>
  <si>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</si>
  <si>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</si>
  <si>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</si>
  <si>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</si>
  <si>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</si>
  <si>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</si>
  <si>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</si>
  <si>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</si>
  <si>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</si>
  <si>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</si>
  <si>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</si>
  <si>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</si>
  <si>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</si>
  <si>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</si>
  <si>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</si>
  <si>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</si>
  <si>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</si>
  <si>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</si>
  <si>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</si>
  <si>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</si>
  <si>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</si>
  <si>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</si>
  <si>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</si>
  <si>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</si>
  <si>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</si>
  <si>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</si>
  <si>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</si>
  <si>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</si>
  <si>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</si>
  <si>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</si>
  <si>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</si>
  <si>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</si>
  <si>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</si>
  <si>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</si>
  <si>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</si>
  <si>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</si>
  <si>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</si>
  <si>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</si>
  <si>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</si>
  <si>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</si>
  <si>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</si>
  <si>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</si>
  <si>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</si>
  <si>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</si>
  <si>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</si>
  <si>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</si>
  <si>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</si>
  <si>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</si>
  <si>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</si>
  <si>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</si>
  <si>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</si>
  <si>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</si>
  <si>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</si>
  <si>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</si>
  <si>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</si>
  <si>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</si>
  <si>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</si>
  <si>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</si>
  <si>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</si>
  <si>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</si>
  <si>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</si>
  <si>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</si>
  <si>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</si>
  <si>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</si>
  <si>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</si>
  <si>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</si>
  <si>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</si>
  <si>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</si>
  <si>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</si>
  <si>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</si>
  <si>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</si>
  <si>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</si>
  <si>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</si>
  <si>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</si>
  <si>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</si>
  <si>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</si>
  <si>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</si>
  <si>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</si>
  <si>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</si>
  <si>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</si>
  <si>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</si>
  <si>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</si>
  <si>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</si>
  <si>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</si>
  <si>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</si>
  <si>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</si>
  <si>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</si>
  <si>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</si>
  <si>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</si>
  <si>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</si>
  <si>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</si>
  <si>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</si>
  <si>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</si>
  <si>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</si>
  <si>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</si>
  <si>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</si>
  <si>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</si>
  <si>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</si>
  <si>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</si>
  <si>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</si>
  <si>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</si>
  <si>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</si>
  <si>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</si>
  <si>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</si>
  <si>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</si>
  <si>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</si>
  <si>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</si>
  <si>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</si>
  <si>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</si>
  <si>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</si>
  <si>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</si>
  <si>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</si>
  <si>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</si>
  <si>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</si>
  <si>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</si>
  <si>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</si>
  <si>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</si>
  <si>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</si>
  <si>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</si>
  <si>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</si>
  <si>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</si>
  <si>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</si>
  <si>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</si>
  <si>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</si>
  <si>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</si>
  <si>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</si>
  <si>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</si>
  <si>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</si>
  <si>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</si>
  <si>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</si>
  <si>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</si>
  <si>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</si>
  <si>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</si>
  <si>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</si>
  <si>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</si>
  <si>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</si>
  <si>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</si>
  <si>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</si>
  <si>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</si>
  <si>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</si>
  <si>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</si>
  <si>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</si>
  <si>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</si>
  <si>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</si>
  <si>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</si>
  <si>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</si>
  <si>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</si>
  <si>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</si>
  <si>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</si>
  <si>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</si>
  <si>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</si>
  <si>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</si>
  <si>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</si>
  <si>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</si>
  <si>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</si>
  <si>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</si>
  <si>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</si>
  <si>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</si>
  <si>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</si>
  <si>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</si>
  <si>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</si>
  <si>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</si>
  <si>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</si>
  <si>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</si>
  <si>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</si>
  <si>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</si>
  <si>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</si>
  <si>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</si>
  <si>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</si>
  <si>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</si>
  <si>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</si>
  <si>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</si>
  <si>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</si>
  <si>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</si>
  <si>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</si>
  <si>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</si>
  <si>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</si>
  <si>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</si>
  <si>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</si>
  <si>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</si>
  <si>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</si>
  <si>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</si>
  <si>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</si>
  <si>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</si>
  <si>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</si>
  <si>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</si>
  <si>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</si>
  <si>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</si>
  <si>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</si>
  <si>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</si>
  <si>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</si>
  <si>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</si>
  <si>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</si>
  <si>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</si>
  <si>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</si>
  <si>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</si>
  <si>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</si>
  <si>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</si>
  <si>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</si>
  <si>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</si>
  <si>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</si>
  <si>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</si>
  <si>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</si>
  <si>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</si>
  <si>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</si>
  <si>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</si>
  <si>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</si>
  <si>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</si>
  <si>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</si>
  <si>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</si>
  <si>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</si>
  <si>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</si>
  <si>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</si>
  <si>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</si>
  <si>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</si>
  <si>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</si>
  <si>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</si>
  <si>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</si>
  <si>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</si>
  <si>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</si>
  <si>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</si>
  <si>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</si>
  <si>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</si>
  <si>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</si>
  <si>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</si>
  <si>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</si>
  <si>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</si>
  <si>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</si>
  <si>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</si>
  <si>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</si>
  <si>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</si>
  <si>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</si>
  <si>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</si>
  <si>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</si>
  <si>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</si>
  <si>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</si>
  <si>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</si>
  <si>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</si>
  <si>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</si>
  <si>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</si>
  <si>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</si>
  <si>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</si>
  <si>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</si>
  <si>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</si>
  <si>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</si>
  <si>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</si>
  <si>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</si>
  <si>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</si>
  <si>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</si>
  <si>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</si>
  <si>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</si>
  <si>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</si>
  <si>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</si>
  <si>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</si>
  <si>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</si>
  <si>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</si>
  <si>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</si>
  <si>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</si>
  <si>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</si>
  <si>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</si>
  <si>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</si>
  <si>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</si>
  <si>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</si>
  <si>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</si>
  <si>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</si>
  <si>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</si>
  <si>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</si>
  <si>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</si>
  <si>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</si>
  <si>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</si>
  <si>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</si>
  <si>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</si>
  <si>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</si>
  <si>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</si>
  <si>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</si>
  <si>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</si>
  <si>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</si>
  <si>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</si>
  <si>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</si>
  <si>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</si>
  <si>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</si>
  <si>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</si>
  <si>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</si>
  <si>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</si>
  <si>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</si>
  <si>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</si>
  <si>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</si>
  <si>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</si>
  <si>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</si>
  <si>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</si>
  <si>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</si>
  <si>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</si>
  <si>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</si>
  <si>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</si>
  <si>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</si>
  <si>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</si>
  <si>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</si>
  <si>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</si>
  <si>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</si>
  <si>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</si>
  <si>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</si>
  <si>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</si>
  <si>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</si>
  <si>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</si>
  <si>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</si>
  <si>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</si>
  <si>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</si>
  <si>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</si>
  <si>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</si>
  <si>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</si>
  <si>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</si>
  <si>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</si>
  <si>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</si>
  <si>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</si>
  <si>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</si>
  <si>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</si>
  <si>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</si>
  <si>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</si>
  <si>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</si>
  <si>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</si>
  <si>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</si>
  <si>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</si>
  <si>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</si>
  <si>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</si>
  <si>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</si>
  <si>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</si>
  <si>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</si>
  <si>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</si>
  <si>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</si>
  <si>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</si>
  <si>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</si>
  <si>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</si>
  <si>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</si>
  <si>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</si>
  <si>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</si>
  <si>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</si>
  <si>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</si>
  <si>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</si>
  <si>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</si>
  <si>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</si>
  <si>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</si>
  <si>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</si>
  <si>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</si>
  <si>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</si>
  <si>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</si>
  <si>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</si>
  <si>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</si>
  <si>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</si>
  <si>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</si>
  <si>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</si>
  <si>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</si>
  <si>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</si>
  <si>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</si>
  <si>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</si>
  <si>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</si>
  <si>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</si>
  <si>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</si>
  <si>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</si>
  <si>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</si>
  <si>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</si>
  <si>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</si>
  <si>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</si>
  <si>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</si>
  <si>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</si>
  <si>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</si>
  <si>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</si>
  <si>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</si>
  <si>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</si>
  <si>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</si>
  <si>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</si>
  <si>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</si>
  <si>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</si>
  <si>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</si>
  <si>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</si>
  <si>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</si>
  <si>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</si>
  <si>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</si>
  <si>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</si>
  <si>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</si>
  <si>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</si>
  <si>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</si>
  <si>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</si>
  <si>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</si>
  <si>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</si>
  <si>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</si>
  <si>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</si>
  <si>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</si>
  <si>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</si>
  <si>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</si>
  <si>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</si>
  <si>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</si>
  <si>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</si>
  <si>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</si>
  <si>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</si>
  <si>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</si>
  <si>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</si>
  <si>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</si>
  <si>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</si>
  <si>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</si>
  <si>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</si>
  <si>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</si>
  <si>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</si>
  <si>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</si>
  <si>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</si>
  <si>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</si>
  <si>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</si>
  <si>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</si>
  <si>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</si>
  <si>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</si>
  <si>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</si>
  <si>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</si>
  <si>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</si>
  <si>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</si>
  <si>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</si>
  <si>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</si>
  <si>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</si>
  <si>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</si>
  <si>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</si>
  <si>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</si>
  <si>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</si>
  <si>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</si>
  <si>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</si>
  <si>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</si>
  <si>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</si>
  <si>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</si>
  <si>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</si>
  <si>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</si>
  <si>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</si>
  <si>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</si>
  <si>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</si>
  <si>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</si>
  <si>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</si>
  <si>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</si>
  <si>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</si>
  <si>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</si>
  <si>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</si>
  <si>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</si>
  <si>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</si>
  <si>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</si>
  <si>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</si>
  <si>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</si>
  <si>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</si>
  <si>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</si>
  <si>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</si>
  <si>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</si>
  <si>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</si>
  <si>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</si>
  <si>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</si>
  <si>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</si>
  <si>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</si>
  <si>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</si>
  <si>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</si>
  <si>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</si>
  <si>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</si>
  <si>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</si>
  <si>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</si>
  <si>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</si>
  <si>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</si>
  <si>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</si>
  <si>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</si>
  <si>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</si>
  <si>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</si>
  <si>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</si>
  <si>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</si>
  <si>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</si>
  <si>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</si>
  <si>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</si>
  <si>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</si>
  <si>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</si>
  <si>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</si>
  <si>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</si>
  <si>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</si>
  <si>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</si>
  <si>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</si>
  <si>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</si>
  <si>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</si>
  <si>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</si>
  <si>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</si>
  <si>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</si>
  <si>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</si>
  <si>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</si>
  <si>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</si>
  <si>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</si>
  <si>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</si>
  <si>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</si>
  <si>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</si>
  <si>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</si>
  <si>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</si>
  <si>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</si>
  <si>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</si>
  <si>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</si>
  <si>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</si>
  <si>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</si>
  <si>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</si>
  <si>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</si>
  <si>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</si>
  <si>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</si>
  <si>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</si>
  <si>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</si>
  <si>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</si>
  <si>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</si>
  <si>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</si>
  <si>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</si>
  <si>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</si>
  <si>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</si>
  <si>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</si>
  <si>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</si>
  <si>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</si>
  <si>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</si>
  <si>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</si>
  <si>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</si>
  <si>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</si>
  <si>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</si>
  <si>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</si>
  <si>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</si>
  <si>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</si>
  <si>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</si>
  <si>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</si>
  <si>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</si>
  <si>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</si>
  <si>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</si>
  <si>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</si>
  <si>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</si>
  <si>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</si>
  <si>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</si>
  <si>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</si>
  <si>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</si>
  <si>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</si>
  <si>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</si>
  <si>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</si>
  <si>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</si>
  <si>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</si>
  <si>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</si>
  <si>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</si>
  <si>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</si>
  <si>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</si>
  <si>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</si>
  <si>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</si>
  <si>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</si>
  <si>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</si>
  <si>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</si>
  <si>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</si>
  <si>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</si>
  <si>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</si>
  <si>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</si>
  <si>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</si>
  <si>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</si>
  <si>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</si>
  <si>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</si>
  <si>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</si>
  <si>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</si>
  <si>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</si>
  <si>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</si>
  <si>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</si>
  <si>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</si>
  <si>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</si>
  <si>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</si>
  <si>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</si>
  <si>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</si>
  <si>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</si>
  <si>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</si>
  <si>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</si>
  <si>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</si>
  <si>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</si>
  <si>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</si>
  <si>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</si>
  <si>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</si>
  <si>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</si>
  <si>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</si>
  <si>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</si>
  <si>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</si>
  <si>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</si>
  <si>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</si>
  <si>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</si>
  <si>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</si>
  <si>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</si>
  <si>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</si>
  <si>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</si>
  <si>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</si>
  <si>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</si>
  <si>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</si>
  <si>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</si>
  <si>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</si>
  <si>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</si>
  <si>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</si>
  <si>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</si>
  <si>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</si>
  <si>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</si>
  <si>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</si>
  <si>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</si>
  <si>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</si>
  <si>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</si>
  <si>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</si>
  <si>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</si>
  <si>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</si>
  <si>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</si>
  <si>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</si>
  <si>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</si>
  <si>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</si>
  <si>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</si>
  <si>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</si>
  <si>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</si>
  <si>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</si>
  <si>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</si>
  <si>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</si>
  <si>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</si>
  <si>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</si>
  <si>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</si>
  <si>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</si>
  <si>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</si>
  <si>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</si>
  <si>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</si>
  <si>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</si>
  <si>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</si>
  <si>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</si>
  <si>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</si>
  <si>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</si>
  <si>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</si>
  <si>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</si>
  <si>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</si>
  <si>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</si>
  <si>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</si>
  <si>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</si>
  <si>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</si>
  <si>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</si>
  <si>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</si>
  <si>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</si>
  <si>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</si>
  <si>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</si>
  <si>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</si>
  <si>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</si>
  <si>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</si>
  <si>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</si>
  <si>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</si>
  <si>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</si>
  <si>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</si>
  <si>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</si>
  <si>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</si>
  <si>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</si>
  <si>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</si>
  <si>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</si>
  <si>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</si>
  <si>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</si>
  <si>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</si>
  <si>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</si>
  <si>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</si>
  <si>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</si>
  <si>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</si>
  <si>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</si>
  <si>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</si>
  <si>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</si>
  <si>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</si>
  <si>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B2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</si>
  <si>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</si>
  <si>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</si>
  <si>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</si>
  <si>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</si>
  <si>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</si>
  <si>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</si>
  <si>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</si>
  <si>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</si>
  <si>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>SCHOOR</t>
  </si>
  <si>
    <t>CE1-3</t>
  </si>
  <si>
    <t>F1-3</t>
  </si>
  <si>
    <t>CM2-12A</t>
  </si>
  <si>
    <t xml:space="preserve">Jumper Wire : </t>
  </si>
  <si>
    <t>CM2-11M</t>
  </si>
  <si>
    <t>Stainless Steel Strap 20 X 0.7 mm</t>
  </si>
  <si>
    <t>Pemasangan APP Di Tiang</t>
  </si>
  <si>
    <t>CM5-5</t>
  </si>
  <si>
    <t>PENJUMPERAN</t>
  </si>
  <si>
    <t>CC1-A</t>
  </si>
  <si>
    <t>CC7</t>
  </si>
  <si>
    <t>TM 3 PHASE</t>
  </si>
  <si>
    <t xml:space="preserve">Pemasangan APP </t>
  </si>
  <si>
    <t>KONDUKTOR</t>
  </si>
  <si>
    <t>Trafo 3 Fasa 160 KVA 2 Tiang (G313)</t>
  </si>
  <si>
    <t>CM5-8</t>
  </si>
  <si>
    <t>Daya 164.000 VA</t>
  </si>
  <si>
    <t>K3-341/101/11/26</t>
  </si>
  <si>
    <t>KDS 16</t>
  </si>
  <si>
    <t>AGR UD SRI REJEKI</t>
  </si>
  <si>
    <t xml:space="preserve">JL DEMUNG - TRENGGULI DS DEMUNG KEC WONOSALAM </t>
  </si>
  <si>
    <t>KOORDINAT : -6.924049, 110.685877</t>
  </si>
  <si>
    <t>NUGROHO UKI P</t>
  </si>
  <si>
    <t>Demak, 06 Oktober 2023</t>
  </si>
  <si>
    <t>PLH MANAGER ULP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</si>
</sst>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41" fontId="23" fillId="0" borderId="0" applyFont="0" applyFill="0" applyBorder="0" applyAlignment="0" applyProtection="0"/>
    <xf numFmtId="0" fontId="5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17" fillId="0" borderId="0"/>
    <xf numFmtId="0" fontId="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7" fillId="0" borderId="21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30" fillId="48" borderId="21" xfId="1652" applyFont="1" applyFill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8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8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11206</xdr:colOff>
      <xdr:row>13</xdr:row>
      <xdr:rowOff>44823</xdr:rowOff>
    </xdr:from>
    <xdr:to>
      <xdr:col>15</xdr:col>
      <xdr:colOff>156882</xdr:colOff>
      <xdr:row>13</xdr:row>
      <xdr:rowOff>44823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59520160-C1B6-4296-9926-2E1504B68B55}"/>
            </a:ext>
          </a:extLst>
        </xdr:cNvPr>
        <xdr:cNvCxnSpPr/>
      </xdr:nvCxnSpPr>
      <xdr:spPr>
        <a:xfrm>
          <a:off x="2991971" y="2084294"/>
          <a:ext cx="2431676" cy="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216935</xdr:colOff>
      <xdr:row>18</xdr:row>
      <xdr:rowOff>72840</xdr:rowOff>
    </xdr:from>
    <xdr:to>
      <xdr:col>11</xdr:col>
      <xdr:colOff>302558</xdr:colOff>
      <xdr:row>40</xdr:row>
      <xdr:rowOff>56030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DE83051F-06F7-4CF1-A9F1-35D556D09265}"/>
            </a:ext>
          </a:extLst>
        </xdr:cNvPr>
        <xdr:cNvSpPr txBox="1"/>
      </xdr:nvSpPr>
      <xdr:spPr>
        <a:xfrm>
          <a:off x="1673700" y="2896722"/>
          <a:ext cx="2371623" cy="3423396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10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87322</xdr:colOff>
      <xdr:row>15</xdr:row>
      <xdr:rowOff>67105</xdr:rowOff>
    </xdr:from>
    <xdr:to>
      <xdr:col>12</xdr:col>
      <xdr:colOff>112059</xdr:colOff>
      <xdr:row>38</xdr:row>
      <xdr:rowOff>33617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7083E65-9918-4BEF-BFA4-E5577F36B092}"/>
            </a:ext>
          </a:extLst>
        </xdr:cNvPr>
        <xdr:cNvCxnSpPr/>
      </xdr:nvCxnSpPr>
      <xdr:spPr>
        <a:xfrm>
          <a:off x="4211087" y="2420340"/>
          <a:ext cx="24737" cy="356360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193802</xdr:colOff>
      <xdr:row>1</xdr:row>
      <xdr:rowOff>85725</xdr:rowOff>
    </xdr:from>
    <xdr:to>
      <xdr:col>21</xdr:col>
      <xdr:colOff>290101</xdr:colOff>
      <xdr:row>6</xdr:row>
      <xdr:rowOff>97082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47FD7-1103-4A7B-A8BC-2FF6D1E7B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75602" y="247650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71114</xdr:colOff>
      <xdr:row>5</xdr:row>
      <xdr:rowOff>37849</xdr:rowOff>
    </xdr:from>
    <xdr:to>
      <xdr:col>29</xdr:col>
      <xdr:colOff>353029</xdr:colOff>
      <xdr:row>16</xdr:row>
      <xdr:rowOff>141905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88CF776-61FE-4D61-A92A-5662A8938239}"/>
            </a:ext>
          </a:extLst>
        </xdr:cNvPr>
        <xdr:cNvGrpSpPr/>
      </xdr:nvGrpSpPr>
      <xdr:grpSpPr>
        <a:xfrm>
          <a:off x="9562496" y="822261"/>
          <a:ext cx="1480945" cy="1829762"/>
          <a:chOff x="9713886" y="808452"/>
          <a:chExt cx="1342558" cy="1766630"/>
        </a:xfrm>
      </xdr:grpSpPr>
      <xdr:grpSp>
        <xdr:nvGrpSpPr>
          <xdr:cNvPr id="5" name="Group 13">
            <a:extLst>
              <a:ext uri="{FF2B5EF4-FFF2-40B4-BE49-F238E27FC236}">
                <a16:creationId xmlns:a16="http://schemas.microsoft.com/office/drawing/2014/main" id="{1ADC8A9E-98A5-CC1E-5054-9DEBE691F0D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1">
              <a:extLst>
                <a:ext uri="{FF2B5EF4-FFF2-40B4-BE49-F238E27FC236}">
                  <a16:creationId xmlns:a16="http://schemas.microsoft.com/office/drawing/2014/main" id="{2B1F31BA-153C-4D36-46E6-1E95F7E679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3">
              <a:extLst>
                <a:ext uri="{FF2B5EF4-FFF2-40B4-BE49-F238E27FC236}">
                  <a16:creationId xmlns:a16="http://schemas.microsoft.com/office/drawing/2014/main" id="{42DE6F9A-80DC-2E97-1AA1-D105FE1FE875}"/>
                </a:ext>
              </a:extLst>
            </xdr:cNvPr>
            <xdr:cNvCxnSpPr>
              <a:stCxn id="21" idx="1"/>
              <a:endCxn id="2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7">
              <a:extLst>
                <a:ext uri="{FF2B5EF4-FFF2-40B4-BE49-F238E27FC236}">
                  <a16:creationId xmlns:a16="http://schemas.microsoft.com/office/drawing/2014/main" id="{4EA78B3B-ECB8-A1E6-CDE9-66496EF59E6E}"/>
                </a:ext>
              </a:extLst>
            </xdr:cNvPr>
            <xdr:cNvCxnSpPr>
              <a:stCxn id="21" idx="3"/>
              <a:endCxn id="2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482EB593-5D49-2C06-FAC3-F1B8152A5FC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257830B-B018-499D-0290-0A9654FE589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id="{07AB8A7B-B0AC-681C-BC96-2AEC8FE75BA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id="{7D3D3011-1893-0555-5A45-DC4AA590F6DB}"/>
                </a:ext>
              </a:extLst>
            </xdr:cNvPr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5C8A8EF0-4625-5C6F-2289-C81ADA50889D}"/>
                </a:ext>
              </a:extLst>
            </xdr:cNvPr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2AEBAA51-EF96-93E0-F1B7-FC43B4AECF3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E672F454-4C56-DA8B-7BF6-353472AEEAC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97B37073-F07F-EB66-6BBA-7AB662EA67A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233F599-6DC0-38FA-395B-AB94A3AB77A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7E060012-2B69-1F5D-09C0-FCBCBCCFAD6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B37F7C76-78F0-63FA-D72D-AEA8914128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6D5AD1F-0D66-8652-0AD7-552EAB6B473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A121BE42-B2F9-1229-5B19-E5FD70E7A15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A7EF3FC-1D72-E9F1-53C8-B2A6EF8E61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D61768B-9571-752C-4916-F29AB512AF2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1D5D3678-4E3E-081D-8B68-A2A29CC0A46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1704AB9D-A0C4-614C-B025-F64E2459B64F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44D09F4D-4DDE-A5ED-C292-DBC2C853079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50">
            <a:extLst>
              <a:ext uri="{FF2B5EF4-FFF2-40B4-BE49-F238E27FC236}">
                <a16:creationId xmlns:a16="http://schemas.microsoft.com/office/drawing/2014/main" id="{9E11683F-47CD-BB83-4AC2-213CB300C81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DB1CCD8-24C8-4308-71BA-DCBA2278C96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52">
            <a:extLst>
              <a:ext uri="{FF2B5EF4-FFF2-40B4-BE49-F238E27FC236}">
                <a16:creationId xmlns:a16="http://schemas.microsoft.com/office/drawing/2014/main" id="{D90E2982-0FBF-A167-3020-A94D4B7B665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DCC6D3CF-1B74-E9FB-1FC2-A212ABD6049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E414BB4-826E-A6D0-CA97-B018CECB6D7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BA89FDF-EE90-D459-C05D-6BBDB21BEC6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87B380D6-114A-B666-1E88-222029E34C5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40F62A8-9628-3C45-A4B0-06582EEB3A5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92A55AD8-5E6C-4C19-9779-11FCC007914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210299B5-70B8-424A-512F-DC7B9BA917C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9310D224-A8E7-B9CF-6711-079BBFDFF4F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01177E3F-7D0C-253F-76F7-52CF1459AAA4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3" name="Group 73">
            <a:extLst>
              <a:ext uri="{FF2B5EF4-FFF2-40B4-BE49-F238E27FC236}">
                <a16:creationId xmlns:a16="http://schemas.microsoft.com/office/drawing/2014/main" id="{08A4DC6C-253E-9876-29E5-9280F321FB1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C8F11BEC-AA46-B2E5-1051-921DE1FC8B9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9E5DC821-ED68-604F-2098-9A5C3528157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74">
            <a:extLst>
              <a:ext uri="{FF2B5EF4-FFF2-40B4-BE49-F238E27FC236}">
                <a16:creationId xmlns:a16="http://schemas.microsoft.com/office/drawing/2014/main" id="{32164B48-90CF-3749-D041-69A56588040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F7BAAEDE-0818-5943-521E-C547B0FA08C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A77BEF9A-9B09-26FB-9C59-89C52068DF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89">
            <a:extLst>
              <a:ext uri="{FF2B5EF4-FFF2-40B4-BE49-F238E27FC236}">
                <a16:creationId xmlns:a16="http://schemas.microsoft.com/office/drawing/2014/main" id="{DA6209C4-F512-227F-3801-D9D1DF83B83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95E425F7-E079-0B0A-2A86-5B5D29ACB5B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79">
              <a:extLst>
                <a:ext uri="{FF2B5EF4-FFF2-40B4-BE49-F238E27FC236}">
                  <a16:creationId xmlns:a16="http://schemas.microsoft.com/office/drawing/2014/main" id="{4F1F046D-6065-FD84-54BE-FF414251606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80">
              <a:extLst>
                <a:ext uri="{FF2B5EF4-FFF2-40B4-BE49-F238E27FC236}">
                  <a16:creationId xmlns:a16="http://schemas.microsoft.com/office/drawing/2014/main" id="{02753E0A-0F72-F9AC-A06B-094F88B6212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88">
              <a:extLst>
                <a:ext uri="{FF2B5EF4-FFF2-40B4-BE49-F238E27FC236}">
                  <a16:creationId xmlns:a16="http://schemas.microsoft.com/office/drawing/2014/main" id="{0C36CB7E-8BCC-4537-AD2B-B572C7DB6C3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90">
            <a:extLst>
              <a:ext uri="{FF2B5EF4-FFF2-40B4-BE49-F238E27FC236}">
                <a16:creationId xmlns:a16="http://schemas.microsoft.com/office/drawing/2014/main" id="{F59AF038-E1D0-A465-02CD-AD56AA7A2D3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254E22CC-9054-B469-BAB1-CB62B74D15C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EE430C31-5090-18BE-469E-F557127D56D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2465509E-6D8A-C75D-5FCA-DB2B7D55970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212A2EFA-CBA2-A401-9DD7-AC85817F703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B49B7A88-DF3D-5F6C-A80B-3564108B76F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E1A37EFC-AD88-E2C8-808F-0A13612123A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775C8C9B-4606-9645-1697-34AA7EA522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id="{F09BBB91-E77F-2B27-C07B-F5D8FBBFAA1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>
            <a:extLst>
              <a:ext uri="{FF2B5EF4-FFF2-40B4-BE49-F238E27FC236}">
                <a16:creationId xmlns:a16="http://schemas.microsoft.com/office/drawing/2014/main" id="{5CA9BF52-E5BE-D9A8-5934-CE986D01E9E9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EB0DE446-E383-092F-700D-2937327C156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0188A058-3D70-7237-7F8E-8F52B15DD51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0D3A6A15-9804-215D-D916-82A71AB7DBD1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>
            <a:extLst>
              <a:ext uri="{FF2B5EF4-FFF2-40B4-BE49-F238E27FC236}">
                <a16:creationId xmlns:a16="http://schemas.microsoft.com/office/drawing/2014/main" id="{4E94BDF3-AA63-6F2B-A85C-FD875469AB4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3C8DD6E8-D0C8-8899-918D-62641FD95C8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AA9162BC-8996-0A3E-A275-1039ADE8588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DE5B09B4-B3E0-C96B-4D66-3EB35F729BF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34494</xdr:colOff>
      <xdr:row>15</xdr:row>
      <xdr:rowOff>16649</xdr:rowOff>
    </xdr:from>
    <xdr:to>
      <xdr:col>16</xdr:col>
      <xdr:colOff>171289</xdr:colOff>
      <xdr:row>15</xdr:row>
      <xdr:rowOff>24814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7095C750-7F3E-474E-8464-08FD4E6290C0}"/>
            </a:ext>
          </a:extLst>
        </xdr:cNvPr>
        <xdr:cNvCxnSpPr/>
      </xdr:nvCxnSpPr>
      <xdr:spPr>
        <a:xfrm flipH="1" flipV="1">
          <a:off x="2253259" y="2369884"/>
          <a:ext cx="3565795" cy="8165"/>
        </a:xfrm>
        <a:prstGeom prst="line">
          <a:avLst/>
        </a:prstGeom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44822</xdr:colOff>
      <xdr:row>26</xdr:row>
      <xdr:rowOff>36087</xdr:rowOff>
    </xdr:from>
    <xdr:to>
      <xdr:col>10</xdr:col>
      <xdr:colOff>44823</xdr:colOff>
      <xdr:row>35</xdr:row>
      <xdr:rowOff>44824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EA53827-3546-4CFB-9FE7-5776B041F974}"/>
            </a:ext>
          </a:extLst>
        </xdr:cNvPr>
        <xdr:cNvSpPr txBox="1"/>
      </xdr:nvSpPr>
      <xdr:spPr>
        <a:xfrm>
          <a:off x="2644587" y="4115028"/>
          <a:ext cx="762001" cy="140947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WAKIJAN</a:t>
          </a:r>
        </a:p>
      </xdr:txBody>
    </xdr:sp>
    <xdr:clientData/>
  </xdr:twoCellAnchor>
  <xdr:twoCellAnchor>
    <xdr:from>
      <xdr:col>13</xdr:col>
      <xdr:colOff>47701</xdr:colOff>
      <xdr:row>28</xdr:row>
      <xdr:rowOff>32699</xdr:rowOff>
    </xdr:from>
    <xdr:to>
      <xdr:col>13</xdr:col>
      <xdr:colOff>51388</xdr:colOff>
      <xdr:row>35</xdr:row>
      <xdr:rowOff>11324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E93A09E-E144-463A-8811-1609EC82A834}"/>
            </a:ext>
          </a:extLst>
        </xdr:cNvPr>
        <xdr:cNvCxnSpPr>
          <a:stCxn id="84" idx="0"/>
          <a:endCxn id="107" idx="4"/>
        </xdr:cNvCxnSpPr>
      </xdr:nvCxnSpPr>
      <xdr:spPr>
        <a:xfrm flipV="1">
          <a:off x="4552466" y="4425405"/>
          <a:ext cx="3687" cy="10655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367789</xdr:colOff>
      <xdr:row>12</xdr:row>
      <xdr:rowOff>111617</xdr:rowOff>
    </xdr:from>
    <xdr:to>
      <xdr:col>11</xdr:col>
      <xdr:colOff>188175</xdr:colOff>
      <xdr:row>14</xdr:row>
      <xdr:rowOff>14327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ECD0E33-C741-4954-9524-35E3142E9A9F}"/>
            </a:ext>
          </a:extLst>
        </xdr:cNvPr>
        <xdr:cNvGrpSpPr/>
      </xdr:nvGrpSpPr>
      <xdr:grpSpPr>
        <a:xfrm>
          <a:off x="3729554" y="1994205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19222C48-3DA2-72DE-4B0E-A311A1C8D4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071DE19C-CFA7-9303-AB40-F7D680609871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B31B80AB-50D6-E67F-EFE0-C5C142BD3B89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158683</xdr:colOff>
      <xdr:row>13</xdr:row>
      <xdr:rowOff>139507</xdr:rowOff>
    </xdr:from>
    <xdr:to>
      <xdr:col>12</xdr:col>
      <xdr:colOff>365668</xdr:colOff>
      <xdr:row>17</xdr:row>
      <xdr:rowOff>54115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5D91817-14AD-46EC-BAB7-9FDA34BB8012}"/>
            </a:ext>
          </a:extLst>
        </xdr:cNvPr>
        <xdr:cNvCxnSpPr>
          <a:stCxn id="72" idx="5"/>
          <a:endCxn id="93" idx="1"/>
        </xdr:cNvCxnSpPr>
      </xdr:nvCxnSpPr>
      <xdr:spPr>
        <a:xfrm>
          <a:off x="3901448" y="2178978"/>
          <a:ext cx="587985" cy="54213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328008</xdr:colOff>
      <xdr:row>35</xdr:row>
      <xdr:rowOff>11324</xdr:rowOff>
    </xdr:from>
    <xdr:to>
      <xdr:col>13</xdr:col>
      <xdr:colOff>148394</xdr:colOff>
      <xdr:row>36</xdr:row>
      <xdr:rowOff>66435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5A0399C9-B3BB-46EB-AD21-C6C5ACA1268E}"/>
            </a:ext>
          </a:extLst>
        </xdr:cNvPr>
        <xdr:cNvGrpSpPr/>
      </xdr:nvGrpSpPr>
      <xdr:grpSpPr>
        <a:xfrm>
          <a:off x="4451773" y="5491000"/>
          <a:ext cx="201386" cy="2119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DC32AEF2-5850-8648-1FFE-D958DBE06A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321A51A7-AF2B-C715-569A-F83D0EE1BD27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C8E57170-833D-2ABC-A2EE-D42634480972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340092</xdr:colOff>
      <xdr:row>36</xdr:row>
      <xdr:rowOff>83337</xdr:rowOff>
    </xdr:from>
    <xdr:to>
      <xdr:col>13</xdr:col>
      <xdr:colOff>160478</xdr:colOff>
      <xdr:row>37</xdr:row>
      <xdr:rowOff>138449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58064454-93C2-41B5-A6A0-A52FE08C77C9}"/>
            </a:ext>
          </a:extLst>
        </xdr:cNvPr>
        <xdr:cNvGrpSpPr/>
      </xdr:nvGrpSpPr>
      <xdr:grpSpPr>
        <a:xfrm>
          <a:off x="4463857" y="5719896"/>
          <a:ext cx="201386" cy="2119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DEB6B51B-69F1-5022-8DC9-190C9FBD66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DF7CCECC-18ED-5259-1B2B-85DD11BFD180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2D0CB96-CAA0-F3D8-0E87-0AD6A6003BDF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178984</xdr:colOff>
      <xdr:row>33</xdr:row>
      <xdr:rowOff>1841</xdr:rowOff>
    </xdr:from>
    <xdr:to>
      <xdr:col>16</xdr:col>
      <xdr:colOff>354288</xdr:colOff>
      <xdr:row>44</xdr:row>
      <xdr:rowOff>123265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96971D11-77BC-47F0-A944-BEC2A2F0A1D4}"/>
            </a:ext>
          </a:extLst>
        </xdr:cNvPr>
        <xdr:cNvSpPr txBox="1"/>
      </xdr:nvSpPr>
      <xdr:spPr>
        <a:xfrm>
          <a:off x="5064749" y="5167753"/>
          <a:ext cx="937304" cy="18471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K3-341/101/ 11/26</a:t>
          </a:r>
        </a:p>
        <a:p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59785</xdr:colOff>
      <xdr:row>37</xdr:row>
      <xdr:rowOff>138449</xdr:rowOff>
    </xdr:from>
    <xdr:to>
      <xdr:col>13</xdr:col>
      <xdr:colOff>67235</xdr:colOff>
      <xdr:row>40</xdr:row>
      <xdr:rowOff>11206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441221A-3120-4A79-9449-8AF861E43472}"/>
            </a:ext>
          </a:extLst>
        </xdr:cNvPr>
        <xdr:cNvCxnSpPr>
          <a:stCxn id="88" idx="4"/>
        </xdr:cNvCxnSpPr>
      </xdr:nvCxnSpPr>
      <xdr:spPr>
        <a:xfrm>
          <a:off x="4564550" y="5931890"/>
          <a:ext cx="7450" cy="34340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180515</xdr:colOff>
      <xdr:row>25</xdr:row>
      <xdr:rowOff>94129</xdr:rowOff>
    </xdr:from>
    <xdr:to>
      <xdr:col>14</xdr:col>
      <xdr:colOff>56028</xdr:colOff>
      <xdr:row>27</xdr:row>
      <xdr:rowOff>78441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72A449D1-D30C-4D71-87A0-4CC75CB34E2C}"/>
            </a:ext>
          </a:extLst>
        </xdr:cNvPr>
        <xdr:cNvSpPr/>
      </xdr:nvSpPr>
      <xdr:spPr>
        <a:xfrm>
          <a:off x="4685280" y="4016188"/>
          <a:ext cx="256513" cy="29807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336176</xdr:colOff>
      <xdr:row>17</xdr:row>
      <xdr:rowOff>22413</xdr:rowOff>
    </xdr:from>
    <xdr:to>
      <xdr:col>13</xdr:col>
      <xdr:colOff>156562</xdr:colOff>
      <xdr:row>18</xdr:row>
      <xdr:rowOff>82006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B8266DC1-9455-4C60-825A-752CB78F1AE6}"/>
            </a:ext>
          </a:extLst>
        </xdr:cNvPr>
        <xdr:cNvGrpSpPr/>
      </xdr:nvGrpSpPr>
      <xdr:grpSpPr>
        <a:xfrm>
          <a:off x="4459941" y="2689413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81B32BF4-885B-FF59-7AED-EC76E29162E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A61954F-2CF1-1547-A885-C7478C497607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B08E4EB-5FB2-A2BB-D5A6-0C243172702A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336177</xdr:colOff>
      <xdr:row>25</xdr:row>
      <xdr:rowOff>78441</xdr:rowOff>
    </xdr:from>
    <xdr:to>
      <xdr:col>13</xdr:col>
      <xdr:colOff>156563</xdr:colOff>
      <xdr:row>26</xdr:row>
      <xdr:rowOff>138034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05BE7AE0-13CA-41F0-BDA2-EF367EE6C564}"/>
            </a:ext>
          </a:extLst>
        </xdr:cNvPr>
        <xdr:cNvGrpSpPr/>
      </xdr:nvGrpSpPr>
      <xdr:grpSpPr>
        <a:xfrm>
          <a:off x="4459942" y="4000500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3FB22AA0-5BCF-D0CA-E408-3597F232E79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6F98607-B826-AD63-40DA-26B83A7D6CD4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E9463AB-3FB0-5122-354C-6CB49827DEAA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331695</xdr:colOff>
      <xdr:row>26</xdr:row>
      <xdr:rowOff>129989</xdr:rowOff>
    </xdr:from>
    <xdr:to>
      <xdr:col>13</xdr:col>
      <xdr:colOff>152081</xdr:colOff>
      <xdr:row>28</xdr:row>
      <xdr:rowOff>32699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85B688F8-6278-4D43-938D-6BBA90C9A43E}"/>
            </a:ext>
          </a:extLst>
        </xdr:cNvPr>
        <xdr:cNvGrpSpPr/>
      </xdr:nvGrpSpPr>
      <xdr:grpSpPr>
        <a:xfrm>
          <a:off x="4455460" y="4208930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4AC196F-96A4-C579-CFAF-3FFE2F1AAD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FD24B86A-1061-F51F-F5FC-8BC72F609BF3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A0906B9-B7F3-55FC-D339-7595ED9DD376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55869</xdr:colOff>
      <xdr:row>18</xdr:row>
      <xdr:rowOff>82006</xdr:rowOff>
    </xdr:from>
    <xdr:to>
      <xdr:col>13</xdr:col>
      <xdr:colOff>55870</xdr:colOff>
      <xdr:row>25</xdr:row>
      <xdr:rowOff>78441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DB0C4D40-F110-4EE1-9955-B673899F5474}"/>
            </a:ext>
          </a:extLst>
        </xdr:cNvPr>
        <xdr:cNvCxnSpPr>
          <a:stCxn id="93" idx="4"/>
          <a:endCxn id="102" idx="0"/>
        </xdr:cNvCxnSpPr>
      </xdr:nvCxnSpPr>
      <xdr:spPr>
        <a:xfrm>
          <a:off x="4560634" y="2905888"/>
          <a:ext cx="1" cy="109461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35</xdr:row>
      <xdr:rowOff>56030</xdr:rowOff>
    </xdr:from>
    <xdr:to>
      <xdr:col>14</xdr:col>
      <xdr:colOff>66013</xdr:colOff>
      <xdr:row>37</xdr:row>
      <xdr:rowOff>40342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F91D9BFA-B4D7-49AE-BF84-41A260BD9D7B}"/>
            </a:ext>
          </a:extLst>
        </xdr:cNvPr>
        <xdr:cNvSpPr/>
      </xdr:nvSpPr>
      <xdr:spPr>
        <a:xfrm>
          <a:off x="4695265" y="5535706"/>
          <a:ext cx="256513" cy="298077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347382</xdr:colOff>
      <xdr:row>26</xdr:row>
      <xdr:rowOff>31604</xdr:rowOff>
    </xdr:from>
    <xdr:to>
      <xdr:col>8</xdr:col>
      <xdr:colOff>17472</xdr:colOff>
      <xdr:row>38</xdr:row>
      <xdr:rowOff>22410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6FDE9576-0A29-4F37-9DF0-E7F724DC5977}"/>
            </a:ext>
          </a:extLst>
        </xdr:cNvPr>
        <xdr:cNvSpPr txBox="1"/>
      </xdr:nvSpPr>
      <xdr:spPr>
        <a:xfrm>
          <a:off x="1804147" y="4110545"/>
          <a:ext cx="813090" cy="186218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SRI REJEKI</a:t>
          </a:r>
        </a:p>
      </xdr:txBody>
    </xdr:sp>
    <xdr:clientData/>
  </xdr:twoCellAnchor>
  <xdr:twoCellAnchor>
    <xdr:from>
      <xdr:col>14</xdr:col>
      <xdr:colOff>156883</xdr:colOff>
      <xdr:row>18</xdr:row>
      <xdr:rowOff>11206</xdr:rowOff>
    </xdr:from>
    <xdr:to>
      <xdr:col>16</xdr:col>
      <xdr:colOff>332187</xdr:colOff>
      <xdr:row>31</xdr:row>
      <xdr:rowOff>44824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E35DA4F-F75D-432A-9752-A8CFABA47D8A}"/>
            </a:ext>
          </a:extLst>
        </xdr:cNvPr>
        <xdr:cNvSpPr txBox="1"/>
      </xdr:nvSpPr>
      <xdr:spPr>
        <a:xfrm>
          <a:off x="5042648" y="2835088"/>
          <a:ext cx="937304" cy="20618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K3-341/101/ 11/26</a:t>
          </a:r>
        </a:p>
        <a:p>
          <a:endParaRPr lang="en-US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CM5-8</a:t>
          </a: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519546</xdr:colOff>
      <xdr:row>10</xdr:row>
      <xdr:rowOff>69271</xdr:rowOff>
    </xdr:from>
    <xdr:to>
      <xdr:col>17</xdr:col>
      <xdr:colOff>432955</xdr:colOff>
      <xdr:row>47</xdr:row>
      <xdr:rowOff>26191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D75282-E820-061D-C236-6963942A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0137" y="1783771"/>
          <a:ext cx="7793182" cy="57238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6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95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140200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SUMIFS(RAB!$F$14:$F$159,RAB!$C$14:$C$159,C714)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SUMIFS(RAB!$F$14:$F$159,RAB!$C$14:$C$159,C715)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SUMIFS(RAB!$F$14:$F$159,RAB!$C$14:$C$159,C716)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SUMIFS(RAB!$F$14:$F$159,RAB!$C$14:$C$159,C717)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SUMIFS(RAB!$F$14:$F$159,RAB!$C$14:$C$159,C718)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SUMIFS(RAB!$F$14:$F$159,RAB!$C$14:$C$159,C719)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SUMIFS(RAB!$F$14:$F$159,RAB!$C$14:$C$159,C720)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SUMIFS(RAB!$F$14:$F$159,RAB!$C$14:$C$159,C721)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SUMIFS(RAB!$F$14:$F$159,RAB!$C$14:$C$159,C722)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SUMIFS(RAB!$F$14:$F$159,RAB!$C$14:$C$159,C723)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SUMIFS(RAB!$F$14:$F$159,RAB!$C$14:$C$159,C724)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SUMIFS(RAB!$F$14:$F$159,RAB!$C$14:$C$159,C725)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SUMIFS(RAB!$F$14:$F$159,RAB!$C$14:$C$159,C726)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SUMIFS(RAB!$F$14:$F$159,RAB!$C$14:$C$159,C727)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SUMIFS(RAB!$F$14:$F$159,RAB!$C$14:$C$159,C728)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SUMIFS(RAB!$F$14:$F$159,RAB!$C$14:$C$159,C729)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SUMIFS(RAB!$F$14:$F$159,RAB!$C$14:$C$159,C730)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SUMIFS(RAB!$F$14:$F$159,RAB!$C$14:$C$159,C731)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SUMIFS(RAB!$F$14:$F$159,RAB!$C$14:$C$159,C732)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SUMIFS(RAB!$F$14:$F$159,RAB!$C$14:$C$159,C733)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SUMIFS(RAB!$F$14:$F$159,RAB!$C$14:$C$159,C734)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SUMIFS(RAB!$F$14:$F$159,RAB!$C$14:$C$159,C735)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SUMIFS(RAB!$F$14:$F$159,RAB!$C$14:$C$159,C736)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SUMIFS(RAB!$F$14:$F$159,RAB!$C$14:$C$159,C737)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SUMIFS(RAB!$F$14:$F$159,RAB!$C$14:$C$159,C738)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SUMIFS(RAB!$F$14:$F$159,RAB!$C$14:$C$159,C739)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SUMIFS(RAB!$F$14:$F$159,RAB!$C$14:$C$159,C740)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SUMIFS(RAB!$F$14:$F$159,RAB!$C$14:$C$159,C741)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SUMIFS(RAB!$F$14:$F$159,RAB!$C$14:$C$159,C742)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SUMIFS(RAB!$F$14:$F$159,RAB!$C$14:$C$159,C743)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SUMIFS(RAB!$F$14:$F$159,RAB!$C$14:$C$159,C744)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SUMIFS(RAB!$F$14:$F$159,RAB!$C$14:$C$159,C745)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SUMIFS(RAB!$F$14:$F$159,RAB!$C$14:$C$159,C746)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SUMIFS(RAB!$F$14:$F$159,RAB!$C$14:$C$159,C747)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SUMIFS(RAB!$F$14:$F$159,RAB!$C$14:$C$159,C748)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SUMIFS(RAB!$F$14:$F$159,RAB!$C$14:$C$159,C749)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SUMIFS(RAB!$F$14:$F$159,RAB!$C$14:$C$159,C750)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SUMIFS(RAB!$F$14:$F$159,RAB!$C$14:$C$159,C751)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SUMIFS(RAB!$F$14:$F$159,RAB!$C$14:$C$159,C752)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SUMIFS(RAB!$F$14:$F$159,RAB!$C$14:$C$159,C753)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SUMIFS(RAB!$F$14:$F$159,RAB!$C$14:$C$159,C754)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SUMIFS(RAB!$F$14:$F$159,RAB!$C$14:$C$159,C755)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SUMIFS(RAB!$F$14:$F$159,RAB!$C$14:$C$159,C756)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SUMIFS(RAB!$F$14:$F$159,RAB!$C$14:$C$159,C757)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SUMIFS(RAB!$F$14:$F$159,RAB!$C$14:$C$159,C758)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SUMIFS(RAB!$F$14:$F$159,RAB!$C$14:$C$159,C759)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SUMIFS(RAB!$F$14:$F$159,RAB!$C$14:$C$159,C760)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SUMIFS(RAB!$F$14:$F$159,RAB!$C$14:$C$159,C761)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SUMIFS(RAB!$F$14:$F$159,RAB!$C$14:$C$159,C762)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SUMIFS(RAB!$F$14:$F$159,RAB!$C$14:$C$159,C763)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SUMIFS(RAB!$F$14:$F$159,RAB!$C$14:$C$159,C764)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SUMIFS(RAB!$F$14:$F$159,RAB!$C$14:$C$159,C765)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SUMIFS(RAB!$F$14:$F$159,RAB!$C$14:$C$159,C766)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SUMIFS(RAB!$F$14:$F$159,RAB!$C$14:$C$159,C767)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SUMIFS(RAB!$F$14:$F$159,RAB!$C$14:$C$159,C768)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SUMIFS(RAB!$F$14:$F$159,RAB!$C$14:$C$159,C769)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SUMIFS(RAB!$F$14:$F$159,RAB!$C$14:$C$159,C770)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SUMIFS(RAB!$F$14:$F$159,RAB!$C$14:$C$159,C771)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SUMIFS(RAB!$F$14:$F$159,RAB!$C$14:$C$159,C772)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SUMIFS(RAB!$F$14:$F$159,RAB!$C$14:$C$159,C773)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SUMIFS(RAB!$F$14:$F$159,RAB!$C$14:$C$159,C774)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SUMIFS(RAB!$F$14:$F$159,RAB!$C$14:$C$159,C775)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SUMIFS(RAB!$F$14:$F$159,RAB!$C$14:$C$159,C776)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SUMIFS(RAB!$F$14:$F$159,RAB!$C$14:$C$159,C777)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SUMIFS(RAB!$F$14:$F$159,RAB!$C$14:$C$159,C778)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SUMIFS(RAB!$F$14:$F$159,RAB!$C$14:$C$159,C779)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SUMIFS(RAB!$F$14:$F$159,RAB!$C$14:$C$159,C780)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SUMIFS(RAB!$F$14:$F$159,RAB!$C$14:$C$159,C781)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SUMIFS(RAB!$F$14:$F$159,RAB!$C$14:$C$159,C782)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SUMIFS(RAB!$F$14:$F$159,RAB!$C$14:$C$159,C783)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SUMIFS(RAB!$F$14:$F$159,RAB!$C$14:$C$159,C784)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SUMIFS(RAB!$F$14:$F$159,RAB!$C$14:$C$159,C785)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SUMIFS(RAB!$F$14:$F$159,RAB!$C$14:$C$159,C786)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SUMIFS(RAB!$F$14:$F$159,RAB!$C$14:$C$159,C787)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SUMIFS(RAB!$F$14:$F$159,RAB!$C$14:$C$159,C788)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SUMIFS(RAB!$F$14:$F$159,RAB!$C$14:$C$159,C789)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SUMIFS(RAB!$F$14:$F$159,RAB!$C$14:$C$159,C790)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SUMIFS(RAB!$F$14:$F$159,RAB!$C$14:$C$159,C791)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SUMIFS(RAB!$F$14:$F$159,RAB!$C$14:$C$159,C792)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SUMIFS(RAB!$F$14:$F$159,RAB!$C$14:$C$159,C793)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SUMIFS(RAB!$F$14:$F$159,RAB!$C$14:$C$159,C794)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SUMIFS(RAB!$F$14:$F$159,RAB!$C$14:$C$159,C795)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SUMIFS(RAB!$F$14:$F$159,RAB!$C$14:$C$159,C796)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SUMIFS(RAB!$F$14:$F$159,RAB!$C$14:$C$159,C797)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SUMIFS(RAB!$F$14:$F$159,RAB!$C$14:$C$159,C798)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SUMIFS(RAB!$F$14:$F$159,RAB!$C$14:$C$159,C799)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SUMIFS(RAB!$F$14:$F$159,RAB!$C$14:$C$159,C800)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SUMIFS(RAB!$F$14:$F$159,RAB!$C$14:$C$159,C801)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SUMIFS(RAB!$F$14:$F$159,RAB!$C$14:$C$159,C802)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SUMIFS(RAB!$F$14:$F$159,RAB!$C$14:$C$159,C803)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SUMIFS(RAB!$F$14:$F$159,RAB!$C$14:$C$159,C804)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SUMIFS(RAB!$F$14:$F$159,RAB!$C$14:$C$159,C805)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SUMIFS(RAB!$F$14:$F$159,RAB!$C$14:$C$159,C806)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SUMIFS(RAB!$F$14:$F$159,RAB!$C$14:$C$159,C807)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SUMIFS(RAB!$F$14:$F$159,RAB!$C$14:$C$159,C808)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SUMIFS(RAB!$F$14:$F$159,RAB!$C$14:$C$159,C809)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SUMIFS(RAB!$F$14:$F$159,RAB!$C$14:$C$159,C810)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SUMIFS(RAB!$F$14:$F$159,RAB!$C$14:$C$159,C811)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SUMIFS(RAB!$F$14:$F$159,RAB!$C$14:$C$159,C812)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SUMIFS(RAB!$F$14:$F$159,RAB!$C$14:$C$159,C813)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SUMIFS(RAB!$F$14:$F$159,RAB!$C$14:$C$159,C814)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SUMIFS(RAB!$F$14:$F$159,RAB!$C$14:$C$159,C815)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SUMIFS(RAB!$F$14:$F$159,RAB!$C$14:$C$159,C816)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SUMIFS(RAB!$F$14:$F$159,RAB!$C$14:$C$159,C817)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SUMIFS(RAB!$F$14:$F$159,RAB!$C$14:$C$159,C818)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SUMIFS(RAB!$F$14:$F$159,RAB!$C$14:$C$159,C819)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SUMIFS(RAB!$F$14:$F$159,RAB!$C$14:$C$159,C820)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SUMIFS(RAB!$F$14:$F$159,RAB!$C$14:$C$159,C821)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SUMIFS(RAB!$F$14:$F$159,RAB!$C$14:$C$159,C822)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SUMIFS(RAB!$F$14:$F$159,RAB!$C$14:$C$159,C823)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SUMIFS(RAB!$F$14:$F$159,RAB!$C$14:$C$159,C824)</f>
        <v>6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SUMIFS(RAB!$F$14:$F$159,RAB!$C$14:$C$159,C825)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SUMIFS(RAB!$F$14:$F$159,RAB!$C$14:$C$159,C826)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SUMIFS(RAB!$F$14:$F$159,RAB!$C$14:$C$159,C827)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SUMIFS(RAB!$F$14:$F$159,RAB!$C$14:$C$159,C828)</f>
        <v>209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SUMIFS(RAB!$F$14:$F$159,RAB!$C$14:$C$159,C829)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SUMIFS(RAB!$F$14:$F$159,RAB!$C$14:$C$159,C830)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SUMIFS(RAB!$F$14:$F$159,RAB!$C$14:$C$159,C831)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SUMIFS(RAB!$F$14:$F$159,RAB!$C$14:$C$159,C832)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SUMIFS(RAB!$F$14:$F$159,RAB!$C$14:$C$159,C833)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SUMIFS(RAB!$F$14:$F$159,RAB!$C$14:$C$159,C834)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SUMIFS(RAB!$F$14:$F$159,RAB!$C$14:$C$159,C835)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SUMIFS(RAB!$F$14:$F$159,RAB!$C$14:$C$159,C836)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SUMIFS(RAB!$F$14:$F$159,RAB!$C$14:$C$159,C837)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SUMIFS(RAB!$F$14:$F$159,RAB!$C$14:$C$159,C838)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SUMIFS(RAB!$F$14:$F$159,RAB!$C$14:$C$159,C839)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SUMIFS(RAB!$F$14:$F$159,RAB!$C$14:$C$159,C840)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SUMIFS(RAB!$F$14:$F$159,RAB!$C$14:$C$159,C841)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SUMIFS(RAB!$F$14:$F$159,RAB!$C$14:$C$159,C842)</f>
        <v>44</v>
      </c>
      <c r="E842" s="26">
        <f t="shared" ca="1" si="34"/>
        <v>1</v>
      </c>
      <c r="F842" s="26">
        <f ca="1">IF(D842=0,0,SUM($E$713:E842))</f>
        <v>10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SUMIFS(RAB!$F$14:$F$159,RAB!$C$14:$C$159,C843)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SUMIFS(RAB!$F$14:$F$159,RAB!$C$14:$C$159,C844)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SUMIFS(RAB!$F$14:$F$159,RAB!$C$14:$C$159,C845)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SUMIFS(RAB!$F$14:$F$159,RAB!$C$14:$C$159,C846)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SUMIFS(RAB!$F$14:$F$159,RAB!$C$14:$C$159,C847)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SUMIFS(RAB!$F$14:$F$159,RAB!$C$14:$C$159,C848)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SUMIFS(RAB!$F$14:$F$159,RAB!$C$14:$C$159,C849)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SUMIFS(RAB!$F$14:$F$159,RAB!$C$14:$C$159,C850)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SUMIFS(RAB!$F$14:$F$159,RAB!$C$14:$C$159,C851)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SUMIFS(RAB!$F$14:$F$159,RAB!$C$14:$C$159,C852)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SUMIFS(RAB!$F$14:$F$159,RAB!$C$14:$C$159,C853)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SUMIFS(RAB!$F$14:$F$159,RAB!$C$14:$C$159,C854)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SUMIFS(RAB!$F$14:$F$159,RAB!$C$14:$C$159,C855)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SUMIFS(RAB!$F$14:$F$159,RAB!$C$14:$C$159,C856)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SUMIFS(RAB!$F$14:$F$159,RAB!$C$14:$C$159,C857)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SUMIFS(RAB!$F$14:$F$159,RAB!$C$14:$C$159,C858)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SUMIFS(RAB!$F$14:$F$159,RAB!$C$14:$C$159,C859)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SUMIFS(RAB!$F$14:$F$159,RAB!$C$14:$C$159,C860)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SUMIFS(RAB!$F$14:$F$159,RAB!$C$14:$C$159,C861)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SUMIFS(RAB!$F$14:$F$159,RAB!$C$14:$C$159,C862)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SUMIFS(RAB!$F$14:$F$159,RAB!$C$14:$C$159,C863)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SUMIFS(RAB!$F$14:$F$159,RAB!$C$14:$C$159,C864)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SUMIFS(RAB!$F$14:$F$159,RAB!$C$14:$C$159,C865)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SUMIFS(RAB!$F$14:$F$159,RAB!$C$14:$C$159,C866)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SUMIFS(RAB!$F$14:$F$159,RAB!$C$14:$C$159,C867)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SUMIFS(RAB!$F$14:$F$159,RAB!$C$14:$C$159,C868)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SUMIFS(RAB!$F$14:$F$159,RAB!$C$14:$C$159,C869)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SUMIFS(RAB!$F$14:$F$159,RAB!$C$14:$C$159,C870)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SUMIFS(RAB!$F$14:$F$159,RAB!$C$14:$C$159,C871)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SUMIFS(RAB!$F$14:$F$159,RAB!$C$14:$C$159,C872)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SUMIFS(RAB!$F$14:$F$159,RAB!$C$14:$C$159,C873)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SUMIFS(RAB!$F$14:$F$159,RAB!$C$14:$C$159,C874)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SUMIFS(RAB!$F$14:$F$159,RAB!$C$14:$C$159,C875)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SUMIFS(RAB!$F$14:$F$159,RAB!$C$14:$C$159,C876)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SUMIFS(RAB!$F$14:$F$159,RAB!$C$14:$C$159,C877)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SUMIFS(RAB!$F$14:$F$159,RAB!$C$14:$C$159,C878)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SUMIFS(RAB!$F$14:$F$159,RAB!$C$14:$C$159,C879)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SUMIFS(RAB!$F$14:$F$159,RAB!$C$14:$C$159,C880)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SUMIFS(RAB!$F$14:$F$159,RAB!$C$14:$C$159,C881)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SUMIFS(RAB!$F$14:$F$159,RAB!$C$14:$C$159,C882)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SUMIFS(RAB!$F$14:$F$159,RAB!$C$14:$C$159,C883)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SUMIFS(RAB!$F$14:$F$159,RAB!$C$14:$C$159,C884)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SUMIFS(RAB!$F$14:$F$159,RAB!$C$14:$C$159,C885)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SUMIFS(RAB!$F$14:$F$159,RAB!$C$14:$C$159,C886)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SUMIFS(RAB!$F$14:$F$159,RAB!$C$14:$C$159,C887)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SUMIFS(RAB!$F$14:$F$159,RAB!$C$14:$C$159,C888)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SUMIFS(RAB!$F$14:$F$159,RAB!$C$14:$C$159,C889)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SUMIFS(RAB!$F$14:$F$159,RAB!$C$14:$C$159,C890)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SUMIFS(RAB!$F$14:$F$159,RAB!$C$14:$C$159,C891)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SUMIFS(RAB!$F$14:$F$159,RAB!$C$14:$C$159,C892)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SUMIFS(RAB!$F$14:$F$159,RAB!$C$14:$C$159,C893)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SUMIFS(RAB!$F$14:$F$159,RAB!$C$14:$C$159,C894)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SUMIFS(RAB!$F$14:$F$159,RAB!$C$14:$C$159,C895)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SUMIFS(RAB!$F$14:$F$159,RAB!$C$14:$C$159,C896)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SUMIFS(RAB!$F$14:$F$159,RAB!$C$14:$C$159,C897)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SUMIFS(RAB!$F$14:$F$159,RAB!$C$14:$C$159,C898)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SUMIFS(RAB!$F$14:$F$159,RAB!$C$14:$C$159,C899)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SUMIFS(RAB!$F$14:$F$159,RAB!$C$14:$C$159,C900)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SUMIFS(RAB!$F$14:$F$159,RAB!$C$14:$C$159,C901)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SUMIFS(RAB!$F$14:$F$159,RAB!$C$14:$C$159,C902)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SUMIFS(RAB!$F$14:$F$159,RAB!$C$14:$C$159,C903)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SUMIFS(RAB!$F$14:$F$159,RAB!$C$14:$C$159,C904)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SUMIFS(RAB!$F$14:$F$159,RAB!$C$14:$C$159,C905)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SUMIFS(RAB!$F$14:$F$159,RAB!$C$14:$C$159,C906)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SUMIFS(RAB!$F$14:$F$159,RAB!$C$14:$C$159,C907)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SUMIFS(RAB!$F$14:$F$159,RAB!$C$14:$C$159,C908)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SUMIFS(RAB!$F$14:$F$159,RAB!$C$14:$C$159,C909)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SUMIFS(RAB!$F$14:$F$159,RAB!$C$14:$C$159,C910)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SUMIFS(RAB!$F$14:$F$159,RAB!$C$14:$C$159,C911)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SUMIFS(RAB!$F$14:$F$159,RAB!$C$14:$C$159,C912)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SUMIFS(RAB!$F$14:$F$159,RAB!$C$14:$C$159,C913)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SUMIFS(RAB!$F$14:$F$159,RAB!$C$14:$C$159,C914)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SUMIFS(RAB!$F$14:$F$159,RAB!$C$14:$C$159,C915)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SUMIFS(RAB!$F$14:$F$159,RAB!$C$14:$C$159,C916)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SUMIFS(RAB!$F$14:$F$159,RAB!$C$14:$C$159,C917)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SUMIFS(RAB!$F$14:$F$159,RAB!$C$14:$C$159,C918)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SUMIFS(RAB!$F$14:$F$159,RAB!$C$14:$C$159,C919)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SUMIFS(RAB!$F$14:$F$159,RAB!$C$14:$C$159,C920)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SUMIFS(RAB!$F$14:$F$159,RAB!$C$14:$C$159,C921)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SUMIFS(RAB!$F$14:$F$159,RAB!$C$14:$C$159,C922)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SUMIFS(RAB!$F$14:$F$159,RAB!$C$14:$C$159,C923)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SUMIFS(RAB!$F$14:$F$159,RAB!$C$14:$C$159,C924)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SUMIFS(RAB!$F$14:$F$159,RAB!$C$14:$C$159,C925)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SUMIFS(RAB!$F$14:$F$159,RAB!$C$14:$C$159,C926)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SUMIFS(RAB!$F$14:$F$159,RAB!$C$14:$C$159,C927)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SUMIFS(RAB!$F$14:$F$159,RAB!$C$14:$C$159,C928)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SUMIFS(RAB!$F$14:$F$159,RAB!$C$14:$C$159,C929)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SUMIFS(RAB!$F$14:$F$159,RAB!$C$14:$C$159,C930)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SUMIFS(RAB!$F$14:$F$159,RAB!$C$14:$C$159,C931)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SUMIFS(RAB!$F$14:$F$159,RAB!$C$14:$C$159,C932)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SUMIFS(RAB!$F$14:$F$159,RAB!$C$14:$C$159,C933)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SUMIFS(RAB!$F$14:$F$159,RAB!$C$14:$C$159,C934)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SUMIFS(RAB!$F$14:$F$159,RAB!$C$14:$C$159,C935)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SUMIFS(RAB!$F$14:$F$159,RAB!$C$14:$C$159,C936)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SUMIFS(RAB!$F$14:$F$159,RAB!$C$14:$C$159,C937)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SUMIFS(RAB!$F$14:$F$159,RAB!$C$14:$C$159,C938)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SUMIFS(RAB!$F$14:$F$159,RAB!$C$14:$C$159,C939)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SUMIFS(RAB!$F$14:$F$159,RAB!$C$14:$C$159,C940)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SUMIFS(RAB!$F$14:$F$159,RAB!$C$14:$C$159,C941)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SUMIFS(RAB!$F$14:$F$159,RAB!$C$14:$C$159,C942)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SUMIFS(RAB!$F$14:$F$159,RAB!$C$14:$C$159,C943)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SUMIFS(RAB!$F$14:$F$159,RAB!$C$14:$C$159,C944)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SUMIFS(RAB!$F$14:$F$159,RAB!$C$14:$C$159,C945)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SUMIFS(RAB!$F$14:$F$159,RAB!$C$14:$C$159,C946)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SUMIFS(RAB!$F$14:$F$159,RAB!$C$14:$C$159,C947)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SUMIFS(RAB!$F$14:$F$159,RAB!$C$14:$C$159,C948)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SUMIFS(RAB!$F$14:$F$159,RAB!$C$14:$C$159,C949)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SUMIFS(RAB!$F$14:$F$159,RAB!$C$14:$C$159,C950)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SUMIFS(RAB!$F$14:$F$159,RAB!$C$14:$C$159,C951)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SUMIFS(RAB!$F$14:$F$159,RAB!$C$14:$C$159,C952)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SUMIFS(RAB!$F$14:$F$159,RAB!$C$14:$C$159,C953)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SUMIFS(RAB!$F$14:$F$159,RAB!$C$14:$C$159,C954)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SUMIFS(RAB!$F$14:$F$159,RAB!$C$14:$C$159,C955)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SUMIFS(RAB!$F$14:$F$159,RAB!$C$14:$C$159,C956)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SUMIFS(RAB!$F$14:$F$159,RAB!$C$14:$C$159,C957)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SUMIFS(RAB!$F$14:$F$159,RAB!$C$14:$C$159,C958)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SUMIFS(RAB!$F$14:$F$159,RAB!$C$14:$C$159,C959)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SUMIFS(RAB!$F$14:$F$159,RAB!$C$14:$C$159,C960)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SUMIFS(RAB!$F$14:$F$159,RAB!$C$14:$C$159,C961)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SUMIFS(RAB!$F$14:$F$159,RAB!$C$14:$C$159,C962)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SUMIFS(RAB!$F$14:$F$159,RAB!$C$14:$C$159,C963)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SUMIFS(RAB!$F$14:$F$159,RAB!$C$14:$C$159,C964)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SUMIFS(RAB!$F$14:$F$159,RAB!$C$14:$C$159,C965)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SUMIFS(RAB!$F$14:$F$159,RAB!$C$14:$C$159,C966)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SUMIFS(RAB!$F$14:$F$159,RAB!$C$14:$C$159,C967)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SUMIFS(RAB!$F$14:$F$159,RAB!$C$14:$C$159,C968)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SUMIFS(RAB!$F$14:$F$159,RAB!$C$14:$C$159,C969)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SUMIFS(RAB!$F$14:$F$159,RAB!$C$14:$C$159,C970)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SUMIFS(RAB!$F$14:$F$159,RAB!$C$14:$C$159,C971)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SUMIFS(RAB!$F$14:$F$159,RAB!$C$14:$C$159,C972)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SUMIFS(RAB!$F$14:$F$159,RAB!$C$14:$C$159,C973)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SUMIFS(RAB!$F$14:$F$159,RAB!$C$14:$C$159,C974)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SUMIFS(RAB!$F$14:$F$159,RAB!$C$14:$C$159,C975)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SUMIFS(RAB!$F$14:$F$159,RAB!$C$14:$C$159,C976)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SUMIFS(RAB!$F$14:$F$159,RAB!$C$14:$C$159,C977)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SUMIFS(RAB!$F$14:$F$159,RAB!$C$14:$C$159,C978)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SUMIFS(RAB!$F$14:$F$159,RAB!$C$14:$C$159,C979)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SUMIFS(RAB!$F$14:$F$159,RAB!$C$14:$C$159,C980)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SUMIFS(RAB!$F$14:$F$159,RAB!$C$14:$C$159,C981)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SUMIFS(RAB!$F$14:$F$159,RAB!$C$14:$C$159,C982)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SUMIFS(RAB!$F$14:$F$159,RAB!$C$14:$C$159,C983)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SUMIFS(RAB!$F$14:$F$159,RAB!$C$14:$C$159,C984)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SUMIFS(RAB!$F$14:$F$159,RAB!$C$14:$C$159,C985)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SUMIFS(RAB!$F$14:$F$159,RAB!$C$14:$C$159,C986)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SUMIFS(RAB!$F$14:$F$159,RAB!$C$14:$C$159,C987)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SUMIFS(RAB!$F$14:$F$159,RAB!$C$14:$C$159,C988)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SUMIFS(RAB!$F$14:$F$159,RAB!$C$14:$C$159,C989)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SUMIFS(RAB!$F$14:$F$159,RAB!$C$14:$C$159,C990)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SUMIFS(RAB!$F$14:$F$159,RAB!$C$14:$C$159,C991)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SUMIFS(RAB!$F$14:$F$159,RAB!$C$14:$C$159,C992)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SUMIFS(RAB!$F$14:$F$159,RAB!$C$14:$C$159,C993)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SUMIFS(RAB!$F$14:$F$159,RAB!$C$14:$C$159,C994)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SUMIFS(RAB!$F$14:$F$159,RAB!$C$14:$C$159,C995)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SUMIFS(RAB!$F$14:$F$159,RAB!$C$14:$C$159,C996)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SUMIFS(RAB!$F$14:$F$159,RAB!$C$14:$C$159,C997)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SUMIFS(RAB!$F$14:$F$159,RAB!$C$14:$C$159,C998)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SUMIFS(RAB!$F$14:$F$159,RAB!$C$14:$C$159,C999)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SUMIFS(RAB!$F$14:$F$159,RAB!$C$14:$C$159,C1000)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SUMIFS(RAB!$F$14:$F$159,RAB!$C$14:$C$159,C1001)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SUMIFS(RAB!$F$14:$F$159,RAB!$C$14:$C$159,C1002)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SUMIFS(RAB!$F$14:$F$159,RAB!$C$14:$C$159,C1003)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SUMIFS(RAB!$F$14:$F$159,RAB!$C$14:$C$159,C1004)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SUMIFS(RAB!$F$14:$F$159,RAB!$C$14:$C$159,C1005)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SUMIFS(RAB!$F$14:$F$159,RAB!$C$14:$C$159,C1006)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SUMIFS(RAB!$F$14:$F$159,RAB!$C$14:$C$159,C1007)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SUMIFS(RAB!$F$14:$F$159,RAB!$C$14:$C$159,C1008)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SUMIFS(RAB!$F$14:$F$159,RAB!$C$14:$C$159,C1009)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SUMIFS(RAB!$F$14:$F$159,RAB!$C$14:$C$159,C1010)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SUMIFS(RAB!$F$14:$F$159,RAB!$C$14:$C$159,C1011)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SUMIFS(RAB!$F$14:$F$159,RAB!$C$14:$C$159,C1012)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SUMIFS(RAB!$F$14:$F$159,RAB!$C$14:$C$159,C1013)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SUMIFS(RAB!$F$14:$F$159,RAB!$C$14:$C$159,C1014)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SUMIFS(RAB!$F$14:$F$159,RAB!$C$14:$C$159,C1015)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SUMIFS(RAB!$F$14:$F$159,RAB!$C$14:$C$159,C1016)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SUMIFS(RAB!$F$14:$F$159,RAB!$C$14:$C$159,C1017)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SUMIFS(RAB!$F$14:$F$159,RAB!$C$14:$C$159,C1018)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SUMIFS(RAB!$F$14:$F$159,RAB!$C$14:$C$159,C1019)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SUMIFS(RAB!$F$14:$F$159,RAB!$C$14:$C$159,C1020)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SUMIFS(RAB!$F$14:$F$159,RAB!$C$14:$C$159,C1021)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SUMIFS(RAB!$F$14:$F$159,RAB!$C$14:$C$159,C1022)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SUMIFS(RAB!$F$14:$F$159,RAB!$C$14:$C$159,C1023)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SUMIFS(RAB!$F$14:$F$159,RAB!$C$14:$C$159,C1024)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SUMIFS(RAB!$F$14:$F$159,RAB!$C$14:$C$159,C1025)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SUMIFS(RAB!$F$14:$F$159,RAB!$C$14:$C$159,C1026)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SUMIFS(RAB!$F$14:$F$159,RAB!$C$14:$C$159,C1027)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SUMIFS(RAB!$F$14:$F$159,RAB!$C$14:$C$159,C1028)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SUMIFS(RAB!$F$14:$F$159,RAB!$C$14:$C$159,C1029)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SUMIFS(RAB!$F$14:$F$159,RAB!$C$14:$C$159,C1030)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SUMIFS(RAB!$F$14:$F$159,RAB!$C$14:$C$159,C1031)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SUMIFS(RAB!$F$14:$F$159,RAB!$C$14:$C$159,C1032)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SUMIFS(RAB!$F$14:$F$159,RAB!$C$14:$C$159,C1033)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SUMIFS(RAB!$F$14:$F$159,RAB!$C$14:$C$159,C1034)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SUMIFS(RAB!$F$14:$F$159,RAB!$C$14:$C$159,C1035)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SUMIFS(RAB!$F$14:$F$159,RAB!$C$14:$C$159,C1036)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SUMIFS(RAB!$F$14:$F$159,RAB!$C$14:$C$159,C1037)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SUMIFS(RAB!$F$14:$F$159,RAB!$C$14:$C$159,C1038)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SUMIFS(RAB!$F$14:$F$159,RAB!$C$14:$C$159,C1039)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SUMIFS(RAB!$F$14:$F$159,RAB!$C$14:$C$159,C1040)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SUMIFS(RAB!$F$14:$F$159,RAB!$C$14:$C$159,C1041)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SUMIFS(RAB!$F$14:$F$159,RAB!$C$14:$C$159,C1042)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SUMIFS(RAB!$F$14:$F$159,RAB!$C$14:$C$159,C1043)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SUMIFS(RAB!$F$14:$F$159,RAB!$C$14:$C$159,C1044)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SUMIFS(RAB!$F$14:$F$159,RAB!$C$14:$C$159,C1045)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SUMIFS(RAB!$F$14:$F$159,RAB!$C$14:$C$159,C1046)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SUMIFS(RAB!$F$14:$F$159,RAB!$C$14:$C$159,C1047)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SUMIFS(RAB!$F$14:$F$159,RAB!$C$14:$C$159,C1048)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SUMIFS(RAB!$F$14:$F$159,RAB!$C$14:$C$159,C1049)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SUMIFS(RAB!$F$14:$F$159,RAB!$C$14:$C$159,C1050)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SUMIFS(RAB!$F$14:$F$159,RAB!$C$14:$C$159,C1051)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SUMIFS(RAB!$F$14:$F$159,RAB!$C$14:$C$159,C1052)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SUMIFS(RAB!$F$14:$F$159,RAB!$C$14:$C$159,C1053)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SUMIFS(RAB!$F$14:$F$159,RAB!$C$14:$C$159,C1054)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SUMIFS(RAB!$F$14:$F$159,RAB!$C$14:$C$159,C1055)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SUMIFS(RAB!$F$14:$F$159,RAB!$C$14:$C$159,C1056)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SUMIFS(RAB!$F$14:$F$159,RAB!$C$14:$C$159,C1057)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SUMIFS(RAB!$F$14:$F$159,RAB!$C$14:$C$159,C1058)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SUMIFS(RAB!$F$14:$F$159,RAB!$C$14:$C$159,C1059)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SUMIFS(RAB!$F$14:$F$159,RAB!$C$14:$C$159,C1060)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SUMIFS(RAB!$F$14:$F$159,RAB!$C$14:$C$159,C1061)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SUMIFS(RAB!$F$14:$F$159,RAB!$C$14:$C$159,C1062)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SUMIFS(RAB!$F$14:$F$159,RAB!$C$14:$C$159,C1063)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SUMIFS(RAB!$F$14:$F$159,RAB!$C$14:$C$159,C1064)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SUMIFS(RAB!$F$14:$F$159,RAB!$C$14:$C$159,C1065)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SUMIFS(RAB!$F$14:$F$159,RAB!$C$14:$C$159,C1066)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SUMIFS(RAB!$F$14:$F$159,RAB!$C$14:$C$159,C1067)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SUMIFS(RAB!$F$14:$F$159,RAB!$C$14:$C$159,C1068)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SUMIFS(RAB!$F$14:$F$159,RAB!$C$14:$C$159,C1069)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SUMIFS(RAB!$F$14:$F$159,RAB!$C$14:$C$159,C1070)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SUMIFS(RAB!$F$14:$F$159,RAB!$C$14:$C$159,C1071)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SUMIFS(RAB!$F$14:$F$159,RAB!$C$14:$C$159,C1072)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SUMIFS(RAB!$F$14:$F$159,RAB!$C$14:$C$159,C1073)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SUMIFS(RAB!$F$14:$F$159,RAB!$C$14:$C$159,C1074)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SUMIFS(RAB!$F$14:$F$159,RAB!$C$14:$C$159,C1075)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SUMIFS(RAB!$F$14:$F$159,RAB!$C$14:$C$159,C1076)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SUMIFS(RAB!$F$14:$F$159,RAB!$C$14:$C$159,C1077)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SUMIFS(RAB!$F$14:$F$159,RAB!$C$14:$C$159,C1078)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SUMIFS(RAB!$F$14:$F$159,RAB!$C$14:$C$159,C1079)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SUMIFS(RAB!$F$14:$F$159,RAB!$C$14:$C$159,C1080)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SUMIFS(RAB!$F$14:$F$159,RAB!$C$14:$C$159,C1081)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SUMIFS(RAB!$F$14:$F$159,RAB!$C$14:$C$159,C1082)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SUMIFS(RAB!$F$14:$F$159,RAB!$C$14:$C$159,C1083)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SUMIFS(RAB!$F$14:$F$159,RAB!$C$14:$C$159,C1084)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SUMIFS(RAB!$F$14:$F$159,RAB!$C$14:$C$159,C1085)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SUMIFS(RAB!$F$14:$F$159,RAB!$C$14:$C$159,C1086)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SUMIFS(RAB!$F$14:$F$159,RAB!$C$14:$C$159,C1087)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SUMIFS(RAB!$F$14:$F$159,RAB!$C$14:$C$159,C1088)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SUMIFS(RAB!$F$14:$F$159,RAB!$C$14:$C$159,C1089)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SUMIFS(RAB!$F$14:$F$159,RAB!$C$14:$C$159,C1090)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SUMIFS(RAB!$F$14:$F$159,RAB!$C$14:$C$159,C1091)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SUMIFS(RAB!$F$14:$F$159,RAB!$C$14:$C$159,C1092)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SUMIFS(RAB!$F$14:$F$159,RAB!$C$14:$C$159,C1093)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SUMIFS(RAB!$F$14:$F$159,RAB!$C$14:$C$159,C1094)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SUMIFS(RAB!$F$14:$F$159,RAB!$C$14:$C$159,C1095)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SUMIFS(RAB!$F$14:$F$159,RAB!$C$14:$C$159,C1096)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SUMIFS(RAB!$F$14:$F$159,RAB!$C$14:$C$159,C1097)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SUMIFS(RAB!$F$14:$F$159,RAB!$C$14:$C$159,C1098)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SUMIFS(RAB!$F$14:$F$159,RAB!$C$14:$C$159,C1099)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SUMIFS(RAB!$F$14:$F$159,RAB!$C$14:$C$159,C1100)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SUMIFS(RAB!$F$14:$F$159,RAB!$C$14:$C$159,C1101)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SUMIFS(RAB!$F$14:$F$159,RAB!$C$14:$C$159,C1102)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SUMIFS(RAB!$F$14:$F$159,RAB!$C$14:$C$159,C1103)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SUMIFS(RAB!$F$14:$F$159,RAB!$C$14:$C$159,C1104)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SUMIFS(RAB!$F$14:$F$159,RAB!$C$14:$C$159,C1105)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SUMIFS(RAB!$F$14:$F$159,RAB!$C$14:$C$159,C1106)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SUMIFS(RAB!$F$14:$F$159,RAB!$C$14:$C$159,C1107)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SUMIFS(RAB!$F$14:$F$159,RAB!$C$14:$C$159,C1108)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SUMIFS(RAB!$F$14:$F$159,RAB!$C$14:$C$159,C1109)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SUMIFS(RAB!$F$14:$F$159,RAB!$C$14:$C$159,C1110)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SUMIFS(RAB!$F$14:$F$159,RAB!$C$14:$C$159,C1111)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SUMIFS(RAB!$F$14:$F$159,RAB!$C$14:$C$159,C1112)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SUMIFS(RAB!$F$14:$F$159,RAB!$C$14:$C$159,C1113)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SUMIFS(RAB!$F$14:$F$159,RAB!$C$14:$C$159,C1114)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SUMIFS(RAB!$F$14:$F$159,RAB!$C$14:$C$159,C1115)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SUMIFS(RAB!$F$14:$F$159,RAB!$C$14:$C$159,C1116)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SUMIFS(RAB!$F$14:$F$159,RAB!$C$14:$C$159,C1117)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SUMIFS(RAB!$F$14:$F$159,RAB!$C$14:$C$159,C1118)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SUMIFS(RAB!$F$14:$F$159,RAB!$C$14:$C$159,C1119)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SUMIFS(RAB!$F$14:$F$159,RAB!$C$14:$C$159,C1120)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SUMIFS(RAB!$F$14:$F$159,RAB!$C$14:$C$159,C1121)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SUMIFS(RAB!$F$14:$F$159,RAB!$C$14:$C$159,C1122)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SUMIFS(RAB!$F$14:$F$159,RAB!$C$14:$C$159,C1123)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SUMIFS(RAB!$F$14:$F$159,RAB!$C$14:$C$159,C1124)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SUMIFS(RAB!$F$14:$F$159,RAB!$C$14:$C$159,C1125)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SUMIFS(RAB!$F$14:$F$159,RAB!$C$14:$C$159,C1126)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SUMIFS(RAB!$F$14:$F$159,RAB!$C$14:$C$159,C1127)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SUMIFS(RAB!$F$14:$F$159,RAB!$C$14:$C$159,C1128)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SUMIFS(RAB!$F$14:$F$159,RAB!$C$14:$C$159,C1129)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SUMIFS(RAB!$F$14:$F$159,RAB!$C$14:$C$159,C1130)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SUMIFS(RAB!$F$14:$F$159,RAB!$C$14:$C$159,C1131)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SUMIFS(RAB!$F$14:$F$159,RAB!$C$14:$C$159,C1132)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SUMIFS(RAB!$F$14:$F$159,RAB!$C$14:$C$159,C1133)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SUMIFS(RAB!$F$14:$F$159,RAB!$C$14:$C$159,C1134)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SUMIFS(RAB!$F$14:$F$159,RAB!$C$14:$C$159,C1135)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SUMIFS(RAB!$F$14:$F$159,RAB!$C$14:$C$159,C1136)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SUMIFS(RAB!$F$14:$F$159,RAB!$C$14:$C$159,C1137)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SUMIFS(RAB!$F$14:$F$159,RAB!$C$14:$C$159,C1138)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SUMIFS(RAB!$F$14:$F$159,RAB!$C$14:$C$159,C1139)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SUMIFS(RAB!$F$14:$F$159,RAB!$C$14:$C$159,C1140)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SUMIFS(RAB!$F$14:$F$159,RAB!$C$14:$C$159,C1141)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SUMIFS(RAB!$F$14:$F$159,RAB!$C$14:$C$159,C1142)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SUMIFS(RAB!$F$14:$F$159,RAB!$C$14:$C$159,C1143)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SUMIFS(RAB!$F$14:$F$159,RAB!$C$14:$C$159,C1144)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SUMIFS(RAB!$F$14:$F$159,RAB!$C$14:$C$159,C1145)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SUMIFS(RAB!$F$14:$F$159,RAB!$C$14:$C$159,C1146)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SUMIFS(RAB!$F$14:$F$159,RAB!$C$14:$C$159,C1147)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SUMIFS(RAB!$F$14:$F$159,RAB!$C$14:$C$159,C1148)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SUMIFS(RAB!$F$14:$F$159,RAB!$C$14:$C$159,C1149)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SUMIFS(RAB!$F$14:$F$159,RAB!$C$14:$C$159,C1150)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SUMIFS(RAB!$F$14:$F$159,RAB!$C$14:$C$159,C1151)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SUMIFS(RAB!$F$14:$F$159,RAB!$C$14:$C$159,C1152)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SUMIFS(RAB!$F$14:$F$159,RAB!$C$14:$C$159,C1153)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SUMIFS(RAB!$F$14:$F$159,RAB!$C$14:$C$159,C1154)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SUMIFS(RAB!$F$14:$F$159,RAB!$C$14:$C$159,C1155)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SUMIFS(RAB!$F$14:$F$159,RAB!$C$14:$C$159,C1156)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SUMIFS(RAB!$F$14:$F$159,RAB!$C$14:$C$159,C1157)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SUMIFS(RAB!$F$14:$F$159,RAB!$C$14:$C$159,C1158)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SUMIFS(RAB!$F$14:$F$159,RAB!$C$14:$C$159,C1159)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SUMIFS(RAB!$F$14:$F$159,RAB!$C$14:$C$159,C1160)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SUMIFS(RAB!$F$14:$F$159,RAB!$C$14:$C$159,C1161)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SUMIFS(RAB!$F$14:$F$159,RAB!$C$14:$C$159,C1162)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SUMIFS(RAB!$F$14:$F$159,RAB!$C$14:$C$159,C1163)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SUMIFS(RAB!$F$14:$F$159,RAB!$C$14:$C$159,C1164)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SUMIFS(RAB!$F$14:$F$159,RAB!$C$14:$C$159,C1165)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SUMIFS(RAB!$F$14:$F$159,RAB!$C$14:$C$159,C1166)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SUMIFS(RAB!$F$14:$F$159,RAB!$C$14:$C$159,C1167)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SUMIFS(RAB!$F$14:$F$159,RAB!$C$14:$C$159,C1168)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SUMIFS(RAB!$F$14:$F$159,RAB!$C$14:$C$159,C1169)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SUMIFS(RAB!$F$14:$F$159,RAB!$C$14:$C$159,C1170)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SUMIFS(RAB!$F$14:$F$159,RAB!$C$14:$C$159,C1171)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SUMIFS(RAB!$F$14:$F$159,RAB!$C$14:$C$159,C1172)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SUMIFS(RAB!$F$14:$F$159,RAB!$C$14:$C$159,C1173)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SUMIFS(RAB!$F$14:$F$159,RAB!$C$14:$C$159,C1174)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SUMIFS(RAB!$F$14:$F$159,RAB!$C$14:$C$159,C1175)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SUMIFS(RAB!$F$14:$F$159,RAB!$C$14:$C$159,C1176)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SUMIFS(RAB!$F$14:$F$159,RAB!$C$14:$C$159,C1177)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SUMIFS(RAB!$F$14:$F$159,RAB!$C$14:$C$159,C1178)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SUMIFS(RAB!$F$14:$F$159,RAB!$C$14:$C$159,C1179)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SUMIFS(RAB!$F$14:$F$159,RAB!$C$14:$C$159,C1180)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SUMIFS(RAB!$F$14:$F$159,RAB!$C$14:$C$159,C1181)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SUMIFS(RAB!$F$14:$F$159,RAB!$C$14:$C$159,C1182)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SUMIFS(RAB!$F$14:$F$159,RAB!$C$14:$C$159,C1183)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SUMIFS(RAB!$F$14:$F$159,RAB!$C$14:$C$159,C1184)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SUMIFS(RAB!$F$14:$F$159,RAB!$C$14:$C$159,C1185)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SUMIFS(RAB!$F$14:$F$159,RAB!$C$14:$C$159,C1186)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SUMIFS(RAB!$F$14:$F$159,RAB!$C$14:$C$159,C1187)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SUMIFS(RAB!$F$14:$F$159,RAB!$C$14:$C$159,C1188)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SUMIFS(RAB!$F$14:$F$159,RAB!$C$14:$C$159,C1189)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SUMIFS(RAB!$F$14:$F$159,RAB!$C$14:$C$159,C1190)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SUMIFS(RAB!$F$14:$F$159,RAB!$C$14:$C$159,C1191)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SUMIFS(RAB!$F$14:$F$159,RAB!$C$14:$C$159,C1192)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SUMIFS(RAB!$F$14:$F$159,RAB!$C$14:$C$159,C1193)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SUMIFS(RAB!$F$14:$F$159,RAB!$C$14:$C$159,C1194)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SUMIFS(RAB!$F$14:$F$159,RAB!$C$14:$C$159,C1195)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SUMIFS(RAB!$F$14:$F$159,RAB!$C$14:$C$159,C1196)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SUMIFS(RAB!$F$14:$F$159,RAB!$C$14:$C$159,C1197)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SUMIFS(RAB!$F$14:$F$159,RAB!$C$14:$C$159,C1198)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SUMIFS(RAB!$F$14:$F$159,RAB!$C$14:$C$159,C1199)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SUMIFS(RAB!$F$14:$F$159,RAB!$C$14:$C$159,C1200)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SUMIFS(RAB!$F$14:$F$159,RAB!$C$14:$C$159,C1201)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SUMIFS(RAB!$F$14:$F$159,RAB!$C$14:$C$159,C1202)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SUMIFS(RAB!$F$14:$F$159,RAB!$C$14:$C$159,C1203)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SUMIFS(RAB!$F$14:$F$159,RAB!$C$14:$C$159,C1204)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SUMIFS(RAB!$F$14:$F$159,RAB!$C$14:$C$159,C1205)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SUMIFS(RAB!$F$14:$F$159,RAB!$C$14:$C$159,C1206)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SUMIFS(RAB!$F$14:$F$159,RAB!$C$14:$C$159,C1207)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SUMIFS(RAB!$F$14:$F$159,RAB!$C$14:$C$159,C1208)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SUMIFS(RAB!$F$14:$F$159,RAB!$C$14:$C$159,C1209)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SUMIFS(RAB!$F$14:$F$159,RAB!$C$14:$C$159,C1210)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SUMIFS(RAB!$F$14:$F$159,RAB!$C$14:$C$159,C1211)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SUMIFS(RAB!$F$14:$F$159,RAB!$C$14:$C$159,C1212)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SUMIFS(RAB!$F$14:$F$159,RAB!$C$14:$C$159,C1213)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SUMIFS(RAB!$F$14:$F$159,RAB!$C$14:$C$159,C1214)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SUMIFS(RAB!$F$14:$F$159,RAB!$C$14:$C$159,C1215)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SUMIFS(RAB!$F$14:$F$159,RAB!$C$14:$C$159,C1216)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SUMIFS(RAB!$F$14:$F$159,RAB!$C$14:$C$159,C1217)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SUMIFS(RAB!$F$14:$F$159,RAB!$C$14:$C$159,C1218)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SUMIFS(RAB!$F$14:$F$159,RAB!$C$14:$C$159,C1219)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SUMIFS(RAB!$F$14:$F$159,RAB!$C$14:$C$159,C1220)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SUMIFS(RAB!$F$14:$F$159,RAB!$C$14:$C$159,C1221)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SUMIFS(RAB!$F$14:$F$159,RAB!$C$14:$C$159,C1222)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SUMIFS(RAB!$F$14:$F$159,RAB!$C$14:$C$159,C1223)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SUMIFS(RAB!$F$14:$F$159,RAB!$C$14:$C$159,C1224)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SUMIFS(RAB!$F$14:$F$159,RAB!$C$14:$C$159,C1225)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SUMIFS(RAB!$F$14:$F$159,RAB!$C$14:$C$159,C1226)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SUMIFS(RAB!$F$14:$F$159,RAB!$C$14:$C$159,C1227)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SUMIFS(RAB!$F$14:$F$159,RAB!$C$14:$C$159,C1228)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SUMIFS(RAB!$F$14:$F$159,RAB!$C$14:$C$159,C1229)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SUMIFS(RAB!$F$14:$F$159,RAB!$C$14:$C$159,C1230)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SUMIFS(RAB!$F$14:$F$159,RAB!$C$14:$C$159,C1231)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SUMIFS(RAB!$F$14:$F$159,RAB!$C$14:$C$159,C1232)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SUMIFS(RAB!$F$14:$F$159,RAB!$C$14:$C$159,C1233)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SUMIFS(RAB!$F$14:$F$159,RAB!$C$14:$C$159,C1234)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SUMIFS(RAB!$F$14:$F$159,RAB!$C$14:$C$159,C1235)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SUMIFS(RAB!$F$14:$F$159,RAB!$C$14:$C$159,C1236)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SUMIFS(RAB!$F$14:$F$159,RAB!$C$14:$C$159,C1237)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SUMIFS(RAB!$F$14:$F$159,RAB!$C$14:$C$159,C1238)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SUMIFS(RAB!$F$14:$F$159,RAB!$C$14:$C$159,C1239)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SUMIFS(RAB!$F$14:$F$159,RAB!$C$14:$C$159,C1240)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SUMIFS(RAB!$F$14:$F$159,RAB!$C$14:$C$159,C1241)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SUMIFS(RAB!$F$14:$F$159,RAB!$C$14:$C$159,C1242)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SUMIFS(RAB!$F$14:$F$159,RAB!$C$14:$C$159,C1243)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SUMIFS(RAB!$F$14:$F$159,RAB!$C$14:$C$159,C1244)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SUMIFS(RAB!$F$14:$F$159,RAB!$C$14:$C$159,C1245)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SUMIFS(RAB!$F$14:$F$159,RAB!$C$14:$C$159,C1246)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SUMIFS(RAB!$F$14:$F$159,RAB!$C$14:$C$159,C1247)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SUMIFS(RAB!$F$14:$F$159,RAB!$C$14:$C$159,C1248)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SUMIFS(RAB!$F$14:$F$159,RAB!$C$14:$C$159,C1249)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SUMIFS(RAB!$F$14:$F$159,RAB!$C$14:$C$159,C1250)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SUMIFS(RAB!$F$14:$F$159,RAB!$C$14:$C$159,C1251)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SUMIFS(RAB!$F$14:$F$159,RAB!$C$14:$C$159,C1252)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SUMIFS(RAB!$F$14:$F$159,RAB!$C$14:$C$159,C1253)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SUMIFS(RAB!$F$14:$F$159,RAB!$C$14:$C$159,C1254)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SUMIFS(RAB!$F$14:$F$159,RAB!$C$14:$C$159,C1255)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SUMIFS(RAB!$F$14:$F$159,RAB!$C$14:$C$159,C1256)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SUMIFS(RAB!$F$14:$F$159,RAB!$C$14:$C$159,C1257)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SUMIFS(RAB!$F$14:$F$159,RAB!$C$14:$C$159,C1258)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SUMIFS(RAB!$F$14:$F$159,RAB!$C$14:$C$159,C1259)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SUMIFS(RAB!$F$14:$F$159,RAB!$C$14:$C$159,C1260)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SUMIFS(RAB!$F$14:$F$159,RAB!$C$14:$C$159,C1261)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SUMIFS(RAB!$F$14:$F$159,RAB!$C$14:$C$159,C1262)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SUMIFS(RAB!$F$14:$F$159,RAB!$C$14:$C$159,C1263)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SUMIFS(RAB!$F$14:$F$159,RAB!$C$14:$C$159,C1264)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SUMIFS(RAB!$F$14:$F$159,RAB!$C$14:$C$159,C1265)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SUMIFS(RAB!$F$14:$F$159,RAB!$C$14:$C$159,C1266)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SUMIFS(RAB!$F$14:$F$159,RAB!$C$14:$C$159,C1267)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SUMIFS(RAB!$F$14:$F$159,RAB!$C$14:$C$159,C1268)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SUMIFS(RAB!$F$14:$F$159,RAB!$C$14:$C$159,C1269)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SUMIFS(RAB!$F$14:$F$159,RAB!$C$14:$C$159,C1270)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SUMIFS(RAB!$F$14:$F$159,RAB!$C$14:$C$159,C1271)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SUMIFS(RAB!$F$14:$F$159,RAB!$C$14:$C$159,C1272)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SUMIFS(RAB!$F$14:$F$159,RAB!$C$14:$C$159,C1273)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SUMIFS(RAB!$F$14:$F$159,RAB!$C$14:$C$159,C1274)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SUMIFS(RAB!$F$14:$F$159,RAB!$C$14:$C$159,C1275)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SUMIFS(RAB!$F$14:$F$159,RAB!$C$14:$C$159,C1276)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SUMIFS(RAB!$F$14:$F$159,RAB!$C$14:$C$159,C1277)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SUMIFS(RAB!$F$14:$F$159,RAB!$C$14:$C$159,C1278)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SUMIFS(RAB!$F$14:$F$159,RAB!$C$14:$C$159,C1279)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SUMIFS(RAB!$F$14:$F$159,RAB!$C$14:$C$159,C1280)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SUMIFS(RAB!$F$14:$F$159,RAB!$C$14:$C$159,C1281)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SUMIFS(RAB!$F$14:$F$159,RAB!$C$14:$C$159,C1282)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SUMIFS(RAB!$F$14:$F$159,RAB!$C$14:$C$159,C1283)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SUMIFS(RAB!$F$14:$F$159,RAB!$C$14:$C$159,C1284)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SUMIFS(RAB!$F$14:$F$159,RAB!$C$14:$C$159,C1285)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SUMIFS(RAB!$F$14:$F$159,RAB!$C$14:$C$159,C1286)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SUMIFS(RAB!$F$14:$F$159,RAB!$C$14:$C$159,C1287)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SUMIFS(RAB!$F$14:$F$159,RAB!$C$14:$C$159,C1288)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SUMIFS(RAB!$F$14:$F$159,RAB!$C$14:$C$159,C1289)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SUMIFS(RAB!$F$14:$F$159,RAB!$C$14:$C$159,C1290)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SUMIFS(RAB!$F$14:$F$159,RAB!$C$14:$C$159,C1291)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SUMIFS(RAB!$F$14:$F$159,RAB!$C$14:$C$159,C1292)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SUMIFS(RAB!$F$14:$F$159,RAB!$C$14:$C$159,C1293)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SUMIFS(RAB!$F$14:$F$159,RAB!$C$14:$C$159,C1294)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SUMIFS(RAB!$F$14:$F$159,RAB!$C$14:$C$159,C1295)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SUMIFS(RAB!$F$14:$F$159,RAB!$C$14:$C$159,C1296)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SUMIFS(RAB!$F$14:$F$159,RAB!$C$14:$C$159,C1297)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SUMIFS(RAB!$F$14:$F$159,RAB!$C$14:$C$159,C1298)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SUMIFS(RAB!$F$14:$F$159,RAB!$C$14:$C$159,C1299)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SUMIFS(RAB!$F$14:$F$159,RAB!$C$14:$C$159,C1300)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SUMIFS(RAB!$F$14:$F$159,RAB!$C$14:$C$159,C1301)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SUMIFS(RAB!$F$14:$F$159,RAB!$C$14:$C$159,C1302)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SUMIFS(RAB!$F$14:$F$159,RAB!$C$14:$C$159,C1303)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SUMIFS(RAB!$F$14:$F$159,RAB!$C$14:$C$159,C1304)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SUMIFS(RAB!$F$14:$F$159,RAB!$C$14:$C$159,C1305)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SUMIFS(RAB!$F$14:$F$159,RAB!$C$14:$C$159,C1306)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SUMIFS(RAB!$F$14:$F$159,RAB!$C$14:$C$159,C1307)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SUMIFS(RAB!$F$14:$F$159,RAB!$C$14:$C$159,C1308)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SUMIFS(RAB!$F$14:$F$159,RAB!$C$14:$C$159,C1309)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SUMIFS(RAB!$F$14:$F$159,RAB!$C$14:$C$159,C1310)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SUMIFS(RAB!$F$14:$F$159,RAB!$C$14:$C$159,C1311)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SUMIFS(RAB!$F$14:$F$159,RAB!$C$14:$C$159,C1312)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SUMIFS(RAB!$F$14:$F$159,RAB!$C$14:$C$159,C1313)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SUMIFS(RAB!$F$14:$F$159,RAB!$C$14:$C$159,C1314)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SUMIFS(RAB!$F$14:$F$159,RAB!$C$14:$C$159,C1315)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SUMIFS(RAB!$F$14:$F$159,RAB!$C$14:$C$159,C1316)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SUMIFS(RAB!$F$14:$F$159,RAB!$C$14:$C$159,C1317)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SUMIFS(RAB!$F$14:$F$159,RAB!$C$14:$C$159,C1318)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SUMIFS(RAB!$F$14:$F$159,RAB!$C$14:$C$159,C1319)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SUMIFS(RAB!$F$14:$F$159,RAB!$C$14:$C$159,C1320)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1127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AGR UD SRI REJEKI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JL DEMUNG - TRENGGULI DS DEMUNG KEC WONOSALAM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SUMIFS(RAB!$F$14:$F$159,RAB!$C$14:$C$159,'REKAP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SUMIFS(RAB!$F$14:$F$159,RAB!$C$14:$C$159,'REKAP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SUMIFS(RAB!$F$14:$F$159,RAB!$C$14:$C$159,'REKAP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SUMIFS(RAB!$F$14:$F$159,RAB!$C$14:$C$159,'REKAP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SUMIFS(RAB!$F$14:$F$159,RAB!$C$14:$C$159,'REKAP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SUMIFS(RAB!$F$14:$F$159,RAB!$C$14:$C$159,'REKAP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SUMIFS(RAB!$F$14:$F$159,RAB!$C$14:$C$159,'REKAP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SUMIFS(RAB!$F$14:$F$159,RAB!$C$14:$C$159,'REKAP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SUMIFS(RAB!$F$14:$F$159,RAB!$C$14:$C$159,'REKAP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SUMIFS(RAB!$F$14:$F$159,RAB!$C$14:$C$159,'REKAP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SUMIFS(RAB!$F$14:$F$159,RAB!$C$14:$C$159,'REKAP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SUMIFS(RAB!$F$14:$F$159,RAB!$C$14:$C$159,'REKAP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SUMIFS(RAB!$F$14:$F$159,RAB!$C$14:$C$159,'REKAP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SUMIFS(RAB!$F$14:$F$159,RAB!$C$14:$C$159,'REKAP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SUMIFS(RAB!$F$14:$F$159,RAB!$C$14:$C$159,'REKAP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SUMIFS(RAB!$F$14:$F$159,RAB!$C$14:$C$159,'REKAP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SUMIFS(RAB!$F$14:$F$159,RAB!$C$14:$C$159,'REKAP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SUMIFS(RAB!$F$14:$F$159,RAB!$C$14:$C$159,'REKAP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SUMIFS(RAB!$F$14:$F$159,RAB!$C$14:$C$159,'REKAP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SUMIFS(RAB!$F$14:$F$159,RAB!$C$14:$C$159,'REKAP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1034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AGR UD SRI REJEKI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JL DEMUNG - TRENGGULI DS DEMUNG KEC WONOSALAM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6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1415400</v>
      </c>
      <c r="I21" s="42">
        <f t="shared" ca="1" si="2"/>
        <v>0</v>
      </c>
      <c r="J21" s="42">
        <f t="shared" ca="1" si="3"/>
        <v>0</v>
      </c>
      <c r="K21" s="43">
        <f t="shared" ca="1" si="0"/>
        <v>1415400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2967800</v>
      </c>
      <c r="I23" s="42">
        <f t="shared" ca="1" si="2"/>
        <v>0</v>
      </c>
      <c r="J23" s="42">
        <f t="shared" ca="1" si="3"/>
        <v>0</v>
      </c>
      <c r="K23" s="43">
        <f t="shared" ca="1" si="0"/>
        <v>2967800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95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140200</v>
      </c>
      <c r="H25" s="42">
        <f t="shared" ca="1" si="1"/>
        <v>6168800</v>
      </c>
      <c r="I25" s="42">
        <f t="shared" ca="1" si="2"/>
        <v>0</v>
      </c>
      <c r="J25" s="42">
        <f t="shared" ca="1" si="3"/>
        <v>0</v>
      </c>
      <c r="K25" s="43">
        <f t="shared" ca="1" si="0"/>
        <v>6168800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112172450</v>
      </c>
      <c r="I168" s="55">
        <f ca="1">SUM(I14:I167)</f>
        <v>0</v>
      </c>
      <c r="J168" s="55">
        <f ca="1">SUM(J14:J167)</f>
        <v>0</v>
      </c>
      <c r="K168" s="55">
        <f ca="1">SUM(K14:K167)</f>
        <v>112172450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11217245</v>
      </c>
      <c r="I169" s="60">
        <f ca="1">I168*0.1</f>
        <v>0</v>
      </c>
      <c r="J169" s="60">
        <f ca="1">J168*0.1</f>
        <v>0</v>
      </c>
      <c r="K169" s="60">
        <f ca="1">K168*0.1</f>
        <v>11217245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463</v>
      </c>
      <c r="D170" s="535"/>
      <c r="E170" s="535"/>
      <c r="F170" s="535"/>
      <c r="G170" s="61" t="s">
        <v>9</v>
      </c>
      <c r="H170" s="78">
        <f ca="1">SUM(H168:H169)</f>
        <v>123389695</v>
      </c>
      <c r="I170" s="78">
        <f ca="1">SUM(I168:I169)</f>
        <v>0</v>
      </c>
      <c r="J170" s="61">
        <f ca="1">SUM(J168:J169)</f>
        <v>0</v>
      </c>
      <c r="K170" s="61">
        <f ca="1">SUM(K168:K169)</f>
        <v>123389695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SUMIFS(RAB!$F$14:$F$159,RAB!$C$14:$C$159,C224)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SUMIFS(RAB!$F$14:$F$159,RAB!$C$14:$C$159,C225)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SUMIFS(RAB!$F$14:$F$159,RAB!$C$14:$C$159,C226)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SUMIFS(RAB!$F$14:$F$159,RAB!$C$14:$C$159,C227)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SUMIFS(RAB!$F$14:$F$159,RAB!$C$14:$C$159,C228)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SUMIFS(RAB!$F$14:$F$159,RAB!$C$14:$C$159,C229)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SUMIFS(RAB!$F$14:$F$159,RAB!$C$14:$C$159,C230)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SUMIFS(RAB!$F$14:$F$159,RAB!$C$14:$C$159,C231)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SUMIFS(RAB!$F$14:$F$159,RAB!$C$14:$C$159,C232)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SUMIFS(RAB!$F$14:$F$159,RAB!$C$14:$C$159,C233)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SUMIFS(RAB!$F$14:$F$159,RAB!$C$14:$C$159,C234)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SUMIFS(RAB!$F$14:$F$159,RAB!$C$14:$C$159,C235)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SUMIFS(RAB!$F$14:$F$159,RAB!$C$14:$C$159,C236)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SUMIFS(RAB!$F$14:$F$159,RAB!$C$14:$C$159,C237)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SUMIFS(RAB!$F$14:$F$159,RAB!$C$14:$C$159,C238)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SUMIFS(RAB!$F$14:$F$159,RAB!$C$14:$C$159,C239)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SUMIFS(RAB!$F$14:$F$159,RAB!$C$14:$C$159,C240)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SUMIFS(RAB!$F$14:$F$159,RAB!$C$14:$C$159,C241)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SUMIFS(RAB!$F$14:$F$159,RAB!$C$14:$C$159,C242)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SUMIFS(RAB!$F$14:$F$159,RAB!$C$14:$C$159,C243)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SUMIFS(RAB!$F$14:$F$159,RAB!$C$14:$C$159,C244)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SUMIFS(RAB!$F$14:$F$159,RAB!$C$14:$C$159,C245)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SUMIFS(RAB!$F$14:$F$159,RAB!$C$14:$C$159,C246)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SUMIFS(RAB!$F$14:$F$159,RAB!$C$14:$C$159,C247)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SUMIFS(RAB!$F$14:$F$159,RAB!$C$14:$C$159,C248)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SUMIFS(RAB!$F$14:$F$159,RAB!$C$14:$C$159,C249)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SUMIFS(RAB!$F$14:$F$159,RAB!$C$14:$C$159,C250)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SUMIFS(RAB!$F$14:$F$159,RAB!$C$14:$C$159,C251)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SUMIFS(RAB!$F$14:$F$159,RAB!$C$14:$C$159,C252)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SUMIFS(RAB!$F$14:$F$159,RAB!$C$14:$C$159,C253)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SUMIFS(RAB!$F$14:$F$159,RAB!$C$14:$C$159,C254)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SUMIFS(RAB!$F$14:$F$159,RAB!$C$14:$C$159,C255)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SUMIFS(RAB!$F$14:$F$159,RAB!$C$14:$C$159,C256)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SUMIFS(RAB!$F$14:$F$159,RAB!$C$14:$C$159,C257)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SUMIFS(RAB!$F$14:$F$159,RAB!$C$14:$C$159,C258)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SUMIFS(RAB!$F$14:$F$159,RAB!$C$14:$C$159,C259)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SUMIFS(RAB!$F$14:$F$159,RAB!$C$14:$C$159,C260)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SUMIFS(RAB!$F$14:$F$159,RAB!$C$14:$C$159,C261)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SUMIFS(RAB!$F$14:$F$159,RAB!$C$14:$C$159,C262)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SUMIFS(RAB!$F$14:$F$159,RAB!$C$14:$C$159,C263)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SUMIFS(RAB!$F$14:$F$159,RAB!$C$14:$C$159,C264)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SUMIFS(RAB!$F$14:$F$159,RAB!$C$14:$C$159,C265)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SUMIFS(RAB!$F$14:$F$159,RAB!$C$14:$C$159,C266)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SUMIFS(RAB!$F$14:$F$159,RAB!$C$14:$C$159,C267)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SUMIFS(RAB!$F$14:$F$159,RAB!$C$14:$C$159,C268)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SUMIFS(RAB!$F$14:$F$159,RAB!$C$14:$C$159,C269)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SUMIFS(RAB!$F$14:$F$159,RAB!$C$14:$C$159,C270)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SUMIFS(RAB!$F$14:$F$159,RAB!$C$14:$C$159,C271)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SUMIFS(RAB!$F$14:$F$159,RAB!$C$14:$C$159,C272)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SUMIFS(RAB!$F$14:$F$159,RAB!$C$14:$C$159,C273)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SUMIFS(RAB!$F$14:$F$159,RAB!$C$14:$C$159,C274)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SUMIFS(RAB!$F$14:$F$159,RAB!$C$14:$C$159,C275)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SUMIFS(RAB!$F$14:$F$159,RAB!$C$14:$C$159,C276)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SUMIFS(RAB!$F$14:$F$159,RAB!$C$14:$C$159,C277)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SUMIFS(RAB!$F$14:$F$159,RAB!$C$14:$C$159,C278)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SUMIFS(RAB!$F$14:$F$159,RAB!$C$14:$C$159,C279)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SUMIFS(RAB!$F$14:$F$159,RAB!$C$14:$C$159,C280)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SUMIFS(RAB!$F$14:$F$159,RAB!$C$14:$C$159,C281)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SUMIFS(RAB!$F$14:$F$159,RAB!$C$14:$C$159,C282)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SUMIFS(RAB!$F$14:$F$159,RAB!$C$14:$C$159,C283)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SUMIFS(RAB!$F$14:$F$159,RAB!$C$14:$C$159,C284)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SUMIFS(RAB!$F$14:$F$159,RAB!$C$14:$C$159,C285)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SUMIFS(RAB!$F$14:$F$159,RAB!$C$14:$C$159,C286)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SUMIFS(RAB!$F$14:$F$159,RAB!$C$14:$C$159,C287)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SUMIFS(RAB!$F$14:$F$159,RAB!$C$14:$C$159,C288)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SUMIFS(RAB!$F$14:$F$159,RAB!$C$14:$C$159,C289)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SUMIFS(RAB!$F$14:$F$159,RAB!$C$14:$C$159,C290)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SUMIFS(RAB!$F$14:$F$159,RAB!$C$14:$C$159,C291)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SUMIFS(RAB!$F$14:$F$159,RAB!$C$14:$C$159,C292)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SUMIFS(RAB!$F$14:$F$159,RAB!$C$14:$C$159,C293)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SUMIFS(RAB!$F$14:$F$159,RAB!$C$14:$C$159,C294)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SUMIFS(RAB!$F$14:$F$159,RAB!$C$14:$C$159,C295)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SUMIFS(RAB!$F$14:$F$159,RAB!$C$14:$C$159,C296)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SUMIFS(RAB!$F$14:$F$159,RAB!$C$14:$C$159,C297)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SUMIFS(RAB!$F$14:$F$159,RAB!$C$14:$C$159,C298)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SUMIFS(RAB!$F$14:$F$159,RAB!$C$14:$C$159,C299)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SUMIFS(RAB!$F$14:$F$159,RAB!$C$14:$C$159,C300)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SUMIFS(RAB!$F$14:$F$159,RAB!$C$14:$C$159,C301)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SUMIFS(RAB!$F$14:$F$159,RAB!$C$14:$C$159,C302)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SUMIFS(RAB!$F$14:$F$159,RAB!$C$14:$C$159,C303)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SUMIFS(RAB!$F$14:$F$159,RAB!$C$14:$C$159,C304)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SUMIFS(RAB!$F$14:$F$159,RAB!$C$14:$C$159,C305)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SUMIFS(RAB!$F$14:$F$159,RAB!$C$14:$C$159,C306)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SUMIFS(RAB!$F$14:$F$159,RAB!$C$14:$C$159,C307)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SUMIFS(RAB!$F$14:$F$159,RAB!$C$14:$C$159,C308)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SUMIFS(RAB!$F$14:$F$159,RAB!$C$14:$C$159,C309)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SUMIFS(RAB!$F$14:$F$159,RAB!$C$14:$C$159,C310)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SUMIFS(RAB!$F$14:$F$159,RAB!$C$14:$C$159,C311)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SUMIFS(RAB!$F$14:$F$159,RAB!$C$14:$C$159,C312)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SUMIFS(RAB!$F$14:$F$159,RAB!$C$14:$C$159,C313)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SUMIFS(RAB!$F$14:$F$159,RAB!$C$14:$C$159,C314)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SUMIFS(RAB!$F$14:$F$159,RAB!$C$14:$C$159,C315)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SUMIFS(RAB!$F$14:$F$159,RAB!$C$14:$C$159,C316)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SUMIFS(RAB!$F$14:$F$159,RAB!$C$14:$C$159,C317)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SUMIFS(RAB!$F$14:$F$159,RAB!$C$14:$C$159,C318)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SUMIFS(RAB!$F$14:$F$159,RAB!$C$14:$C$159,C319)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SUMIFS(RAB!$F$14:$F$159,RAB!$C$14:$C$159,C320)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SUMIFS(RAB!$F$14:$F$159,RAB!$C$14:$C$159,C321)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SUMIFS(RAB!$F$14:$F$159,RAB!$C$14:$C$159,C322)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SUMIFS(RAB!$F$14:$F$159,RAB!$C$14:$C$159,C323)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SUMIFS(RAB!$F$14:$F$159,RAB!$C$14:$C$159,C324)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SUMIFS(RAB!$F$14:$F$159,RAB!$C$14:$C$159,C325)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SUMIFS(RAB!$F$14:$F$159,RAB!$C$14:$C$159,C326)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SUMIFS(RAB!$F$14:$F$159,RAB!$C$14:$C$159,C327)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SUMIFS(RAB!$F$14:$F$159,RAB!$C$14:$C$159,C328)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SUMIFS(RAB!$F$14:$F$159,RAB!$C$14:$C$159,C329)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SUMIFS(RAB!$F$14:$F$159,RAB!$C$14:$C$159,C330)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SUMIFS(RAB!$F$14:$F$159,RAB!$C$14:$C$159,C331)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SUMIFS(RAB!$F$14:$F$159,RAB!$C$14:$C$159,C332)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SUMIFS(RAB!$F$14:$F$159,RAB!$C$14:$C$159,C333)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SUMIFS(RAB!$F$14:$F$159,RAB!$C$14:$C$159,C334)</f>
        <v>6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SUMIFS(RAB!$F$14:$F$159,RAB!$C$14:$C$159,C335)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SUMIFS(RAB!$F$14:$F$159,RAB!$C$14:$C$159,C336)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SUMIFS(RAB!$F$14:$F$159,RAB!$C$14:$C$159,C337)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SUMIFS(RAB!$F$14:$F$159,RAB!$C$14:$C$159,C338)</f>
        <v>209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SUMIFS(RAB!$F$14:$F$159,RAB!$C$14:$C$159,C339)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SUMIFS(RAB!$F$14:$F$159,RAB!$C$14:$C$159,C340)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SUMIFS(RAB!$F$14:$F$159,RAB!$C$14:$C$159,C341)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SUMIFS(RAB!$F$14:$F$159,RAB!$C$14:$C$159,C342)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SUMIFS(RAB!$F$14:$F$159,RAB!$C$14:$C$159,C343)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SUMIFS(RAB!$F$14:$F$159,RAB!$C$14:$C$159,C344)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SUMIFS(RAB!$F$14:$F$159,RAB!$C$14:$C$159,C345)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SUMIFS(RAB!$F$14:$F$159,RAB!$C$14:$C$159,C346)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SUMIFS(RAB!$F$14:$F$159,RAB!$C$14:$C$159,C347)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SUMIFS(RAB!$F$14:$F$159,RAB!$C$14:$C$159,C348)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SUMIFS(RAB!$F$14:$F$159,RAB!$C$14:$C$159,C349)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SUMIFS(RAB!$F$14:$F$159,RAB!$C$14:$C$159,C350)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SUMIFS(RAB!$F$14:$F$159,RAB!$C$14:$C$159,C351)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SUMIFS(RAB!$F$14:$F$159,RAB!$C$14:$C$159,C352)</f>
        <v>44</v>
      </c>
      <c r="E352" s="24">
        <f t="shared" ca="1" si="22"/>
        <v>1</v>
      </c>
      <c r="F352" s="24">
        <f ca="1">IF(D352=0,0,SUM($E$223:E352))</f>
        <v>10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SUMIFS(RAB!$F$14:$F$159,RAB!$C$14:$C$159,C353)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SUMIFS(RAB!$F$14:$F$159,RAB!$C$14:$C$159,C354)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SUMIFS(RAB!$F$14:$F$159,RAB!$C$14:$C$159,C355)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SUMIFS(RAB!$F$14:$F$159,RAB!$C$14:$C$159,C356)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SUMIFS(RAB!$F$14:$F$159,RAB!$C$14:$C$159,C357)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SUMIFS(RAB!$F$14:$F$159,RAB!$C$14:$C$159,C358)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SUMIFS(RAB!$F$14:$F$159,RAB!$C$14:$C$159,C359)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SUMIFS(RAB!$F$14:$F$159,RAB!$C$14:$C$159,C360)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SUMIFS(RAB!$F$14:$F$159,RAB!$C$14:$C$159,C361)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SUMIFS(RAB!$F$14:$F$159,RAB!$C$14:$C$159,C362)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SUMIFS(RAB!$F$14:$F$159,RAB!$C$14:$C$159,C363)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SUMIFS(RAB!$F$14:$F$159,RAB!$C$14:$C$159,C364)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SUMIFS(RAB!$F$14:$F$159,RAB!$C$14:$C$159,C365)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SUMIFS(RAB!$F$14:$F$159,RAB!$C$14:$C$159,C366)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SUMIFS(RAB!$F$14:$F$159,RAB!$C$14:$C$159,C367)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SUMIFS(RAB!$F$14:$F$159,RAB!$C$14:$C$159,C368)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SUMIFS(RAB!$F$14:$F$159,RAB!$C$14:$C$159,C369)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SUMIFS(RAB!$F$14:$F$159,RAB!$C$14:$C$159,C370)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SUMIFS(RAB!$F$14:$F$159,RAB!$C$14:$C$159,C371)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SUMIFS(RAB!$F$14:$F$159,RAB!$C$14:$C$159,C372)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SUMIFS(RAB!$F$14:$F$159,RAB!$C$14:$C$159,C373)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4" sqref="C2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1607</v>
      </c>
      <c r="G4" s="108" t="s">
        <v>1606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1606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1550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1551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1552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1553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1554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1555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1556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1557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1558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1559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1560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1561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1562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1563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1564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1565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1566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1567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1568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1569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1570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1571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1572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1573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1574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1575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1576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1577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1578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1579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1580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1581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1582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1583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1584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1585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1586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1587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1588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1589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1590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1591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1592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1593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1594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1595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1596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1597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1598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1599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1600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1601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1602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1603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1604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1605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M16" sqref="M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0" t="s">
        <v>1454</v>
      </c>
      <c r="C2" s="570"/>
      <c r="D2" s="570"/>
      <c r="E2" s="57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5" t="s">
        <v>1532</v>
      </c>
      <c r="C4" s="576"/>
      <c r="D4" s="576"/>
      <c r="E4" s="577"/>
      <c r="F4" s="442"/>
      <c r="G4" s="442"/>
      <c r="H4" s="443"/>
      <c r="I4" s="602" t="s">
        <v>1533</v>
      </c>
      <c r="J4" s="603"/>
      <c r="K4" s="603"/>
      <c r="L4" s="604"/>
    </row>
    <row r="5" spans="1:12" ht="34.5" customHeight="1">
      <c r="A5" s="204"/>
      <c r="B5" s="445" t="s">
        <v>1379</v>
      </c>
      <c r="C5" s="277" t="s">
        <v>9</v>
      </c>
      <c r="D5" s="571" t="str">
        <f>DATA!D14</f>
        <v>AGR UD SRI REJEKI</v>
      </c>
      <c r="E5" s="572"/>
      <c r="F5" s="208"/>
      <c r="G5" s="208"/>
      <c r="I5" s="446" t="s">
        <v>1379</v>
      </c>
      <c r="J5" s="277" t="s">
        <v>9</v>
      </c>
      <c r="K5" s="605" t="str">
        <f>D5</f>
        <v>AGR UD SRI REJEKI</v>
      </c>
      <c r="L5" s="606"/>
    </row>
    <row r="6" spans="1:12" ht="31.5" customHeight="1">
      <c r="A6" s="204"/>
      <c r="B6" s="445" t="s">
        <v>1529</v>
      </c>
      <c r="C6" s="277" t="s">
        <v>9</v>
      </c>
      <c r="D6" s="580">
        <f>DATA!D17*1000</f>
        <v>0</v>
      </c>
      <c r="E6" s="581"/>
      <c r="F6" s="208"/>
      <c r="G6" s="208"/>
      <c r="I6" s="446" t="s">
        <v>1530</v>
      </c>
      <c r="J6" s="277" t="s">
        <v>9</v>
      </c>
      <c r="K6" s="607">
        <f>DATA!D20*1000</f>
        <v>164000</v>
      </c>
      <c r="L6" s="608"/>
    </row>
    <row r="7" spans="1:12" ht="30.75" customHeight="1">
      <c r="A7" s="204"/>
      <c r="B7" s="445" t="s">
        <v>1441</v>
      </c>
      <c r="C7" s="277" t="s">
        <v>9</v>
      </c>
      <c r="D7" s="578">
        <f>DATA!D18</f>
        <v>1</v>
      </c>
      <c r="E7" s="579"/>
      <c r="F7" s="444" t="s">
        <v>1453</v>
      </c>
      <c r="I7" s="446" t="s">
        <v>1441</v>
      </c>
      <c r="J7" s="277" t="s">
        <v>9</v>
      </c>
      <c r="K7" s="609">
        <f>DATA!D21</f>
        <v>3</v>
      </c>
      <c r="L7" s="610"/>
    </row>
    <row r="8" spans="1:12" ht="51" customHeight="1">
      <c r="A8" s="204"/>
      <c r="B8" s="445" t="s">
        <v>1442</v>
      </c>
      <c r="C8" s="277" t="s">
        <v>9</v>
      </c>
      <c r="D8" s="578">
        <f>DATA!D19</f>
        <v>220</v>
      </c>
      <c r="E8" s="579"/>
      <c r="F8" s="444" t="s">
        <v>1453</v>
      </c>
      <c r="G8" s="439">
        <v>220</v>
      </c>
      <c r="I8" s="446" t="s">
        <v>1442</v>
      </c>
      <c r="J8" s="277" t="s">
        <v>9</v>
      </c>
      <c r="K8" s="609">
        <f>DATA!D22</f>
        <v>380</v>
      </c>
      <c r="L8" s="610"/>
    </row>
    <row r="9" spans="1:12" ht="30" customHeight="1" thickBot="1">
      <c r="A9" s="204"/>
      <c r="B9" s="451" t="s">
        <v>1541</v>
      </c>
      <c r="C9" s="441" t="s">
        <v>9</v>
      </c>
      <c r="D9" s="573">
        <f>IF(D7=1,D6/(380/3^0.5),(D6/(380*3^0.5)))</f>
        <v>0</v>
      </c>
      <c r="E9" s="574"/>
      <c r="F9" s="207"/>
      <c r="G9" s="440">
        <v>380</v>
      </c>
      <c r="I9" s="452" t="s">
        <v>1541</v>
      </c>
      <c r="J9" s="441" t="s">
        <v>9</v>
      </c>
      <c r="K9" s="611">
        <f>IF(K7=1,K6/(380/3^0.5),(K6/(380*3^0.5)))</f>
        <v>249.17222143973325</v>
      </c>
      <c r="L9" s="61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2" t="s">
        <v>1636</v>
      </c>
      <c r="E12" s="583"/>
      <c r="F12" s="208"/>
      <c r="G12" s="208"/>
      <c r="I12" s="468" t="s">
        <v>1534</v>
      </c>
      <c r="J12" s="469" t="s">
        <v>9</v>
      </c>
      <c r="K12" s="582" t="s">
        <v>1636</v>
      </c>
      <c r="L12" s="583"/>
    </row>
    <row r="13" spans="1:12" ht="31.5" customHeight="1">
      <c r="A13" s="204"/>
      <c r="B13" s="476" t="s">
        <v>1380</v>
      </c>
      <c r="C13" s="456" t="s">
        <v>9</v>
      </c>
      <c r="D13" s="586" t="s">
        <v>1637</v>
      </c>
      <c r="E13" s="587"/>
      <c r="F13" s="208"/>
      <c r="G13" s="208"/>
      <c r="I13" s="470" t="s">
        <v>1380</v>
      </c>
      <c r="J13" s="456" t="s">
        <v>9</v>
      </c>
      <c r="K13" s="586" t="s">
        <v>1637</v>
      </c>
      <c r="L13" s="587"/>
    </row>
    <row r="14" spans="1:12" ht="30.75" customHeight="1">
      <c r="A14" s="204"/>
      <c r="B14" s="476" t="s">
        <v>1535</v>
      </c>
      <c r="C14" s="456" t="s">
        <v>9</v>
      </c>
      <c r="D14" s="594"/>
      <c r="E14" s="595"/>
      <c r="F14" s="444" t="s">
        <v>1453</v>
      </c>
      <c r="G14" s="448">
        <v>50</v>
      </c>
      <c r="I14" s="470" t="s">
        <v>1535</v>
      </c>
      <c r="J14" s="456" t="s">
        <v>9</v>
      </c>
      <c r="K14" s="596">
        <v>160</v>
      </c>
      <c r="L14" s="59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8">
        <v>0</v>
      </c>
      <c r="E16" s="599"/>
      <c r="F16" s="444"/>
      <c r="G16" s="448">
        <v>160</v>
      </c>
      <c r="I16" s="470" t="s">
        <v>1537</v>
      </c>
      <c r="J16" s="456" t="s">
        <v>9</v>
      </c>
      <c r="K16" s="600">
        <f>K9</f>
        <v>249.17222143973325</v>
      </c>
      <c r="L16" s="601"/>
    </row>
    <row r="17" spans="1:12" ht="34.5" customHeight="1">
      <c r="A17" s="204"/>
      <c r="B17" s="476" t="s">
        <v>1538</v>
      </c>
      <c r="C17" s="456" t="s">
        <v>9</v>
      </c>
      <c r="D17" s="588">
        <f>IF(D15=1,D14/(20/3^0.5),(D14/(20*3^0.5)))</f>
        <v>0</v>
      </c>
      <c r="E17" s="589"/>
      <c r="F17" s="444" t="s">
        <v>1453</v>
      </c>
      <c r="G17" s="449">
        <v>200</v>
      </c>
      <c r="I17" s="470" t="s">
        <v>1538</v>
      </c>
      <c r="J17" s="456" t="s">
        <v>9</v>
      </c>
      <c r="K17" s="592">
        <f>IF(K15=1,K14/(20/3^0.5),(K14/(20*3^0.5)))</f>
        <v>4.6188021535170067</v>
      </c>
      <c r="L17" s="593"/>
    </row>
    <row r="18" spans="1:12" ht="34.5" customHeight="1">
      <c r="A18" s="204"/>
      <c r="B18" s="476" t="s">
        <v>1539</v>
      </c>
      <c r="C18" s="456" t="s">
        <v>9</v>
      </c>
      <c r="D18" s="588">
        <f>IF(D15=1,D14/(380/3^0.5),(D14/(380*3^0.5)))*1000</f>
        <v>0</v>
      </c>
      <c r="E18" s="589"/>
      <c r="F18" s="444" t="s">
        <v>1453</v>
      </c>
      <c r="G18" s="449">
        <v>250</v>
      </c>
      <c r="I18" s="470" t="s">
        <v>1539</v>
      </c>
      <c r="J18" s="456" t="s">
        <v>9</v>
      </c>
      <c r="K18" s="592">
        <f>IF(K15=1,K14/(380/3^0.5),(K14/(380*3^0.5)))*1000</f>
        <v>243.0948501851056</v>
      </c>
      <c r="L18" s="593"/>
    </row>
    <row r="19" spans="1:12" ht="30" customHeight="1">
      <c r="A19" s="204"/>
      <c r="B19" s="477" t="s">
        <v>1531</v>
      </c>
      <c r="C19" s="455" t="s">
        <v>9</v>
      </c>
      <c r="D19" s="588">
        <f>IF(D15=1,D14/(380/3^0.5),(D14/(380*3^0.5)))</f>
        <v>0</v>
      </c>
      <c r="E19" s="589"/>
      <c r="F19" s="207"/>
      <c r="G19" s="440"/>
      <c r="I19" s="472" t="s">
        <v>1531</v>
      </c>
      <c r="J19" s="455" t="s">
        <v>9</v>
      </c>
      <c r="K19" s="592">
        <f>IF(K15=1,K14/(380/3^0.5),(K14/(380*3^0.5)))</f>
        <v>0.2430948501851056</v>
      </c>
      <c r="L19" s="593"/>
    </row>
    <row r="20" spans="1:12" ht="30" customHeight="1" thickBot="1">
      <c r="A20" s="204"/>
      <c r="B20" s="478" t="s">
        <v>1540</v>
      </c>
      <c r="C20" s="474" t="s">
        <v>9</v>
      </c>
      <c r="D20" s="584" t="e">
        <f>D16/D18</f>
        <v>#DIV/0!</v>
      </c>
      <c r="E20" s="585"/>
      <c r="F20" s="207"/>
      <c r="G20" s="440"/>
      <c r="I20" s="473" t="s">
        <v>1531</v>
      </c>
      <c r="J20" s="474" t="s">
        <v>9</v>
      </c>
      <c r="K20" s="590">
        <f>K16/K18</f>
        <v>1.0250000000000001</v>
      </c>
      <c r="L20" s="591"/>
    </row>
    <row r="21" spans="1:12" ht="9.75" customHeight="1">
      <c r="A21" s="204"/>
      <c r="B21" s="463" t="s">
        <v>1540</v>
      </c>
      <c r="C21" s="464" t="s">
        <v>9</v>
      </c>
      <c r="D21" s="569">
        <v>1</v>
      </c>
      <c r="E21" s="569"/>
      <c r="F21" s="465"/>
      <c r="G21" s="466"/>
      <c r="H21" s="467"/>
      <c r="I21" s="463" t="s">
        <v>1531</v>
      </c>
      <c r="J21" s="464" t="s">
        <v>9</v>
      </c>
      <c r="K21" s="569">
        <v>1</v>
      </c>
      <c r="L21" s="569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1608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164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127100000</v>
      </c>
    </row>
    <row r="10" spans="2:11" ht="20.100000000000001" customHeight="1">
      <c r="B10" s="291" t="s">
        <v>1446</v>
      </c>
      <c r="C10" s="292" t="s">
        <v>9</v>
      </c>
      <c r="D10" s="298">
        <f ca="1">RAB!K165</f>
        <v>160654154.81724998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3213083.096345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1638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1609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164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775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V40" sqref="V40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5" t="s">
        <v>1357</v>
      </c>
      <c r="C3" s="615"/>
      <c r="D3" s="615"/>
      <c r="E3" s="615"/>
      <c r="F3" s="305" t="str">
        <f>DATA!D14</f>
        <v>AGR UD SRI REJEKI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6" t="s">
        <v>1349</v>
      </c>
      <c r="C5" s="616" t="s">
        <v>1358</v>
      </c>
      <c r="D5" s="617" t="s">
        <v>1359</v>
      </c>
      <c r="E5" s="617" t="s">
        <v>1360</v>
      </c>
      <c r="F5" s="616" t="s">
        <v>1361</v>
      </c>
      <c r="G5" s="616"/>
      <c r="H5" s="616"/>
      <c r="I5" s="616"/>
      <c r="J5" s="616"/>
      <c r="K5" s="616" t="s">
        <v>1362</v>
      </c>
      <c r="L5" s="616"/>
      <c r="M5" s="307"/>
      <c r="N5" s="620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6"/>
      <c r="C6" s="616"/>
      <c r="D6" s="616"/>
      <c r="E6" s="61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6"/>
      <c r="P6" s="616"/>
      <c r="Q6" s="616"/>
      <c r="R6" s="308"/>
      <c r="S6" s="309"/>
      <c r="T6" s="616"/>
      <c r="U6" s="312"/>
    </row>
    <row r="7" spans="1:21" ht="20.100000000000001" customHeight="1">
      <c r="A7" s="313">
        <v>0</v>
      </c>
      <c r="B7" s="314">
        <v>2023</v>
      </c>
      <c r="C7" s="479">
        <f>DATA!D8*DATA!D26*2</f>
        <v>13120</v>
      </c>
      <c r="D7" s="316">
        <f>C7*4/24</f>
        <v>2186.6666666666665</v>
      </c>
      <c r="E7" s="316">
        <f>C7-D7</f>
        <v>10933.333333333334</v>
      </c>
      <c r="F7" s="317">
        <f ca="1">DATA!D10/1000000</f>
        <v>160.65415481724997</v>
      </c>
      <c r="G7" s="318">
        <f ca="1">DATA!$D$11/1000000</f>
        <v>3.2130830963450001</v>
      </c>
      <c r="H7" s="318">
        <f>C7*DATA!$D$5/1000000</f>
        <v>14.223720602031984</v>
      </c>
      <c r="I7" s="318">
        <f>(C7*DATA!$D$5*DATA!$D$7)/1000000</f>
        <v>0.32003371354571963</v>
      </c>
      <c r="J7" s="316">
        <f ca="1">SUM(F7:I7)</f>
        <v>178.41099222917268</v>
      </c>
      <c r="K7" s="319">
        <f>DATA!D9/1000000</f>
        <v>127.1</v>
      </c>
      <c r="L7" s="316">
        <f>((D7*DATA!$D$23)/1000000)+((E7*DATA!$D$24)/1000000)</f>
        <v>18.954464000000002</v>
      </c>
      <c r="M7" s="316">
        <f>K7+L7</f>
        <v>146.054464</v>
      </c>
      <c r="N7" s="316">
        <f ca="1">M7-J7</f>
        <v>-32.356528229172682</v>
      </c>
      <c r="O7" s="314">
        <v>1</v>
      </c>
      <c r="P7" s="316">
        <f ca="1">O7*N7</f>
        <v>-32.356528229172682</v>
      </c>
      <c r="Q7" s="316">
        <f ca="1">P7</f>
        <v>-32.356528229172682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78720</v>
      </c>
      <c r="D8" s="316">
        <f>C8*4/24</f>
        <v>13120</v>
      </c>
      <c r="E8" s="316">
        <f t="shared" ref="E8:E32" si="0">C8-D8</f>
        <v>65600</v>
      </c>
      <c r="F8" s="314"/>
      <c r="G8" s="318">
        <f ca="1">DATA!$D$11/1000000</f>
        <v>3.2130830963450001</v>
      </c>
      <c r="H8" s="318">
        <f>C8*DATA!$D$5/1000000</f>
        <v>85.342323612191905</v>
      </c>
      <c r="I8" s="318">
        <f>(C8*DATA!$D$5*DATA!$D$7)/1000000</f>
        <v>1.9202022812743178</v>
      </c>
      <c r="J8" s="316">
        <f t="shared" ref="J8:J32" ca="1" si="1">SUM(F8:I8)</f>
        <v>90.475608989811221</v>
      </c>
      <c r="K8" s="321"/>
      <c r="L8" s="316">
        <f>((D8*DATA!$D$23)/1000000)+((E8*DATA!$D$24)/1000000)</f>
        <v>113.72678399999999</v>
      </c>
      <c r="M8" s="316">
        <f t="shared" ref="M8:M32" si="2">K8+L8</f>
        <v>113.72678399999999</v>
      </c>
      <c r="N8" s="316">
        <f ca="1">M8-J8</f>
        <v>23.251175010188774</v>
      </c>
      <c r="O8" s="315">
        <f>1/(1+'[93]Asumsi I'!$C$3)^(KKF!A8)</f>
        <v>0.89285714285714279</v>
      </c>
      <c r="P8" s="316">
        <f ca="1">O8*N8</f>
        <v>20.759977687668545</v>
      </c>
      <c r="Q8" s="316">
        <f ca="1">Q7+P8</f>
        <v>-11.596550541504136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78720</v>
      </c>
      <c r="D9" s="316">
        <f t="shared" ref="D9:D32" si="5">C9*4/24</f>
        <v>13120</v>
      </c>
      <c r="E9" s="316">
        <f t="shared" si="0"/>
        <v>65600</v>
      </c>
      <c r="F9" s="314"/>
      <c r="G9" s="318">
        <f ca="1">DATA!$D$11/1000000</f>
        <v>3.2130830963450001</v>
      </c>
      <c r="H9" s="318">
        <f>C9*DATA!$D$5/1000000</f>
        <v>85.342323612191905</v>
      </c>
      <c r="I9" s="318">
        <f>(C9*DATA!$D$5*DATA!$D$7)/1000000</f>
        <v>1.9202022812743178</v>
      </c>
      <c r="J9" s="316">
        <f t="shared" ca="1" si="1"/>
        <v>90.475608989811221</v>
      </c>
      <c r="K9" s="316"/>
      <c r="L9" s="316">
        <f>((D9*DATA!$D$23)/1000000)+((E9*DATA!$D$24)/1000000)</f>
        <v>113.72678399999999</v>
      </c>
      <c r="M9" s="316">
        <f t="shared" si="2"/>
        <v>113.72678399999999</v>
      </c>
      <c r="N9" s="316">
        <f t="shared" ref="N9:N32" ca="1" si="6">M9-J9</f>
        <v>23.251175010188774</v>
      </c>
      <c r="O9" s="322">
        <f>1/(1+'[93]Asumsi I'!$C$3)^(KKF!A9)</f>
        <v>0.79719387755102034</v>
      </c>
      <c r="P9" s="316">
        <f t="shared" ref="P9:P32" ca="1" si="7">O9*N9</f>
        <v>18.535694363989773</v>
      </c>
      <c r="Q9" s="316">
        <f ca="1">Q8+P9</f>
        <v>6.9391438224856365</v>
      </c>
      <c r="S9" s="304" t="str">
        <f t="shared" ca="1" si="3"/>
        <v/>
      </c>
      <c r="T9" s="320">
        <f ca="1">IF(Q7&gt;=0,"",IF(Q9&lt;0,"",IF(Q9=0,A9,(A9-(Q9/N9)))))</f>
        <v>1.701557283903077</v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78720</v>
      </c>
      <c r="D10" s="316">
        <f t="shared" si="5"/>
        <v>13120</v>
      </c>
      <c r="E10" s="316">
        <f t="shared" si="0"/>
        <v>65600</v>
      </c>
      <c r="F10" s="314"/>
      <c r="G10" s="318">
        <f ca="1">DATA!$D$11/1000000</f>
        <v>3.2130830963450001</v>
      </c>
      <c r="H10" s="318">
        <f>C10*DATA!$D$5/1000000</f>
        <v>85.342323612191905</v>
      </c>
      <c r="I10" s="318">
        <f>(C10*DATA!$D$5*DATA!$D$7)/1000000</f>
        <v>1.9202022812743178</v>
      </c>
      <c r="J10" s="316">
        <f t="shared" ca="1" si="1"/>
        <v>90.475608989811221</v>
      </c>
      <c r="K10" s="314"/>
      <c r="L10" s="316">
        <f>((D10*DATA!$D$23)/1000000)+((E10*DATA!$D$24)/1000000)</f>
        <v>113.72678399999999</v>
      </c>
      <c r="M10" s="316">
        <f t="shared" si="2"/>
        <v>113.72678399999999</v>
      </c>
      <c r="N10" s="316">
        <f t="shared" ca="1" si="6"/>
        <v>23.251175010188774</v>
      </c>
      <c r="O10" s="315">
        <f>1/(1+'[93]Asumsi I'!$C$3)^(KKF!A10)</f>
        <v>0.71178024781341087</v>
      </c>
      <c r="P10" s="316">
        <f t="shared" ca="1" si="7"/>
        <v>16.549727110705152</v>
      </c>
      <c r="Q10" s="316">
        <f t="shared" ref="Q10:Q30" ca="1" si="9">Q9+P10</f>
        <v>23.488870933190789</v>
      </c>
      <c r="S10" s="304" t="str">
        <f t="shared" ca="1" si="3"/>
        <v/>
      </c>
      <c r="T10" s="320">
        <f t="shared" ref="T10:T32" ca="1" si="10">IF(Q8&gt;=0,"",IF(Q10&lt;0,"",IF(Q10=0,A10,(A10-(Q10/N10)))))</f>
        <v>1.9897770360896663</v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78720</v>
      </c>
      <c r="D11" s="316">
        <f t="shared" si="5"/>
        <v>13120</v>
      </c>
      <c r="E11" s="316">
        <f t="shared" si="0"/>
        <v>65600</v>
      </c>
      <c r="F11" s="314"/>
      <c r="G11" s="318">
        <f ca="1">DATA!$D$11/1000000</f>
        <v>3.2130830963450001</v>
      </c>
      <c r="H11" s="318">
        <f>C11*DATA!$D$5/1000000</f>
        <v>85.342323612191905</v>
      </c>
      <c r="I11" s="318">
        <f>(C11*DATA!$D$5*DATA!$D$7)/1000000</f>
        <v>1.9202022812743178</v>
      </c>
      <c r="J11" s="316">
        <f t="shared" ca="1" si="1"/>
        <v>90.475608989811221</v>
      </c>
      <c r="K11" s="314"/>
      <c r="L11" s="316">
        <f>((D11*DATA!$D$23)/1000000)+((E11*DATA!$D$24)/1000000)</f>
        <v>113.72678399999999</v>
      </c>
      <c r="M11" s="316">
        <f t="shared" si="2"/>
        <v>113.72678399999999</v>
      </c>
      <c r="N11" s="316">
        <f t="shared" ca="1" si="6"/>
        <v>23.251175010188774</v>
      </c>
      <c r="O11" s="315">
        <f>1/(1+'[93]Asumsi I'!$C$3)^(KKF!A11)</f>
        <v>0.63551807840483121</v>
      </c>
      <c r="P11" s="316">
        <f t="shared" ca="1" si="7"/>
        <v>14.776542063129602</v>
      </c>
      <c r="Q11" s="316">
        <f t="shared" ca="1" si="9"/>
        <v>38.265412996320393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78720</v>
      </c>
      <c r="D12" s="316">
        <f t="shared" si="5"/>
        <v>13120</v>
      </c>
      <c r="E12" s="316">
        <f t="shared" si="0"/>
        <v>65600</v>
      </c>
      <c r="F12" s="314"/>
      <c r="G12" s="318">
        <f ca="1">DATA!$D$11/1000000</f>
        <v>3.2130830963450001</v>
      </c>
      <c r="H12" s="318">
        <f>C12*DATA!$D$5/1000000</f>
        <v>85.342323612191905</v>
      </c>
      <c r="I12" s="318">
        <f>(C12*DATA!$D$5*DATA!$D$7)/1000000</f>
        <v>1.9202022812743178</v>
      </c>
      <c r="J12" s="316">
        <f t="shared" ca="1" si="1"/>
        <v>90.475608989811221</v>
      </c>
      <c r="K12" s="314"/>
      <c r="L12" s="316">
        <f>((D12*DATA!$D$23)/1000000)+((E12*DATA!$D$24)/1000000)</f>
        <v>113.72678399999999</v>
      </c>
      <c r="M12" s="316">
        <f t="shared" si="2"/>
        <v>113.72678399999999</v>
      </c>
      <c r="N12" s="316">
        <f t="shared" ca="1" si="6"/>
        <v>23.251175010188774</v>
      </c>
      <c r="O12" s="315">
        <f>1/(1+'[93]Asumsi I'!$C$3)^(KKF!A12)</f>
        <v>0.56742685571859919</v>
      </c>
      <c r="P12" s="316">
        <f t="shared" ca="1" si="7"/>
        <v>13.193341127794284</v>
      </c>
      <c r="Q12" s="316">
        <f t="shared" ca="1" si="9"/>
        <v>51.458754124114677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78720</v>
      </c>
      <c r="D13" s="316">
        <f t="shared" si="5"/>
        <v>13120</v>
      </c>
      <c r="E13" s="316">
        <f t="shared" si="0"/>
        <v>65600</v>
      </c>
      <c r="F13" s="314"/>
      <c r="G13" s="318">
        <f ca="1">DATA!$D$11/1000000</f>
        <v>3.2130830963450001</v>
      </c>
      <c r="H13" s="318">
        <f>C13*DATA!$D$5/1000000</f>
        <v>85.342323612191905</v>
      </c>
      <c r="I13" s="318">
        <f>(C13*DATA!$D$5*DATA!$D$7)/1000000</f>
        <v>1.9202022812743178</v>
      </c>
      <c r="J13" s="316">
        <f t="shared" ca="1" si="1"/>
        <v>90.475608989811221</v>
      </c>
      <c r="K13" s="314"/>
      <c r="L13" s="316">
        <f>((D13*DATA!$D$23)/1000000)+((E13*DATA!$D$24)/1000000)</f>
        <v>113.72678399999999</v>
      </c>
      <c r="M13" s="316">
        <f t="shared" si="2"/>
        <v>113.72678399999999</v>
      </c>
      <c r="N13" s="316">
        <f t="shared" ca="1" si="6"/>
        <v>23.251175010188774</v>
      </c>
      <c r="O13" s="315">
        <f>1/(1+'[93]Asumsi I'!$C$3)^(KKF!A13)</f>
        <v>0.50663112117732068</v>
      </c>
      <c r="P13" s="316">
        <f t="shared" ca="1" si="7"/>
        <v>11.779768864102039</v>
      </c>
      <c r="Q13" s="316">
        <f t="shared" ca="1" si="9"/>
        <v>63.238522988216715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78720</v>
      </c>
      <c r="D14" s="316">
        <f t="shared" si="5"/>
        <v>13120</v>
      </c>
      <c r="E14" s="316">
        <f t="shared" si="0"/>
        <v>65600</v>
      </c>
      <c r="F14" s="314"/>
      <c r="G14" s="318">
        <f ca="1">DATA!$D$11/1000000</f>
        <v>3.2130830963450001</v>
      </c>
      <c r="H14" s="318">
        <f>C14*DATA!$D$5/1000000</f>
        <v>85.342323612191905</v>
      </c>
      <c r="I14" s="318">
        <f>(C14*DATA!$D$5*DATA!$D$7)/1000000</f>
        <v>1.9202022812743178</v>
      </c>
      <c r="J14" s="316">
        <f t="shared" ca="1" si="1"/>
        <v>90.475608989811221</v>
      </c>
      <c r="K14" s="314"/>
      <c r="L14" s="316">
        <f>((D14*DATA!$D$23)/1000000)+((E14*DATA!$D$24)/1000000)</f>
        <v>113.72678399999999</v>
      </c>
      <c r="M14" s="316">
        <f t="shared" si="2"/>
        <v>113.72678399999999</v>
      </c>
      <c r="N14" s="316">
        <f t="shared" ca="1" si="6"/>
        <v>23.251175010188774</v>
      </c>
      <c r="O14" s="315">
        <f>1/(1+'[93]Asumsi I'!$C$3)^(KKF!A14)</f>
        <v>0.45234921533689343</v>
      </c>
      <c r="P14" s="316">
        <f t="shared" ca="1" si="7"/>
        <v>10.517650771519676</v>
      </c>
      <c r="Q14" s="316">
        <f t="shared" ca="1" si="9"/>
        <v>73.756173759736384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78720</v>
      </c>
      <c r="D15" s="316">
        <f t="shared" si="5"/>
        <v>13120</v>
      </c>
      <c r="E15" s="316">
        <f t="shared" si="0"/>
        <v>65600</v>
      </c>
      <c r="F15" s="314"/>
      <c r="G15" s="318">
        <f ca="1">DATA!$D$11/1000000</f>
        <v>3.2130830963450001</v>
      </c>
      <c r="H15" s="318">
        <f>C15*DATA!$D$5/1000000</f>
        <v>85.342323612191905</v>
      </c>
      <c r="I15" s="318">
        <f>(C15*DATA!$D$5*DATA!$D$7)/1000000</f>
        <v>1.9202022812743178</v>
      </c>
      <c r="J15" s="316">
        <f t="shared" ca="1" si="1"/>
        <v>90.475608989811221</v>
      </c>
      <c r="K15" s="314"/>
      <c r="L15" s="316">
        <f>((D15*DATA!$D$23)/1000000)+((E15*DATA!$D$24)/1000000)</f>
        <v>113.72678399999999</v>
      </c>
      <c r="M15" s="316">
        <f t="shared" si="2"/>
        <v>113.72678399999999</v>
      </c>
      <c r="N15" s="316">
        <f t="shared" ca="1" si="6"/>
        <v>23.251175010188774</v>
      </c>
      <c r="O15" s="315">
        <f>1/(1+'[93]Asumsi I'!$C$3)^(KKF!A15)</f>
        <v>0.4038832279793691</v>
      </c>
      <c r="P15" s="316">
        <f t="shared" ca="1" si="7"/>
        <v>9.3907596174282819</v>
      </c>
      <c r="Q15" s="316">
        <f t="shared" ca="1" si="9"/>
        <v>83.146933377164672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78720</v>
      </c>
      <c r="D16" s="316">
        <f t="shared" si="5"/>
        <v>13120</v>
      </c>
      <c r="E16" s="316">
        <f t="shared" si="0"/>
        <v>65600</v>
      </c>
      <c r="F16" s="314"/>
      <c r="G16" s="318">
        <f ca="1">DATA!$D$11/1000000</f>
        <v>3.2130830963450001</v>
      </c>
      <c r="H16" s="318">
        <f>C16*DATA!$D$5/1000000</f>
        <v>85.342323612191905</v>
      </c>
      <c r="I16" s="318">
        <f>(C16*DATA!$D$5*DATA!$D$7)/1000000</f>
        <v>1.9202022812743178</v>
      </c>
      <c r="J16" s="316">
        <f t="shared" ca="1" si="1"/>
        <v>90.475608989811221</v>
      </c>
      <c r="K16" s="314"/>
      <c r="L16" s="316">
        <f>((D16*DATA!$D$23)/1000000)+((E16*DATA!$D$24)/1000000)</f>
        <v>113.72678399999999</v>
      </c>
      <c r="M16" s="316">
        <f t="shared" si="2"/>
        <v>113.72678399999999</v>
      </c>
      <c r="N16" s="316">
        <f t="shared" ca="1" si="6"/>
        <v>23.251175010188774</v>
      </c>
      <c r="O16" s="315">
        <f>1/(1+'[93]Asumsi I'!$C$3)^(KKF!A16)</f>
        <v>0.36061002498157957</v>
      </c>
      <c r="P16" s="316">
        <f t="shared" ca="1" si="7"/>
        <v>8.3846068012752522</v>
      </c>
      <c r="Q16" s="316">
        <f t="shared" ca="1" si="9"/>
        <v>91.531540178439926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78720</v>
      </c>
      <c r="D17" s="316">
        <f t="shared" si="5"/>
        <v>13120</v>
      </c>
      <c r="E17" s="316">
        <f t="shared" si="0"/>
        <v>65600</v>
      </c>
      <c r="F17" s="314"/>
      <c r="G17" s="318">
        <f ca="1">DATA!$D$11/1000000</f>
        <v>3.2130830963450001</v>
      </c>
      <c r="H17" s="318">
        <f>C17*DATA!$D$5/1000000</f>
        <v>85.342323612191905</v>
      </c>
      <c r="I17" s="318">
        <f>(C17*DATA!$D$5*DATA!$D$7)/1000000</f>
        <v>1.9202022812743178</v>
      </c>
      <c r="J17" s="316">
        <f t="shared" ca="1" si="1"/>
        <v>90.475608989811221</v>
      </c>
      <c r="K17" s="314"/>
      <c r="L17" s="316">
        <f>((D17*DATA!$D$23)/1000000)+((E17*DATA!$D$24)/1000000)</f>
        <v>113.72678399999999</v>
      </c>
      <c r="M17" s="316">
        <f t="shared" si="2"/>
        <v>113.72678399999999</v>
      </c>
      <c r="N17" s="316">
        <f t="shared" ca="1" si="6"/>
        <v>23.251175010188774</v>
      </c>
      <c r="O17" s="315">
        <f>1/(1+'[93]Asumsi I'!$C$3)^(KKF!A17)</f>
        <v>0.32197323659069599</v>
      </c>
      <c r="P17" s="316">
        <f t="shared" ca="1" si="7"/>
        <v>7.4862560725671887</v>
      </c>
      <c r="Q17" s="316">
        <f t="shared" ca="1" si="9"/>
        <v>99.017796251007113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78720</v>
      </c>
      <c r="D18" s="316">
        <f t="shared" si="5"/>
        <v>13120</v>
      </c>
      <c r="E18" s="316">
        <f t="shared" si="0"/>
        <v>65600</v>
      </c>
      <c r="F18" s="314"/>
      <c r="G18" s="318">
        <f ca="1">DATA!$D$11/1000000</f>
        <v>3.2130830963450001</v>
      </c>
      <c r="H18" s="318">
        <f>C18*DATA!$D$5/1000000</f>
        <v>85.342323612191905</v>
      </c>
      <c r="I18" s="318">
        <f>(C18*DATA!$D$5*DATA!$D$7)/1000000</f>
        <v>1.9202022812743178</v>
      </c>
      <c r="J18" s="316">
        <f t="shared" ca="1" si="1"/>
        <v>90.475608989811221</v>
      </c>
      <c r="K18" s="314"/>
      <c r="L18" s="316">
        <f>((D18*DATA!$D$23)/1000000)+((E18*DATA!$D$24)/1000000)</f>
        <v>113.72678399999999</v>
      </c>
      <c r="M18" s="316">
        <f t="shared" si="2"/>
        <v>113.72678399999999</v>
      </c>
      <c r="N18" s="316">
        <f t="shared" ca="1" si="6"/>
        <v>23.251175010188774</v>
      </c>
      <c r="O18" s="315">
        <f>1/(1+'[93]Asumsi I'!$C$3)^(KKF!A18)</f>
        <v>0.28747610409883567</v>
      </c>
      <c r="P18" s="316">
        <f t="shared" ca="1" si="7"/>
        <v>6.6841572076492746</v>
      </c>
      <c r="Q18" s="316">
        <f t="shared" ca="1" si="9"/>
        <v>105.70195345865639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78720</v>
      </c>
      <c r="D19" s="316">
        <f t="shared" si="5"/>
        <v>13120</v>
      </c>
      <c r="E19" s="316">
        <f t="shared" si="0"/>
        <v>65600</v>
      </c>
      <c r="F19" s="314"/>
      <c r="G19" s="318">
        <f ca="1">DATA!$D$11/1000000</f>
        <v>3.2130830963450001</v>
      </c>
      <c r="H19" s="318">
        <f>C19*DATA!$D$5/1000000</f>
        <v>85.342323612191905</v>
      </c>
      <c r="I19" s="318">
        <f>(C19*DATA!$D$5*DATA!$D$7)/1000000</f>
        <v>1.9202022812743178</v>
      </c>
      <c r="J19" s="316">
        <f t="shared" ca="1" si="1"/>
        <v>90.475608989811221</v>
      </c>
      <c r="K19" s="314"/>
      <c r="L19" s="316">
        <f>((D19*DATA!$D$23)/1000000)+((E19*DATA!$D$24)/1000000)</f>
        <v>113.72678399999999</v>
      </c>
      <c r="M19" s="316">
        <f t="shared" si="2"/>
        <v>113.72678399999999</v>
      </c>
      <c r="N19" s="316">
        <f t="shared" ca="1" si="6"/>
        <v>23.251175010188774</v>
      </c>
      <c r="O19" s="315">
        <f>1/(1+'[93]Asumsi I'!$C$3)^(KKF!A19)</f>
        <v>0.25667509294538904</v>
      </c>
      <c r="P19" s="316">
        <f t="shared" ca="1" si="7"/>
        <v>5.9679975068297102</v>
      </c>
      <c r="Q19" s="316">
        <f t="shared" ca="1" si="9"/>
        <v>111.66995096548609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78720</v>
      </c>
      <c r="D20" s="316">
        <f t="shared" si="5"/>
        <v>13120</v>
      </c>
      <c r="E20" s="316">
        <f t="shared" si="0"/>
        <v>65600</v>
      </c>
      <c r="F20" s="314"/>
      <c r="G20" s="318">
        <f ca="1">DATA!$D$11/1000000</f>
        <v>3.2130830963450001</v>
      </c>
      <c r="H20" s="318">
        <f>C20*DATA!$D$5/1000000</f>
        <v>85.342323612191905</v>
      </c>
      <c r="I20" s="318">
        <f>(C20*DATA!$D$5*DATA!$D$7)/1000000</f>
        <v>1.9202022812743178</v>
      </c>
      <c r="J20" s="316">
        <f t="shared" ca="1" si="1"/>
        <v>90.475608989811221</v>
      </c>
      <c r="K20" s="314"/>
      <c r="L20" s="316">
        <f>((D20*DATA!$D$23)/1000000)+((E20*DATA!$D$24)/1000000)</f>
        <v>113.72678399999999</v>
      </c>
      <c r="M20" s="316">
        <f t="shared" si="2"/>
        <v>113.72678399999999</v>
      </c>
      <c r="N20" s="316">
        <f t="shared" ca="1" si="6"/>
        <v>23.251175010188774</v>
      </c>
      <c r="O20" s="315">
        <f>1/(1+'[93]Asumsi I'!$C$3)^(KKF!A20)</f>
        <v>0.22917419012981158</v>
      </c>
      <c r="P20" s="316">
        <f t="shared" ca="1" si="7"/>
        <v>5.3285692025265261</v>
      </c>
      <c r="Q20" s="316">
        <f t="shared" ca="1" si="9"/>
        <v>116.99852016801262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78720</v>
      </c>
      <c r="D21" s="316">
        <f t="shared" si="5"/>
        <v>13120</v>
      </c>
      <c r="E21" s="316">
        <f t="shared" si="0"/>
        <v>65600</v>
      </c>
      <c r="F21" s="314"/>
      <c r="G21" s="318">
        <f ca="1">DATA!$D$11/1000000</f>
        <v>3.2130830963450001</v>
      </c>
      <c r="H21" s="318">
        <f>C21*DATA!$D$5/1000000</f>
        <v>85.342323612191905</v>
      </c>
      <c r="I21" s="318">
        <f>(C21*DATA!$D$5*DATA!$D$7)/1000000</f>
        <v>1.9202022812743178</v>
      </c>
      <c r="J21" s="316">
        <f t="shared" ca="1" si="1"/>
        <v>90.475608989811221</v>
      </c>
      <c r="K21" s="314"/>
      <c r="L21" s="316">
        <f>((D21*DATA!$D$23)/1000000)+((E21*DATA!$D$24)/1000000)</f>
        <v>113.72678399999999</v>
      </c>
      <c r="M21" s="316">
        <f t="shared" si="2"/>
        <v>113.72678399999999</v>
      </c>
      <c r="N21" s="316">
        <f t="shared" ca="1" si="6"/>
        <v>23.251175010188774</v>
      </c>
      <c r="O21" s="315">
        <f>1/(1+'[93]Asumsi I'!$C$3)^(KKF!A21)</f>
        <v>0.20461981261590317</v>
      </c>
      <c r="P21" s="316">
        <f t="shared" ca="1" si="7"/>
        <v>4.7576510736843973</v>
      </c>
      <c r="Q21" s="316">
        <f t="shared" ca="1" si="9"/>
        <v>121.75617124169702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78720</v>
      </c>
      <c r="D22" s="316">
        <f t="shared" si="5"/>
        <v>13120</v>
      </c>
      <c r="E22" s="316">
        <f t="shared" si="0"/>
        <v>65600</v>
      </c>
      <c r="F22" s="314"/>
      <c r="G22" s="318">
        <f ca="1">DATA!$D$11/1000000</f>
        <v>3.2130830963450001</v>
      </c>
      <c r="H22" s="318">
        <f>C22*DATA!$D$5/1000000</f>
        <v>85.342323612191905</v>
      </c>
      <c r="I22" s="318">
        <f>(C22*DATA!$D$5*DATA!$D$7)/1000000</f>
        <v>1.9202022812743178</v>
      </c>
      <c r="J22" s="316">
        <f t="shared" ca="1" si="1"/>
        <v>90.475608989811221</v>
      </c>
      <c r="K22" s="314"/>
      <c r="L22" s="316">
        <f>((D22*DATA!$D$23)/1000000)+((E22*DATA!$D$24)/1000000)</f>
        <v>113.72678399999999</v>
      </c>
      <c r="M22" s="316">
        <f t="shared" si="2"/>
        <v>113.72678399999999</v>
      </c>
      <c r="N22" s="316">
        <f t="shared" ca="1" si="6"/>
        <v>23.251175010188774</v>
      </c>
      <c r="O22" s="315">
        <f>1/(1+'[93]Asumsi I'!$C$3)^(KKF!A22)</f>
        <v>0.18269626126419927</v>
      </c>
      <c r="P22" s="316">
        <f t="shared" ca="1" si="7"/>
        <v>4.2479027443610695</v>
      </c>
      <c r="Q22" s="316">
        <f t="shared" ca="1" si="9"/>
        <v>126.00407398605809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78720</v>
      </c>
      <c r="D23" s="316">
        <f t="shared" si="5"/>
        <v>13120</v>
      </c>
      <c r="E23" s="316">
        <f t="shared" si="0"/>
        <v>65600</v>
      </c>
      <c r="F23" s="314"/>
      <c r="G23" s="318">
        <f ca="1">DATA!$D$11/1000000</f>
        <v>3.2130830963450001</v>
      </c>
      <c r="H23" s="318">
        <f>C23*DATA!$D$5/1000000</f>
        <v>85.342323612191905</v>
      </c>
      <c r="I23" s="318">
        <f>(C23*DATA!$D$5*DATA!$D$7)/1000000</f>
        <v>1.9202022812743178</v>
      </c>
      <c r="J23" s="316">
        <f t="shared" ca="1" si="1"/>
        <v>90.475608989811221</v>
      </c>
      <c r="K23" s="314"/>
      <c r="L23" s="316">
        <f>((D23*DATA!$D$23)/1000000)+((E23*DATA!$D$24)/1000000)</f>
        <v>113.72678399999999</v>
      </c>
      <c r="M23" s="316">
        <f t="shared" si="2"/>
        <v>113.72678399999999</v>
      </c>
      <c r="N23" s="316">
        <f t="shared" ca="1" si="6"/>
        <v>23.251175010188774</v>
      </c>
      <c r="O23" s="315">
        <f>1/(1+'[93]Asumsi I'!$C$3)^(KKF!A23)</f>
        <v>0.16312166184303503</v>
      </c>
      <c r="P23" s="316">
        <f t="shared" ca="1" si="7"/>
        <v>3.7927703074652399</v>
      </c>
      <c r="Q23" s="316">
        <f t="shared" ca="1" si="9"/>
        <v>129.79684429352332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78720</v>
      </c>
      <c r="D24" s="316">
        <f t="shared" si="5"/>
        <v>13120</v>
      </c>
      <c r="E24" s="316">
        <f t="shared" si="0"/>
        <v>65600</v>
      </c>
      <c r="F24" s="314"/>
      <c r="G24" s="318">
        <f ca="1">DATA!$D$11/1000000</f>
        <v>3.2130830963450001</v>
      </c>
      <c r="H24" s="318">
        <f>C24*DATA!$D$5/1000000</f>
        <v>85.342323612191905</v>
      </c>
      <c r="I24" s="318">
        <f>(C24*DATA!$D$5*DATA!$D$7)/1000000</f>
        <v>1.9202022812743178</v>
      </c>
      <c r="J24" s="316">
        <f t="shared" ca="1" si="1"/>
        <v>90.475608989811221</v>
      </c>
      <c r="K24" s="314"/>
      <c r="L24" s="316">
        <f>((D24*DATA!$D$23)/1000000)+((E24*DATA!$D$24)/1000000)</f>
        <v>113.72678399999999</v>
      </c>
      <c r="M24" s="316">
        <f t="shared" si="2"/>
        <v>113.72678399999999</v>
      </c>
      <c r="N24" s="316">
        <f t="shared" ca="1" si="6"/>
        <v>23.251175010188774</v>
      </c>
      <c r="O24" s="315">
        <f>1/(1+'[93]Asumsi I'!$C$3)^(KKF!A24)</f>
        <v>0.14564434093128129</v>
      </c>
      <c r="P24" s="316">
        <f t="shared" ca="1" si="7"/>
        <v>3.3864020602368212</v>
      </c>
      <c r="Q24" s="316">
        <f t="shared" ca="1" si="9"/>
        <v>133.18324635376015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78720</v>
      </c>
      <c r="D25" s="316">
        <f t="shared" si="5"/>
        <v>13120</v>
      </c>
      <c r="E25" s="316">
        <f t="shared" si="0"/>
        <v>65600</v>
      </c>
      <c r="F25" s="314"/>
      <c r="G25" s="318">
        <f ca="1">DATA!$D$11/1000000</f>
        <v>3.2130830963450001</v>
      </c>
      <c r="H25" s="318">
        <f>C25*DATA!$D$5/1000000</f>
        <v>85.342323612191905</v>
      </c>
      <c r="I25" s="318">
        <f>(C25*DATA!$D$5*DATA!$D$7)/1000000</f>
        <v>1.9202022812743178</v>
      </c>
      <c r="J25" s="316">
        <f t="shared" ca="1" si="1"/>
        <v>90.475608989811221</v>
      </c>
      <c r="K25" s="314"/>
      <c r="L25" s="316">
        <f>((D25*DATA!$D$23)/1000000)+((E25*DATA!$D$24)/1000000)</f>
        <v>113.72678399999999</v>
      </c>
      <c r="M25" s="316">
        <f t="shared" si="2"/>
        <v>113.72678399999999</v>
      </c>
      <c r="N25" s="316">
        <f t="shared" ca="1" si="6"/>
        <v>23.251175010188774</v>
      </c>
      <c r="O25" s="315">
        <f>1/(1+'[93]Asumsi I'!$C$3)^(KKF!A25)</f>
        <v>0.13003959011721541</v>
      </c>
      <c r="P25" s="316">
        <f t="shared" ca="1" si="7"/>
        <v>3.0235732680685903</v>
      </c>
      <c r="Q25" s="316">
        <f t="shared" ca="1" si="9"/>
        <v>136.20681962182874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78720</v>
      </c>
      <c r="D26" s="316">
        <f t="shared" si="5"/>
        <v>13120</v>
      </c>
      <c r="E26" s="316">
        <f t="shared" si="0"/>
        <v>65600</v>
      </c>
      <c r="F26" s="314"/>
      <c r="G26" s="318">
        <f ca="1">DATA!$D$11/1000000</f>
        <v>3.2130830963450001</v>
      </c>
      <c r="H26" s="318">
        <f>C26*DATA!$D$5/1000000</f>
        <v>85.342323612191905</v>
      </c>
      <c r="I26" s="318">
        <f>(C26*DATA!$D$5*DATA!$D$7)/1000000</f>
        <v>1.9202022812743178</v>
      </c>
      <c r="J26" s="316">
        <f t="shared" ca="1" si="1"/>
        <v>90.475608989811221</v>
      </c>
      <c r="K26" s="314"/>
      <c r="L26" s="316">
        <f>((D26*DATA!$D$23)/1000000)+((E26*DATA!$D$24)/1000000)</f>
        <v>113.72678399999999</v>
      </c>
      <c r="M26" s="316">
        <f t="shared" si="2"/>
        <v>113.72678399999999</v>
      </c>
      <c r="N26" s="316">
        <f t="shared" ca="1" si="6"/>
        <v>23.251175010188774</v>
      </c>
      <c r="O26" s="315">
        <f>1/(1+'[93]Asumsi I'!$C$3)^(KKF!A26)</f>
        <v>0.1161067768903709</v>
      </c>
      <c r="P26" s="316">
        <f t="shared" ca="1" si="7"/>
        <v>2.6996189893469551</v>
      </c>
      <c r="Q26" s="316">
        <f t="shared" ca="1" si="9"/>
        <v>138.9064386111757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78720</v>
      </c>
      <c r="D27" s="316">
        <f t="shared" si="5"/>
        <v>13120</v>
      </c>
      <c r="E27" s="316">
        <f t="shared" si="0"/>
        <v>65600</v>
      </c>
      <c r="F27" s="314"/>
      <c r="G27" s="318">
        <f ca="1">DATA!$D$11/1000000</f>
        <v>3.2130830963450001</v>
      </c>
      <c r="H27" s="318">
        <f>C27*DATA!$D$5/1000000</f>
        <v>85.342323612191905</v>
      </c>
      <c r="I27" s="318">
        <f>(C27*DATA!$D$5*DATA!$D$7)/1000000</f>
        <v>1.9202022812743178</v>
      </c>
      <c r="J27" s="316">
        <f t="shared" ca="1" si="1"/>
        <v>90.475608989811221</v>
      </c>
      <c r="K27" s="314"/>
      <c r="L27" s="316">
        <f>((D27*DATA!$D$23)/1000000)+((E27*DATA!$D$24)/1000000)</f>
        <v>113.72678399999999</v>
      </c>
      <c r="M27" s="316">
        <f t="shared" si="2"/>
        <v>113.72678399999999</v>
      </c>
      <c r="N27" s="316">
        <f t="shared" ca="1" si="6"/>
        <v>23.251175010188774</v>
      </c>
      <c r="O27" s="315">
        <f>1/(1+'[93]Asumsi I'!$C$3)^(KKF!A27)</f>
        <v>0.1036667650806883</v>
      </c>
      <c r="P27" s="316">
        <f t="shared" ca="1" si="7"/>
        <v>2.4103740976312098</v>
      </c>
      <c r="Q27" s="316">
        <f t="shared" ca="1" si="9"/>
        <v>141.31681270880691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78720</v>
      </c>
      <c r="D28" s="316">
        <f t="shared" si="5"/>
        <v>13120</v>
      </c>
      <c r="E28" s="316">
        <f t="shared" si="0"/>
        <v>65600</v>
      </c>
      <c r="F28" s="314"/>
      <c r="G28" s="318">
        <f ca="1">DATA!$D$11/1000000</f>
        <v>3.2130830963450001</v>
      </c>
      <c r="H28" s="318">
        <f>C28*DATA!$D$5/1000000</f>
        <v>85.342323612191905</v>
      </c>
      <c r="I28" s="318">
        <f>(C28*DATA!$D$5*DATA!$D$7)/1000000</f>
        <v>1.9202022812743178</v>
      </c>
      <c r="J28" s="316">
        <f t="shared" ca="1" si="1"/>
        <v>90.475608989811221</v>
      </c>
      <c r="K28" s="314"/>
      <c r="L28" s="316">
        <f>((D28*DATA!$D$23)/1000000)+((E28*DATA!$D$24)/1000000)</f>
        <v>113.72678399999999</v>
      </c>
      <c r="M28" s="316">
        <f t="shared" si="2"/>
        <v>113.72678399999999</v>
      </c>
      <c r="N28" s="316">
        <f t="shared" ca="1" si="6"/>
        <v>23.251175010188774</v>
      </c>
      <c r="O28" s="315">
        <f>1/(1+'[93]Asumsi I'!$C$3)^(KKF!A28)</f>
        <v>9.2559611679185971E-2</v>
      </c>
      <c r="P28" s="316">
        <f t="shared" ca="1" si="7"/>
        <v>2.1521197300278661</v>
      </c>
      <c r="Q28" s="316">
        <f t="shared" ca="1" si="9"/>
        <v>143.46893243883477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78720</v>
      </c>
      <c r="D29" s="316">
        <f t="shared" si="5"/>
        <v>13120</v>
      </c>
      <c r="E29" s="316">
        <f t="shared" si="0"/>
        <v>65600</v>
      </c>
      <c r="F29" s="314"/>
      <c r="G29" s="318">
        <f ca="1">DATA!$D$11/1000000</f>
        <v>3.2130830963450001</v>
      </c>
      <c r="H29" s="318">
        <f>C29*DATA!$D$5/1000000</f>
        <v>85.342323612191905</v>
      </c>
      <c r="I29" s="318">
        <f>(C29*DATA!$D$5*DATA!$D$7)/1000000</f>
        <v>1.9202022812743178</v>
      </c>
      <c r="J29" s="316">
        <f t="shared" ca="1" si="1"/>
        <v>90.475608989811221</v>
      </c>
      <c r="K29" s="314"/>
      <c r="L29" s="316">
        <f>((D29*DATA!$D$23)/1000000)+((E29*DATA!$D$24)/1000000)</f>
        <v>113.72678399999999</v>
      </c>
      <c r="M29" s="316">
        <f t="shared" si="2"/>
        <v>113.72678399999999</v>
      </c>
      <c r="N29" s="316">
        <f t="shared" ca="1" si="6"/>
        <v>23.251175010188774</v>
      </c>
      <c r="O29" s="315">
        <f>1/(1+'[93]Asumsi I'!$C$3)^(KKF!A29)</f>
        <v>8.2642510427844609E-2</v>
      </c>
      <c r="P29" s="316">
        <f t="shared" ca="1" si="7"/>
        <v>1.9215354732391658</v>
      </c>
      <c r="Q29" s="316">
        <f t="shared" ca="1" si="9"/>
        <v>145.39046791207394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78720</v>
      </c>
      <c r="D30" s="316">
        <f t="shared" si="5"/>
        <v>13120</v>
      </c>
      <c r="E30" s="316">
        <f t="shared" si="0"/>
        <v>65600</v>
      </c>
      <c r="F30" s="314"/>
      <c r="G30" s="318">
        <f ca="1">DATA!$D$11/1000000</f>
        <v>3.2130830963450001</v>
      </c>
      <c r="H30" s="318">
        <f>C30*DATA!$D$5/1000000</f>
        <v>85.342323612191905</v>
      </c>
      <c r="I30" s="318">
        <f>(C30*DATA!$D$5*DATA!$D$7)/1000000</f>
        <v>1.9202022812743178</v>
      </c>
      <c r="J30" s="316">
        <f t="shared" ca="1" si="1"/>
        <v>90.475608989811221</v>
      </c>
      <c r="K30" s="314"/>
      <c r="L30" s="316">
        <f>((D30*DATA!$D$23)/1000000)+((E30*DATA!$D$24)/1000000)</f>
        <v>113.72678399999999</v>
      </c>
      <c r="M30" s="316">
        <f t="shared" si="2"/>
        <v>113.72678399999999</v>
      </c>
      <c r="N30" s="316">
        <f t="shared" ca="1" si="6"/>
        <v>23.251175010188774</v>
      </c>
      <c r="O30" s="315">
        <f>1/(1+'[93]Asumsi I'!$C$3)^(KKF!A30)</f>
        <v>7.3787955739146982E-2</v>
      </c>
      <c r="P30" s="316">
        <f t="shared" ca="1" si="7"/>
        <v>1.7156566725349696</v>
      </c>
      <c r="Q30" s="316">
        <f t="shared" ca="1" si="9"/>
        <v>147.10612458460892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78720</v>
      </c>
      <c r="D31" s="316">
        <f t="shared" si="5"/>
        <v>13120</v>
      </c>
      <c r="E31" s="316">
        <f t="shared" si="0"/>
        <v>65600</v>
      </c>
      <c r="F31" s="314"/>
      <c r="G31" s="318">
        <f ca="1">DATA!$D$11/1000000</f>
        <v>3.2130830963450001</v>
      </c>
      <c r="H31" s="318">
        <f>C31*DATA!$D$5/1000000</f>
        <v>85.342323612191905</v>
      </c>
      <c r="I31" s="318">
        <f>(C31*DATA!$D$5*DATA!$D$7)/1000000</f>
        <v>1.9202022812743178</v>
      </c>
      <c r="J31" s="316">
        <f t="shared" ca="1" si="1"/>
        <v>90.475608989811221</v>
      </c>
      <c r="K31" s="314"/>
      <c r="L31" s="316">
        <f>((D31*DATA!$D$23)/1000000)+((E31*DATA!$D$24)/1000000)</f>
        <v>113.72678399999999</v>
      </c>
      <c r="M31" s="316">
        <f t="shared" si="2"/>
        <v>113.72678399999999</v>
      </c>
      <c r="N31" s="316">
        <f t="shared" ca="1" si="6"/>
        <v>23.251175010188774</v>
      </c>
      <c r="O31" s="315">
        <f>1/(1+'[93]Asumsi I'!$C$3)^(KKF!A31)</f>
        <v>6.5882103338524081E-2</v>
      </c>
      <c r="P31" s="316">
        <f t="shared" ca="1" si="7"/>
        <v>1.5318363147633656</v>
      </c>
      <c r="Q31" s="316">
        <f ca="1">Q30+P31</f>
        <v>148.63796089937227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78720</v>
      </c>
      <c r="D32" s="316">
        <f t="shared" si="5"/>
        <v>13120</v>
      </c>
      <c r="E32" s="316">
        <f t="shared" si="0"/>
        <v>65600</v>
      </c>
      <c r="F32" s="314"/>
      <c r="G32" s="318">
        <f ca="1">DATA!$D$11/1000000</f>
        <v>3.2130830963450001</v>
      </c>
      <c r="H32" s="318">
        <f>C32*DATA!$D$5/1000000</f>
        <v>85.342323612191905</v>
      </c>
      <c r="I32" s="318">
        <f>(C32*DATA!$D$5*DATA!$D$7)/1000000</f>
        <v>1.9202022812743178</v>
      </c>
      <c r="J32" s="316">
        <f t="shared" ca="1" si="1"/>
        <v>90.475608989811221</v>
      </c>
      <c r="K32" s="314"/>
      <c r="L32" s="316">
        <f>((D32*DATA!$D$23)/1000000)+((E32*DATA!$D$24)/1000000)</f>
        <v>113.72678399999999</v>
      </c>
      <c r="M32" s="316">
        <f t="shared" si="2"/>
        <v>113.72678399999999</v>
      </c>
      <c r="N32" s="316">
        <f t="shared" ca="1" si="6"/>
        <v>23.251175010188774</v>
      </c>
      <c r="O32" s="315">
        <f>1/(1+'[93]Asumsi I'!$C$3)^(KKF!A32)</f>
        <v>5.8823306552253637E-2</v>
      </c>
      <c r="P32" s="316">
        <f t="shared" ca="1" si="7"/>
        <v>1.3677109953244333</v>
      </c>
      <c r="Q32" s="316">
        <f ca="1">Q31+P32</f>
        <v>150.00567189469672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2440.3012169744525</v>
      </c>
      <c r="K33" s="619" t="s">
        <v>1375</v>
      </c>
      <c r="L33" s="619"/>
      <c r="M33" s="325">
        <f>SUM(M7:M32)</f>
        <v>2989.2240639999991</v>
      </c>
      <c r="N33" s="323"/>
      <c r="O33" s="323"/>
      <c r="P33" s="326"/>
      <c r="Q33" s="326"/>
      <c r="S33" s="304">
        <f ca="1">COUNTIF(S7:S32,"a")</f>
        <v>2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7.6732032747158865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1.8456671599963717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1.2249406111046057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133.93363562026491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0.71859206112766771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80"/>
  <sheetViews>
    <sheetView showGridLines="0" zoomScale="85" zoomScaleNormal="85" zoomScaleSheetLayoutView="70" workbookViewId="0">
      <pane ySplit="13" topLeftCell="A129" activePane="bottomLeft" state="frozen"/>
      <selection activeCell="H1093" sqref="H1093"/>
      <selection pane="bottomLeft" activeCell="I173" sqref="I17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2" t="s">
        <v>1036</v>
      </c>
      <c r="P3" s="622"/>
      <c r="Q3" s="346"/>
      <c r="T3" s="344"/>
      <c r="U3" s="345" t="s">
        <v>1041</v>
      </c>
      <c r="V3" s="344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9" t="str">
        <f>DATA!D14</f>
        <v>AGR UD SRI REJEKI</v>
      </c>
      <c r="H6" s="639"/>
      <c r="I6" s="639"/>
      <c r="J6" s="639"/>
      <c r="K6" s="63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5" t="s">
        <v>0</v>
      </c>
      <c r="C11" s="627" t="s">
        <v>1</v>
      </c>
      <c r="D11" s="630" t="s">
        <v>42</v>
      </c>
      <c r="E11" s="630" t="s">
        <v>43</v>
      </c>
      <c r="F11" s="630" t="s">
        <v>2</v>
      </c>
      <c r="G11" s="632" t="s">
        <v>41</v>
      </c>
      <c r="H11" s="630" t="s">
        <v>3</v>
      </c>
      <c r="I11" s="630"/>
      <c r="J11" s="630"/>
      <c r="K11" s="64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6"/>
      <c r="C12" s="628"/>
      <c r="D12" s="631"/>
      <c r="E12" s="631"/>
      <c r="F12" s="631"/>
      <c r="G12" s="633"/>
      <c r="H12" s="635" t="s">
        <v>46</v>
      </c>
      <c r="I12" s="635" t="s">
        <v>5</v>
      </c>
      <c r="J12" s="631" t="s">
        <v>47</v>
      </c>
      <c r="K12" s="650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1610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9" ca="1" si="4">IF(OR(D15="MDU",D15="MDU-KD"),(IF($O$3="RAB NON MDU","PLN KD",G15*F15)),0)</f>
        <v>0</v>
      </c>
      <c r="I15" s="361">
        <f t="shared" ref="I15:I19" ca="1" si="5">IF(D15="HDW",G15*F15,0)</f>
        <v>0</v>
      </c>
      <c r="J15" s="361">
        <f t="shared" ref="J15:J19" ca="1" si="6">IF(D15="JASA",G15*F15,0)</f>
        <v>0</v>
      </c>
      <c r="K15" s="362">
        <f t="shared" ref="K15:K19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4"/>
        <v>0</v>
      </c>
      <c r="I18" s="361">
        <f t="shared" ca="1" si="5"/>
        <v>0</v>
      </c>
      <c r="J18" s="361">
        <f t="shared" ca="1" si="6"/>
        <v>20133.333333333336</v>
      </c>
      <c r="K18" s="362">
        <f t="shared" ca="1" si="7"/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2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4"/>
        <v>0</v>
      </c>
      <c r="I19" s="361">
        <f t="shared" ca="1" si="5"/>
        <v>400000</v>
      </c>
      <c r="J19" s="361">
        <f t="shared" ca="1" si="6"/>
        <v>0</v>
      </c>
      <c r="K19" s="362">
        <f t="shared" ca="1" si="7"/>
        <v>400000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372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1611</v>
      </c>
      <c r="C21" s="367" t="s">
        <v>1612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146" ca="1" si="8">IF(OR(D21="MDU",D21="MDU-KD"),(IF($O$3="RAB NON MDU","PLN KD",G21*F21)),0)</f>
        <v>0</v>
      </c>
      <c r="I21" s="361">
        <f t="shared" ref="I21:I146" ca="1" si="9">IF(D21="HDW",G21*F21,0)</f>
        <v>0</v>
      </c>
      <c r="J21" s="361">
        <f t="shared" ref="J21:J146" ca="1" si="10">IF(D21="JASA",G21*F21,0)</f>
        <v>0</v>
      </c>
      <c r="K21" s="362">
        <f t="shared" ref="K21:K146" ca="1" si="11">SUM(H21:J21)</f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494"/>
      <c r="C22" s="495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0" ca="1" si="12">IF(OR(D22="MDU",D22="MDU-KD"),(IF($O$3="RAB NON MDU","PLN KD",G22*F22)),0)</f>
        <v>0</v>
      </c>
      <c r="I22" s="361">
        <f t="shared" ref="I22:I30" ca="1" si="13">IF(D22="HDW",G22*F22,0)</f>
        <v>0</v>
      </c>
      <c r="J22" s="361">
        <f t="shared" ref="J22:J30" ca="1" si="14">IF(D22="JASA",G22*F22,0)</f>
        <v>0</v>
      </c>
      <c r="K22" s="362">
        <f t="shared" ref="K22:K30" ca="1" si="15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4"/>
      <c r="C23" s="512" t="s">
        <v>1627</v>
      </c>
      <c r="D23" s="358"/>
      <c r="E23" s="359"/>
      <c r="F23" s="368"/>
      <c r="G23" s="360"/>
      <c r="H23" s="361"/>
      <c r="I23" s="361"/>
      <c r="J23" s="361"/>
      <c r="K23" s="362"/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13"/>
      <c r="C24" s="514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3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5" t="s">
        <v>1035</v>
      </c>
      <c r="C25" s="516" t="s">
        <v>1626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4">
        <v>3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5">
        <v>1</v>
      </c>
      <c r="C26" s="109" t="s">
        <v>1562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4">
        <f>F25*1</f>
        <v>3</v>
      </c>
      <c r="G26" s="360">
        <f ca="1">IF(ISERROR(OFFSET('HARGA SATUAN'!$I$6,MATCH(RAB!C26,'HARGA SATUAN'!$C$7:$C$1492,0),0)),0,OFFSET('HARGA SATUAN'!$I$6,MATCH(RAB!C26,'HARGA SATUAN'!$C$7:$C$1492,0),0))</f>
        <v>235900</v>
      </c>
      <c r="H26" s="361">
        <f t="shared" ca="1" si="12"/>
        <v>707700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707700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5">
        <v>2</v>
      </c>
      <c r="C27" s="516" t="s">
        <v>26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4">
        <f>F25*2</f>
        <v>6</v>
      </c>
      <c r="G27" s="360">
        <f ca="1">IF(ISERROR(OFFSET('HARGA SATUAN'!$I$6,MATCH(RAB!C27,'HARGA SATUAN'!$C$7:$C$1492,0),0)),0,OFFSET('HARGA SATUAN'!$I$6,MATCH(RAB!C27,'HARGA SATUAN'!$C$7:$C$1492,0),0))</f>
        <v>2500</v>
      </c>
      <c r="H27" s="361">
        <f t="shared" ca="1" si="12"/>
        <v>0</v>
      </c>
      <c r="I27" s="361">
        <f t="shared" ca="1" si="13"/>
        <v>15000</v>
      </c>
      <c r="J27" s="361">
        <f t="shared" ca="1" si="14"/>
        <v>0</v>
      </c>
      <c r="K27" s="362">
        <f t="shared" ca="1" si="15"/>
        <v>15000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5">
        <v>3</v>
      </c>
      <c r="C28" s="516" t="s">
        <v>38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4">
        <f>F26*1.8</f>
        <v>5.4</v>
      </c>
      <c r="G28" s="360">
        <f ca="1">IF(ISERROR(OFFSET('HARGA SATUAN'!$I$6,MATCH(RAB!C28,'HARGA SATUAN'!$C$7:$C$1492,0),0)),0,OFFSET('HARGA SATUAN'!$I$6,MATCH(RAB!C28,'HARGA SATUAN'!$C$7:$C$1492,0),0))</f>
        <v>8550</v>
      </c>
      <c r="H28" s="361">
        <f t="shared" ca="1" si="12"/>
        <v>0</v>
      </c>
      <c r="I28" s="361">
        <f t="shared" ca="1" si="13"/>
        <v>46170</v>
      </c>
      <c r="J28" s="361">
        <f t="shared" ca="1" si="14"/>
        <v>0</v>
      </c>
      <c r="K28" s="362">
        <f t="shared" ca="1" si="15"/>
        <v>46170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5">
        <v>4</v>
      </c>
      <c r="C29" s="516" t="s">
        <v>744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4">
        <f>F25*1</f>
        <v>3</v>
      </c>
      <c r="G29" s="360">
        <f ca="1">IF(ISERROR(OFFSET('HARGA SATUAN'!$I$6,MATCH(RAB!C29,'HARGA SATUAN'!$C$7:$C$1492,0),0)),0,OFFSET('HARGA SATUAN'!$I$6,MATCH(RAB!C29,'HARGA SATUAN'!$C$7:$C$1492,0),0))</f>
        <v>31200</v>
      </c>
      <c r="H29" s="361">
        <f t="shared" ca="1" si="12"/>
        <v>0</v>
      </c>
      <c r="I29" s="361">
        <f t="shared" ca="1" si="13"/>
        <v>0</v>
      </c>
      <c r="J29" s="361">
        <f t="shared" ca="1" si="14"/>
        <v>93600</v>
      </c>
      <c r="K29" s="362">
        <f t="shared" ca="1" si="15"/>
        <v>93600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3"/>
      <c r="C30" s="514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3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21" t="s">
        <v>1035</v>
      </c>
      <c r="C31" s="522" t="s">
        <v>1634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4">
        <v>3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:H38" ca="1" si="16">IF(OR(D31="MDU",D31="MDU-KD"),(IF($O$3="RAB NON MDU","PLN KD",G31*F31)),0)</f>
        <v>0</v>
      </c>
      <c r="I31" s="361">
        <f t="shared" ref="I31:I38" ca="1" si="17">IF(D31="HDW",G31*F31,0)</f>
        <v>0</v>
      </c>
      <c r="J31" s="361">
        <f t="shared" ref="J31:J38" ca="1" si="18">IF(D31="JASA",G31*F31,0)</f>
        <v>0</v>
      </c>
      <c r="K31" s="362">
        <f t="shared" ref="K31:K38" ca="1" si="19">SUM(H31:J31)</f>
        <v>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21">
        <v>1</v>
      </c>
      <c r="C32" s="109" t="s">
        <v>1563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Set</v>
      </c>
      <c r="F32" s="504">
        <f>F31*1</f>
        <v>3</v>
      </c>
      <c r="G32" s="360">
        <f ca="1">IF(ISERROR(OFFSET('HARGA SATUAN'!$I$6,MATCH(RAB!C32,'HARGA SATUAN'!$C$7:$C$1492,0),0)),0,OFFSET('HARGA SATUAN'!$I$6,MATCH(RAB!C32,'HARGA SATUAN'!$C$7:$C$1492,0),0))</f>
        <v>430000</v>
      </c>
      <c r="H32" s="361">
        <f t="shared" ca="1" si="16"/>
        <v>1290000</v>
      </c>
      <c r="I32" s="361">
        <f t="shared" ca="1" si="17"/>
        <v>0</v>
      </c>
      <c r="J32" s="361">
        <f t="shared" ca="1" si="18"/>
        <v>0</v>
      </c>
      <c r="K32" s="362">
        <f t="shared" ca="1" si="19"/>
        <v>1290000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21">
        <v>2</v>
      </c>
      <c r="C33" s="522" t="s">
        <v>223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4">
        <f>F31*1</f>
        <v>3</v>
      </c>
      <c r="G33" s="360">
        <f ca="1">IF(ISERROR(OFFSET('HARGA SATUAN'!$I$6,MATCH(RAB!C33,'HARGA SATUAN'!$C$7:$C$1492,0),0)),0,OFFSET('HARGA SATUAN'!$I$6,MATCH(RAB!C33,'HARGA SATUAN'!$C$7:$C$1492,0),0))</f>
        <v>27815</v>
      </c>
      <c r="H33" s="361">
        <f t="shared" ca="1" si="16"/>
        <v>0</v>
      </c>
      <c r="I33" s="361">
        <f t="shared" ca="1" si="17"/>
        <v>83445</v>
      </c>
      <c r="J33" s="361">
        <f t="shared" ca="1" si="18"/>
        <v>0</v>
      </c>
      <c r="K33" s="362">
        <f t="shared" ca="1" si="19"/>
        <v>83445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21">
        <v>3</v>
      </c>
      <c r="C34" s="522" t="s">
        <v>27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4">
        <f>F31*1</f>
        <v>3</v>
      </c>
      <c r="G34" s="360">
        <f ca="1">IF(ISERROR(OFFSET('HARGA SATUAN'!$I$6,MATCH(RAB!C34,'HARGA SATUAN'!$C$7:$C$1492,0),0)),0,OFFSET('HARGA SATUAN'!$I$6,MATCH(RAB!C34,'HARGA SATUAN'!$C$7:$C$1492,0),0))</f>
        <v>16000</v>
      </c>
      <c r="H34" s="361">
        <f t="shared" ca="1" si="16"/>
        <v>0</v>
      </c>
      <c r="I34" s="361">
        <f t="shared" ca="1" si="17"/>
        <v>48000</v>
      </c>
      <c r="J34" s="361">
        <f t="shared" ca="1" si="18"/>
        <v>0</v>
      </c>
      <c r="K34" s="362">
        <f t="shared" ca="1" si="19"/>
        <v>48000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21">
        <v>4</v>
      </c>
      <c r="C35" s="522" t="s">
        <v>26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4">
        <f>F31*1</f>
        <v>3</v>
      </c>
      <c r="G35" s="360">
        <f ca="1">IF(ISERROR(OFFSET('HARGA SATUAN'!$I$6,MATCH(RAB!C35,'HARGA SATUAN'!$C$7:$C$1492,0),0)),0,OFFSET('HARGA SATUAN'!$I$6,MATCH(RAB!C35,'HARGA SATUAN'!$C$7:$C$1492,0),0))</f>
        <v>2500</v>
      </c>
      <c r="H35" s="361">
        <f t="shared" ca="1" si="16"/>
        <v>0</v>
      </c>
      <c r="I35" s="361">
        <f t="shared" ca="1" si="17"/>
        <v>7500</v>
      </c>
      <c r="J35" s="361">
        <f t="shared" ca="1" si="18"/>
        <v>0</v>
      </c>
      <c r="K35" s="362">
        <f t="shared" ca="1" si="19"/>
        <v>7500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21">
        <v>5</v>
      </c>
      <c r="C36" s="522" t="s">
        <v>746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4">
        <f>F31*1</f>
        <v>3</v>
      </c>
      <c r="G36" s="360">
        <f ca="1">IF(ISERROR(OFFSET('HARGA SATUAN'!$I$6,MATCH(RAB!C36,'HARGA SATUAN'!$C$7:$C$1492,0),0)),0,OFFSET('HARGA SATUAN'!$I$6,MATCH(RAB!C36,'HARGA SATUAN'!$C$7:$C$1492,0),0))</f>
        <v>48800</v>
      </c>
      <c r="H36" s="361">
        <f t="shared" ca="1" si="16"/>
        <v>0</v>
      </c>
      <c r="I36" s="361">
        <f t="shared" ca="1" si="17"/>
        <v>0</v>
      </c>
      <c r="J36" s="361">
        <f t="shared" ca="1" si="18"/>
        <v>146400</v>
      </c>
      <c r="K36" s="362">
        <f t="shared" ca="1" si="19"/>
        <v>146400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13"/>
      <c r="C37" s="514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3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6"/>
        <v>0</v>
      </c>
      <c r="I37" s="361">
        <f t="shared" ca="1" si="17"/>
        <v>0</v>
      </c>
      <c r="J37" s="361">
        <f t="shared" ca="1" si="18"/>
        <v>0</v>
      </c>
      <c r="K37" s="362">
        <f t="shared" ca="1" si="19"/>
        <v>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13"/>
      <c r="C38" s="512" t="s">
        <v>1630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3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6"/>
        <v>0</v>
      </c>
      <c r="I38" s="361">
        <f t="shared" ca="1" si="17"/>
        <v>0</v>
      </c>
      <c r="J38" s="361">
        <f t="shared" ca="1" si="18"/>
        <v>0</v>
      </c>
      <c r="K38" s="362">
        <f t="shared" ca="1" si="19"/>
        <v>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15" t="s">
        <v>1035</v>
      </c>
      <c r="C39" s="516" t="s">
        <v>1628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503">
        <v>1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57" ca="1" si="20">IF(OR(D39="MDU",D39="MDU-KD"),(IF($O$3="RAB NON MDU","PLN KD",G39*F39)),0)</f>
        <v>0</v>
      </c>
      <c r="I39" s="361">
        <f t="shared" ref="I39:I57" ca="1" si="21">IF(D39="HDW",G39*F39,0)</f>
        <v>0</v>
      </c>
      <c r="J39" s="361">
        <f t="shared" ref="J39:J57" ca="1" si="22">IF(D39="JASA",G39*F39,0)</f>
        <v>0</v>
      </c>
      <c r="K39" s="362">
        <f t="shared" ref="K39:K57" ca="1" si="23">SUM(H39:J39)</f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15">
        <v>1</v>
      </c>
      <c r="C40" s="109" t="s">
        <v>1562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3">
        <f>F39*1</f>
        <v>1</v>
      </c>
      <c r="G40" s="360">
        <f ca="1">IF(ISERROR(OFFSET('HARGA SATUAN'!$I$6,MATCH(RAB!C40,'HARGA SATUAN'!$C$7:$C$1492,0),0)),0,OFFSET('HARGA SATUAN'!$I$6,MATCH(RAB!C40,'HARGA SATUAN'!$C$7:$C$1492,0),0))</f>
        <v>235900</v>
      </c>
      <c r="H40" s="361">
        <f t="shared" ca="1" si="20"/>
        <v>235900</v>
      </c>
      <c r="I40" s="361">
        <f t="shared" ca="1" si="21"/>
        <v>0</v>
      </c>
      <c r="J40" s="361">
        <f t="shared" ca="1" si="22"/>
        <v>0</v>
      </c>
      <c r="K40" s="362">
        <f t="shared" ca="1" si="23"/>
        <v>235900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15">
        <v>2</v>
      </c>
      <c r="C41" s="109" t="s">
        <v>1562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3">
        <f>F39*2</f>
        <v>2</v>
      </c>
      <c r="G41" s="360">
        <f ca="1">IF(ISERROR(OFFSET('HARGA SATUAN'!$I$6,MATCH(RAB!C41,'HARGA SATUAN'!$C$7:$C$1492,0),0)),0,OFFSET('HARGA SATUAN'!$I$6,MATCH(RAB!C41,'HARGA SATUAN'!$C$7:$C$1492,0),0))</f>
        <v>235900</v>
      </c>
      <c r="H41" s="361">
        <f t="shared" ca="1" si="20"/>
        <v>471800</v>
      </c>
      <c r="I41" s="361">
        <f t="shared" ca="1" si="21"/>
        <v>0</v>
      </c>
      <c r="J41" s="361">
        <f t="shared" ca="1" si="22"/>
        <v>0</v>
      </c>
      <c r="K41" s="362">
        <f t="shared" ca="1" si="23"/>
        <v>471800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15">
        <v>3</v>
      </c>
      <c r="C42" s="516" t="s">
        <v>28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3">
        <f>F39*3</f>
        <v>3</v>
      </c>
      <c r="G42" s="360">
        <f ca="1">IF(ISERROR(OFFSET('HARGA SATUAN'!$I$6,MATCH(RAB!C42,'HARGA SATUAN'!$C$7:$C$1492,0),0)),0,OFFSET('HARGA SATUAN'!$I$6,MATCH(RAB!C42,'HARGA SATUAN'!$C$7:$C$1492,0),0))</f>
        <v>26500</v>
      </c>
      <c r="H42" s="361">
        <f t="shared" ca="1" si="20"/>
        <v>0</v>
      </c>
      <c r="I42" s="361">
        <f t="shared" ca="1" si="21"/>
        <v>79500</v>
      </c>
      <c r="J42" s="361">
        <f t="shared" ca="1" si="22"/>
        <v>0</v>
      </c>
      <c r="K42" s="362">
        <f t="shared" ca="1" si="23"/>
        <v>79500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15">
        <v>4</v>
      </c>
      <c r="C43" s="516" t="s">
        <v>163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3">
        <f>F39*2</f>
        <v>2</v>
      </c>
      <c r="G43" s="360">
        <f ca="1">IF(ISERROR(OFFSET('HARGA SATUAN'!$I$6,MATCH(RAB!C43,'HARGA SATUAN'!$C$7:$C$1492,0),0)),0,OFFSET('HARGA SATUAN'!$I$6,MATCH(RAB!C43,'HARGA SATUAN'!$C$7:$C$1492,0),0))</f>
        <v>7938</v>
      </c>
      <c r="H43" s="361">
        <f t="shared" ca="1" si="20"/>
        <v>0</v>
      </c>
      <c r="I43" s="361">
        <f t="shared" ca="1" si="21"/>
        <v>15876</v>
      </c>
      <c r="J43" s="361">
        <f t="shared" ca="1" si="22"/>
        <v>0</v>
      </c>
      <c r="K43" s="362">
        <f t="shared" ca="1" si="23"/>
        <v>15876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15">
        <v>5</v>
      </c>
      <c r="C44" s="516" t="s">
        <v>168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F39*1</f>
        <v>1</v>
      </c>
      <c r="G44" s="360">
        <f ca="1">IF(ISERROR(OFFSET('HARGA SATUAN'!$I$6,MATCH(RAB!C44,'HARGA SATUAN'!$C$7:$C$1492,0),0)),0,OFFSET('HARGA SATUAN'!$I$6,MATCH(RAB!C44,'HARGA SATUAN'!$C$7:$C$1492,0),0))</f>
        <v>33600</v>
      </c>
      <c r="H44" s="361">
        <f t="shared" ca="1" si="20"/>
        <v>0</v>
      </c>
      <c r="I44" s="361">
        <f t="shared" ca="1" si="21"/>
        <v>33600</v>
      </c>
      <c r="J44" s="361">
        <f t="shared" ca="1" si="22"/>
        <v>0</v>
      </c>
      <c r="K44" s="362">
        <f t="shared" ca="1" si="23"/>
        <v>33600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15">
        <v>6</v>
      </c>
      <c r="C45" s="516" t="s">
        <v>173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3">
        <f>F39*2</f>
        <v>2</v>
      </c>
      <c r="G45" s="360">
        <f ca="1">IF(ISERROR(OFFSET('HARGA SATUAN'!$I$6,MATCH(RAB!C45,'HARGA SATUAN'!$C$7:$C$1492,0),0)),0,OFFSET('HARGA SATUAN'!$I$6,MATCH(RAB!C45,'HARGA SATUAN'!$C$7:$C$1492,0),0))</f>
        <v>45000</v>
      </c>
      <c r="H45" s="361">
        <f t="shared" ca="1" si="20"/>
        <v>0</v>
      </c>
      <c r="I45" s="361">
        <f t="shared" ca="1" si="21"/>
        <v>90000</v>
      </c>
      <c r="J45" s="361">
        <f t="shared" ca="1" si="22"/>
        <v>0</v>
      </c>
      <c r="K45" s="362">
        <f t="shared" ca="1" si="23"/>
        <v>90000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65" customFormat="1">
      <c r="A46" s="336"/>
      <c r="B46" s="515">
        <v>7</v>
      </c>
      <c r="C46" s="516" t="s">
        <v>178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F39*1</f>
        <v>1</v>
      </c>
      <c r="G46" s="360">
        <f ca="1">IF(ISERROR(OFFSET('HARGA SATUAN'!$I$6,MATCH(RAB!C46,'HARGA SATUAN'!$C$7:$C$1492,0),0)),0,OFFSET('HARGA SATUAN'!$I$6,MATCH(RAB!C46,'HARGA SATUAN'!$C$7:$C$1492,0),0))</f>
        <v>95000</v>
      </c>
      <c r="H46" s="361">
        <f t="shared" ca="1" si="20"/>
        <v>0</v>
      </c>
      <c r="I46" s="361">
        <f t="shared" ca="1" si="21"/>
        <v>95000</v>
      </c>
      <c r="J46" s="361">
        <f t="shared" ca="1" si="22"/>
        <v>0</v>
      </c>
      <c r="K46" s="362">
        <f t="shared" ca="1" si="23"/>
        <v>95000</v>
      </c>
      <c r="L46" s="342"/>
      <c r="M46" s="342"/>
      <c r="N46" s="369"/>
      <c r="O46" s="344"/>
      <c r="P46" s="397"/>
      <c r="Q46" s="344"/>
    </row>
    <row r="47" spans="1:22" s="365" customFormat="1">
      <c r="A47" s="336"/>
      <c r="B47" s="515">
        <v>8</v>
      </c>
      <c r="C47" s="516" t="s">
        <v>593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3">
        <f>F39*1</f>
        <v>1</v>
      </c>
      <c r="G47" s="360">
        <f ca="1">IF(ISERROR(OFFSET('HARGA SATUAN'!$I$6,MATCH(RAB!C47,'HARGA SATUAN'!$C$7:$C$1492,0),0)),0,OFFSET('HARGA SATUAN'!$I$6,MATCH(RAB!C47,'HARGA SATUAN'!$C$7:$C$1492,0),0))</f>
        <v>380500</v>
      </c>
      <c r="H47" s="361">
        <f t="shared" ca="1" si="20"/>
        <v>0</v>
      </c>
      <c r="I47" s="361">
        <f t="shared" ca="1" si="21"/>
        <v>380500</v>
      </c>
      <c r="J47" s="361">
        <f t="shared" ca="1" si="22"/>
        <v>0</v>
      </c>
      <c r="K47" s="362">
        <f t="shared" ca="1" si="23"/>
        <v>380500</v>
      </c>
      <c r="L47" s="342"/>
      <c r="M47" s="342"/>
      <c r="N47" s="369"/>
      <c r="O47" s="344"/>
      <c r="P47" s="397"/>
      <c r="Q47" s="344"/>
    </row>
    <row r="48" spans="1:22" s="365" customFormat="1">
      <c r="A48" s="336"/>
      <c r="B48" s="515">
        <v>9</v>
      </c>
      <c r="C48" s="516" t="s">
        <v>217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3">
        <f>F39*4</f>
        <v>4</v>
      </c>
      <c r="G48" s="360">
        <f ca="1">IF(ISERROR(OFFSET('HARGA SATUAN'!$I$6,MATCH(RAB!C48,'HARGA SATUAN'!$C$7:$C$1492,0),0)),0,OFFSET('HARGA SATUAN'!$I$6,MATCH(RAB!C48,'HARGA SATUAN'!$C$7:$C$1492,0),0))</f>
        <v>11400</v>
      </c>
      <c r="H48" s="361">
        <f t="shared" ca="1" si="20"/>
        <v>0</v>
      </c>
      <c r="I48" s="361">
        <f t="shared" ca="1" si="21"/>
        <v>45600</v>
      </c>
      <c r="J48" s="361">
        <f t="shared" ca="1" si="22"/>
        <v>0</v>
      </c>
      <c r="K48" s="362">
        <f t="shared" ca="1" si="23"/>
        <v>45600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5">
        <v>10</v>
      </c>
      <c r="C49" s="516" t="s">
        <v>247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3">
        <f>F39*1</f>
        <v>1</v>
      </c>
      <c r="G49" s="360">
        <f ca="1">IF(ISERROR(OFFSET('HARGA SATUAN'!$I$6,MATCH(RAB!C49,'HARGA SATUAN'!$C$7:$C$1492,0),0)),0,OFFSET('HARGA SATUAN'!$I$6,MATCH(RAB!C49,'HARGA SATUAN'!$C$7:$C$1492,0),0))</f>
        <v>57690</v>
      </c>
      <c r="H49" s="361">
        <f t="shared" ca="1" si="20"/>
        <v>0</v>
      </c>
      <c r="I49" s="361">
        <f t="shared" ca="1" si="21"/>
        <v>57690</v>
      </c>
      <c r="J49" s="361">
        <f t="shared" ca="1" si="22"/>
        <v>0</v>
      </c>
      <c r="K49" s="362">
        <f t="shared" ca="1" si="23"/>
        <v>57690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5">
        <v>11</v>
      </c>
      <c r="C50" s="516" t="s">
        <v>264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3">
        <f>F39*1</f>
        <v>1</v>
      </c>
      <c r="G50" s="360">
        <f ca="1">IF(ISERROR(OFFSET('HARGA SATUAN'!$I$6,MATCH(RAB!C50,'HARGA SATUAN'!$C$7:$C$1492,0),0)),0,OFFSET('HARGA SATUAN'!$I$6,MATCH(RAB!C50,'HARGA SATUAN'!$C$7:$C$1492,0),0))</f>
        <v>28000</v>
      </c>
      <c r="H50" s="361">
        <f t="shared" ca="1" si="20"/>
        <v>0</v>
      </c>
      <c r="I50" s="361">
        <f t="shared" ca="1" si="21"/>
        <v>28000</v>
      </c>
      <c r="J50" s="361">
        <f t="shared" ca="1" si="22"/>
        <v>0</v>
      </c>
      <c r="K50" s="362">
        <f t="shared" ca="1" si="23"/>
        <v>28000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5">
        <v>12</v>
      </c>
      <c r="C51" s="516" t="s">
        <v>38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3">
        <f>6.2*F39</f>
        <v>6.2</v>
      </c>
      <c r="G51" s="360">
        <f ca="1">IF(ISERROR(OFFSET('HARGA SATUAN'!$I$6,MATCH(RAB!C51,'HARGA SATUAN'!$C$7:$C$1492,0),0)),0,OFFSET('HARGA SATUAN'!$I$6,MATCH(RAB!C51,'HARGA SATUAN'!$C$7:$C$1492,0),0))</f>
        <v>8550</v>
      </c>
      <c r="H51" s="361">
        <f t="shared" ca="1" si="20"/>
        <v>0</v>
      </c>
      <c r="I51" s="361">
        <f t="shared" ca="1" si="21"/>
        <v>53010</v>
      </c>
      <c r="J51" s="361">
        <f t="shared" ca="1" si="22"/>
        <v>0</v>
      </c>
      <c r="K51" s="362">
        <f t="shared" ca="1" si="23"/>
        <v>53010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5">
        <v>13</v>
      </c>
      <c r="C52" s="516" t="s">
        <v>26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3">
        <f>F39*5</f>
        <v>5</v>
      </c>
      <c r="G52" s="360">
        <f ca="1">IF(ISERROR(OFFSET('HARGA SATUAN'!$I$6,MATCH(RAB!C52,'HARGA SATUAN'!$C$7:$C$1492,0),0)),0,OFFSET('HARGA SATUAN'!$I$6,MATCH(RAB!C52,'HARGA SATUAN'!$C$7:$C$1492,0),0))</f>
        <v>2500</v>
      </c>
      <c r="H52" s="361">
        <f t="shared" ca="1" si="20"/>
        <v>0</v>
      </c>
      <c r="I52" s="361">
        <f t="shared" ca="1" si="21"/>
        <v>12500</v>
      </c>
      <c r="J52" s="361">
        <f t="shared" ca="1" si="22"/>
        <v>0</v>
      </c>
      <c r="K52" s="362">
        <f t="shared" ca="1" si="23"/>
        <v>12500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5">
        <v>14</v>
      </c>
      <c r="C53" s="516" t="s">
        <v>687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3">
        <f>F39*1</f>
        <v>1</v>
      </c>
      <c r="G53" s="360">
        <f ca="1">IF(ISERROR(OFFSET('HARGA SATUAN'!$I$6,MATCH(RAB!C53,'HARGA SATUAN'!$C$7:$C$1492,0),0)),0,OFFSET('HARGA SATUAN'!$I$6,MATCH(RAB!C53,'HARGA SATUAN'!$C$7:$C$1492,0),0))</f>
        <v>111000</v>
      </c>
      <c r="H53" s="361">
        <f t="shared" ca="1" si="20"/>
        <v>0</v>
      </c>
      <c r="I53" s="361">
        <f t="shared" ca="1" si="21"/>
        <v>0</v>
      </c>
      <c r="J53" s="361">
        <f t="shared" ca="1" si="22"/>
        <v>111000</v>
      </c>
      <c r="K53" s="362">
        <f t="shared" ca="1" si="23"/>
        <v>111000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499"/>
      <c r="C54" s="500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3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5" t="s">
        <v>1035</v>
      </c>
      <c r="C55" s="516" t="s">
        <v>1629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17"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5">
        <v>1</v>
      </c>
      <c r="C56" s="109" t="s">
        <v>1563</v>
      </c>
      <c r="D56" s="358" t="str">
        <f ca="1">IF(ISERROR(OFFSET('HARGA SATUAN'!$D$6,MATCH(RAB!C56,'HARGA SATUAN'!$C$7:$C$1492,0),0)),"",OFFSET('HARGA SATUAN'!$D$6,MATCH(RAB!C56,'HARGA SATUAN'!$C$7:$C$1492,0),0))</f>
        <v>MDU-KD</v>
      </c>
      <c r="E56" s="359" t="str">
        <f ca="1">IF(B56="+","Unit",IF(ISERROR(OFFSET('HARGA SATUAN'!$E$6,MATCH(RAB!C56,'HARGA SATUAN'!$C$7:$C$1492,0),0)),"",OFFSET('HARGA SATUAN'!$E$6,MATCH(RAB!C56,'HARGA SATUAN'!$C$7:$C$1492,0),0)))</f>
        <v>Set</v>
      </c>
      <c r="F56" s="517">
        <f>F55*3</f>
        <v>3</v>
      </c>
      <c r="G56" s="360">
        <f ca="1">IF(ISERROR(OFFSET('HARGA SATUAN'!$I$6,MATCH(RAB!C56,'HARGA SATUAN'!$C$7:$C$1492,0),0)),0,OFFSET('HARGA SATUAN'!$I$6,MATCH(RAB!C56,'HARGA SATUAN'!$C$7:$C$1492,0),0))</f>
        <v>430000</v>
      </c>
      <c r="H56" s="361">
        <f t="shared" ca="1" si="20"/>
        <v>1290000</v>
      </c>
      <c r="I56" s="361">
        <f t="shared" ca="1" si="21"/>
        <v>0</v>
      </c>
      <c r="J56" s="361">
        <f t="shared" ca="1" si="22"/>
        <v>0</v>
      </c>
      <c r="K56" s="362">
        <f t="shared" ca="1" si="23"/>
        <v>1290000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5">
        <v>2</v>
      </c>
      <c r="C57" s="516" t="s">
        <v>152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517">
        <f>F55*1</f>
        <v>1</v>
      </c>
      <c r="G57" s="360">
        <f ca="1">IF(ISERROR(OFFSET('HARGA SATUAN'!$I$6,MATCH(RAB!C57,'HARGA SATUAN'!$C$7:$C$1492,0),0)),0,OFFSET('HARGA SATUAN'!$I$6,MATCH(RAB!C57,'HARGA SATUAN'!$C$7:$C$1492,0),0))</f>
        <v>7789</v>
      </c>
      <c r="H57" s="361">
        <f t="shared" ca="1" si="20"/>
        <v>0</v>
      </c>
      <c r="I57" s="361">
        <f t="shared" ca="1" si="21"/>
        <v>7789</v>
      </c>
      <c r="J57" s="361">
        <f t="shared" ca="1" si="22"/>
        <v>0</v>
      </c>
      <c r="K57" s="362">
        <f t="shared" ca="1" si="23"/>
        <v>7789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5">
        <v>3</v>
      </c>
      <c r="C58" s="516" t="s">
        <v>157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7">
        <f>F55*2</f>
        <v>2</v>
      </c>
      <c r="G58" s="360">
        <f ca="1">IF(ISERROR(OFFSET('HARGA SATUAN'!$I$6,MATCH(RAB!C58,'HARGA SATUAN'!$C$7:$C$1492,0),0)),0,OFFSET('HARGA SATUAN'!$I$6,MATCH(RAB!C58,'HARGA SATUAN'!$C$7:$C$1492,0),0))</f>
        <v>40000</v>
      </c>
      <c r="H58" s="361">
        <f t="shared" ref="H58:H74" ca="1" si="24">IF(OR(D58="MDU",D58="MDU-KD"),(IF($O$3="RAB NON MDU","PLN KD",G58*F58)),0)</f>
        <v>0</v>
      </c>
      <c r="I58" s="361">
        <f t="shared" ref="I58:I74" ca="1" si="25">IF(D58="HDW",G58*F58,0)</f>
        <v>80000</v>
      </c>
      <c r="J58" s="361">
        <f t="shared" ref="J58:J74" ca="1" si="26">IF(D58="JASA",G58*F58,0)</f>
        <v>0</v>
      </c>
      <c r="K58" s="362">
        <f t="shared" ref="K58:K74" ca="1" si="27">SUM(H58:J58)</f>
        <v>80000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5">
        <v>4</v>
      </c>
      <c r="C59" s="516" t="s">
        <v>28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7">
        <f>F55*1</f>
        <v>1</v>
      </c>
      <c r="G59" s="360">
        <f ca="1">IF(ISERROR(OFFSET('HARGA SATUAN'!$I$6,MATCH(RAB!C59,'HARGA SATUAN'!$C$7:$C$1492,0),0)),0,OFFSET('HARGA SATUAN'!$I$6,MATCH(RAB!C59,'HARGA SATUAN'!$C$7:$C$1492,0),0))</f>
        <v>26500</v>
      </c>
      <c r="H59" s="361">
        <f t="shared" ca="1" si="24"/>
        <v>0</v>
      </c>
      <c r="I59" s="361">
        <f t="shared" ca="1" si="25"/>
        <v>26500</v>
      </c>
      <c r="J59" s="361">
        <f t="shared" ca="1" si="26"/>
        <v>0</v>
      </c>
      <c r="K59" s="362">
        <f t="shared" ca="1" si="27"/>
        <v>26500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5">
        <v>5</v>
      </c>
      <c r="C60" s="516" t="s">
        <v>163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7">
        <f>F55*4</f>
        <v>4</v>
      </c>
      <c r="G60" s="360">
        <f ca="1">IF(ISERROR(OFFSET('HARGA SATUAN'!$I$6,MATCH(RAB!C60,'HARGA SATUAN'!$C$7:$C$1492,0),0)),0,OFFSET('HARGA SATUAN'!$I$6,MATCH(RAB!C60,'HARGA SATUAN'!$C$7:$C$1492,0),0))</f>
        <v>7938</v>
      </c>
      <c r="H60" s="361">
        <f t="shared" ca="1" si="24"/>
        <v>0</v>
      </c>
      <c r="I60" s="361">
        <f t="shared" ca="1" si="25"/>
        <v>31752</v>
      </c>
      <c r="J60" s="361">
        <f t="shared" ca="1" si="26"/>
        <v>0</v>
      </c>
      <c r="K60" s="362">
        <f t="shared" ca="1" si="27"/>
        <v>31752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5">
        <v>6</v>
      </c>
      <c r="C61" s="516" t="s">
        <v>173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7">
        <f>F55*4</f>
        <v>4</v>
      </c>
      <c r="G61" s="360">
        <f ca="1">IF(ISERROR(OFFSET('HARGA SATUAN'!$I$6,MATCH(RAB!C61,'HARGA SATUAN'!$C$7:$C$1492,0),0)),0,OFFSET('HARGA SATUAN'!$I$6,MATCH(RAB!C61,'HARGA SATUAN'!$C$7:$C$1492,0),0))</f>
        <v>45000</v>
      </c>
      <c r="H61" s="361">
        <f t="shared" ca="1" si="24"/>
        <v>0</v>
      </c>
      <c r="I61" s="361">
        <f t="shared" ca="1" si="25"/>
        <v>180000</v>
      </c>
      <c r="J61" s="361">
        <f t="shared" ca="1" si="26"/>
        <v>0</v>
      </c>
      <c r="K61" s="362">
        <f t="shared" ca="1" si="27"/>
        <v>180000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5">
        <v>7</v>
      </c>
      <c r="C62" s="516" t="s">
        <v>179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7">
        <f>F55*1</f>
        <v>1</v>
      </c>
      <c r="G62" s="360">
        <f ca="1">IF(ISERROR(OFFSET('HARGA SATUAN'!$I$6,MATCH(RAB!C62,'HARGA SATUAN'!$C$7:$C$1492,0),0)),0,OFFSET('HARGA SATUAN'!$I$6,MATCH(RAB!C62,'HARGA SATUAN'!$C$7:$C$1492,0),0))</f>
        <v>15500</v>
      </c>
      <c r="H62" s="361">
        <f t="shared" ca="1" si="24"/>
        <v>0</v>
      </c>
      <c r="I62" s="361">
        <f t="shared" ca="1" si="25"/>
        <v>15500</v>
      </c>
      <c r="J62" s="361">
        <f t="shared" ca="1" si="26"/>
        <v>0</v>
      </c>
      <c r="K62" s="362">
        <f t="shared" ca="1" si="27"/>
        <v>15500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5">
        <v>8</v>
      </c>
      <c r="C63" s="516" t="s">
        <v>593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17">
        <f>F55*2</f>
        <v>2</v>
      </c>
      <c r="G63" s="360">
        <f ca="1">IF(ISERROR(OFFSET('HARGA SATUAN'!$I$6,MATCH(RAB!C63,'HARGA SATUAN'!$C$7:$C$1492,0),0)),0,OFFSET('HARGA SATUAN'!$I$6,MATCH(RAB!C63,'HARGA SATUAN'!$C$7:$C$1492,0),0))</f>
        <v>380500</v>
      </c>
      <c r="H63" s="361">
        <f t="shared" ca="1" si="24"/>
        <v>0</v>
      </c>
      <c r="I63" s="361">
        <f t="shared" ca="1" si="25"/>
        <v>761000</v>
      </c>
      <c r="J63" s="361">
        <f t="shared" ca="1" si="26"/>
        <v>0</v>
      </c>
      <c r="K63" s="362">
        <f t="shared" ca="1" si="27"/>
        <v>761000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5">
        <v>9</v>
      </c>
      <c r="C64" s="516" t="s">
        <v>217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17">
        <f>F55*4</f>
        <v>4</v>
      </c>
      <c r="G64" s="360">
        <f ca="1">IF(ISERROR(OFFSET('HARGA SATUAN'!$I$6,MATCH(RAB!C64,'HARGA SATUAN'!$C$7:$C$1492,0),0)),0,OFFSET('HARGA SATUAN'!$I$6,MATCH(RAB!C64,'HARGA SATUAN'!$C$7:$C$1492,0),0))</f>
        <v>11400</v>
      </c>
      <c r="H64" s="361">
        <f t="shared" ca="1" si="24"/>
        <v>0</v>
      </c>
      <c r="I64" s="361">
        <f t="shared" ca="1" si="25"/>
        <v>45600</v>
      </c>
      <c r="J64" s="361">
        <f t="shared" ca="1" si="26"/>
        <v>0</v>
      </c>
      <c r="K64" s="362">
        <f t="shared" ca="1" si="27"/>
        <v>45600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5">
        <v>10</v>
      </c>
      <c r="C65" s="516" t="s">
        <v>218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7">
        <f>F55*2</f>
        <v>2</v>
      </c>
      <c r="G65" s="360">
        <f ca="1">IF(ISERROR(OFFSET('HARGA SATUAN'!$I$6,MATCH(RAB!C65,'HARGA SATUAN'!$C$7:$C$1492,0),0)),0,OFFSET('HARGA SATUAN'!$I$6,MATCH(RAB!C65,'HARGA SATUAN'!$C$7:$C$1492,0),0))</f>
        <v>29600</v>
      </c>
      <c r="H65" s="361">
        <f t="shared" ca="1" si="24"/>
        <v>0</v>
      </c>
      <c r="I65" s="361">
        <f t="shared" ca="1" si="25"/>
        <v>59200</v>
      </c>
      <c r="J65" s="361">
        <f t="shared" ca="1" si="26"/>
        <v>0</v>
      </c>
      <c r="K65" s="362">
        <f t="shared" ca="1" si="27"/>
        <v>59200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5">
        <v>11</v>
      </c>
      <c r="C66" s="516" t="s">
        <v>223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7">
        <f>F55*1</f>
        <v>1</v>
      </c>
      <c r="G66" s="360">
        <f ca="1">IF(ISERROR(OFFSET('HARGA SATUAN'!$I$6,MATCH(RAB!C66,'HARGA SATUAN'!$C$7:$C$1492,0),0)),0,OFFSET('HARGA SATUAN'!$I$6,MATCH(RAB!C66,'HARGA SATUAN'!$C$7:$C$1492,0),0))</f>
        <v>27815</v>
      </c>
      <c r="H66" s="361">
        <f t="shared" ca="1" si="24"/>
        <v>0</v>
      </c>
      <c r="I66" s="361">
        <f t="shared" ca="1" si="25"/>
        <v>27815</v>
      </c>
      <c r="J66" s="361">
        <f t="shared" ca="1" si="26"/>
        <v>0</v>
      </c>
      <c r="K66" s="362">
        <f t="shared" ca="1" si="27"/>
        <v>27815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5">
        <v>12</v>
      </c>
      <c r="C67" s="516" t="s">
        <v>25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17">
        <f>F55*3</f>
        <v>3</v>
      </c>
      <c r="G67" s="360">
        <f ca="1">IF(ISERROR(OFFSET('HARGA SATUAN'!$I$6,MATCH(RAB!C67,'HARGA SATUAN'!$C$7:$C$1492,0),0)),0,OFFSET('HARGA SATUAN'!$I$6,MATCH(RAB!C67,'HARGA SATUAN'!$C$7:$C$1492,0),0))</f>
        <v>23936</v>
      </c>
      <c r="H67" s="361">
        <f t="shared" ca="1" si="24"/>
        <v>0</v>
      </c>
      <c r="I67" s="361">
        <f t="shared" ca="1" si="25"/>
        <v>71808</v>
      </c>
      <c r="J67" s="361">
        <f t="shared" ca="1" si="26"/>
        <v>0</v>
      </c>
      <c r="K67" s="362">
        <f t="shared" ca="1" si="27"/>
        <v>71808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15">
        <v>13</v>
      </c>
      <c r="C68" s="516" t="s">
        <v>37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17">
        <f>F55*1</f>
        <v>1</v>
      </c>
      <c r="G68" s="360">
        <f ca="1">IF(ISERROR(OFFSET('HARGA SATUAN'!$I$6,MATCH(RAB!C68,'HARGA SATUAN'!$C$7:$C$1492,0),0)),0,OFFSET('HARGA SATUAN'!$I$6,MATCH(RAB!C68,'HARGA SATUAN'!$C$7:$C$1492,0),0))</f>
        <v>63500</v>
      </c>
      <c r="H68" s="361">
        <f t="shared" ca="1" si="24"/>
        <v>0</v>
      </c>
      <c r="I68" s="361">
        <f t="shared" ca="1" si="25"/>
        <v>63500</v>
      </c>
      <c r="J68" s="361">
        <f t="shared" ca="1" si="26"/>
        <v>0</v>
      </c>
      <c r="K68" s="362">
        <f t="shared" ca="1" si="27"/>
        <v>63500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5">
        <v>14</v>
      </c>
      <c r="C69" s="516" t="s">
        <v>247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17">
        <f>F55*1</f>
        <v>1</v>
      </c>
      <c r="G69" s="360">
        <f ca="1">IF(ISERROR(OFFSET('HARGA SATUAN'!$I$6,MATCH(RAB!C69,'HARGA SATUAN'!$C$7:$C$1492,0),0)),0,OFFSET('HARGA SATUAN'!$I$6,MATCH(RAB!C69,'HARGA SATUAN'!$C$7:$C$1492,0),0))</f>
        <v>57690</v>
      </c>
      <c r="H69" s="361">
        <f t="shared" ca="1" si="24"/>
        <v>0</v>
      </c>
      <c r="I69" s="361">
        <f t="shared" ca="1" si="25"/>
        <v>57690</v>
      </c>
      <c r="J69" s="361">
        <f t="shared" ca="1" si="26"/>
        <v>0</v>
      </c>
      <c r="K69" s="362">
        <f t="shared" ca="1" si="27"/>
        <v>57690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5">
        <v>15</v>
      </c>
      <c r="C70" s="516" t="s">
        <v>27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17">
        <f>F55*3</f>
        <v>3</v>
      </c>
      <c r="G70" s="360">
        <f ca="1">IF(ISERROR(OFFSET('HARGA SATUAN'!$I$6,MATCH(RAB!C70,'HARGA SATUAN'!$C$7:$C$1492,0),0)),0,OFFSET('HARGA SATUAN'!$I$6,MATCH(RAB!C70,'HARGA SATUAN'!$C$7:$C$1492,0),0))</f>
        <v>16000</v>
      </c>
      <c r="H70" s="361">
        <f t="shared" ca="1" si="24"/>
        <v>0</v>
      </c>
      <c r="I70" s="361">
        <f t="shared" ca="1" si="25"/>
        <v>48000</v>
      </c>
      <c r="J70" s="361">
        <f t="shared" ca="1" si="26"/>
        <v>0</v>
      </c>
      <c r="K70" s="362">
        <f t="shared" ca="1" si="27"/>
        <v>48000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5">
        <v>16</v>
      </c>
      <c r="C71" s="516" t="s">
        <v>265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7">
        <f>F55*1</f>
        <v>1</v>
      </c>
      <c r="G71" s="360">
        <f ca="1">IF(ISERROR(OFFSET('HARGA SATUAN'!$I$6,MATCH(RAB!C71,'HARGA SATUAN'!$C$7:$C$1492,0),0)),0,OFFSET('HARGA SATUAN'!$I$6,MATCH(RAB!C71,'HARGA SATUAN'!$C$7:$C$1492,0),0))</f>
        <v>33501.866666666669</v>
      </c>
      <c r="H71" s="361">
        <f t="shared" ca="1" si="24"/>
        <v>0</v>
      </c>
      <c r="I71" s="361">
        <f t="shared" ca="1" si="25"/>
        <v>33501.866666666669</v>
      </c>
      <c r="J71" s="361">
        <f t="shared" ca="1" si="26"/>
        <v>0</v>
      </c>
      <c r="K71" s="362">
        <f t="shared" ca="1" si="27"/>
        <v>33501.866666666669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5">
        <v>17</v>
      </c>
      <c r="C72" s="516" t="s">
        <v>26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17">
        <f>F55*11</f>
        <v>11</v>
      </c>
      <c r="G72" s="360">
        <f ca="1">IF(ISERROR(OFFSET('HARGA SATUAN'!$I$6,MATCH(RAB!C72,'HARGA SATUAN'!$C$7:$C$1492,0),0)),0,OFFSET('HARGA SATUAN'!$I$6,MATCH(RAB!C72,'HARGA SATUAN'!$C$7:$C$1492,0),0))</f>
        <v>2500</v>
      </c>
      <c r="H72" s="361">
        <f t="shared" ca="1" si="24"/>
        <v>0</v>
      </c>
      <c r="I72" s="361">
        <f t="shared" ca="1" si="25"/>
        <v>27500</v>
      </c>
      <c r="J72" s="361">
        <f t="shared" ca="1" si="26"/>
        <v>0</v>
      </c>
      <c r="K72" s="362">
        <f t="shared" ca="1" si="27"/>
        <v>27500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5">
        <v>18</v>
      </c>
      <c r="C73" s="516" t="s">
        <v>703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17">
        <f>F55*1</f>
        <v>1</v>
      </c>
      <c r="G73" s="360">
        <f ca="1">IF(ISERROR(OFFSET('HARGA SATUAN'!$I$6,MATCH(RAB!C73,'HARGA SATUAN'!$C$7:$C$1492,0),0)),0,OFFSET('HARGA SATUAN'!$I$6,MATCH(RAB!C73,'HARGA SATUAN'!$C$7:$C$1492,0),0))</f>
        <v>134700</v>
      </c>
      <c r="H73" s="361">
        <f t="shared" ca="1" si="24"/>
        <v>0</v>
      </c>
      <c r="I73" s="361">
        <f t="shared" ca="1" si="25"/>
        <v>0</v>
      </c>
      <c r="J73" s="361">
        <f t="shared" ca="1" si="26"/>
        <v>134700</v>
      </c>
      <c r="K73" s="362">
        <f t="shared" ca="1" si="27"/>
        <v>134700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499"/>
      <c r="C74" s="500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503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24"/>
        <v>0</v>
      </c>
      <c r="I74" s="361">
        <f t="shared" ca="1" si="25"/>
        <v>0</v>
      </c>
      <c r="J74" s="361">
        <f t="shared" ca="1" si="26"/>
        <v>0</v>
      </c>
      <c r="K74" s="362">
        <f t="shared" ca="1" si="27"/>
        <v>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496" t="s">
        <v>1035</v>
      </c>
      <c r="C75" s="512" t="s">
        <v>1618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04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82" ca="1" si="28">IF(OR(D75="MDU",D75="MDU-KD"),(IF($O$3="RAB NON MDU","PLN KD",G75*F75)),0)</f>
        <v>0</v>
      </c>
      <c r="I75" s="361">
        <f t="shared" ref="I75:I82" ca="1" si="29">IF(D75="HDW",G75*F75,0)</f>
        <v>0</v>
      </c>
      <c r="J75" s="361">
        <f t="shared" ref="J75:J82" ca="1" si="30">IF(D75="JASA",G75*F75,0)</f>
        <v>0</v>
      </c>
      <c r="K75" s="362">
        <f t="shared" ref="K75:K82" ca="1" si="31">SUM(H75:J75)</f>
        <v>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499" t="s">
        <v>1035</v>
      </c>
      <c r="C76" s="500" t="s">
        <v>1619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03">
        <v>1</v>
      </c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28"/>
        <v>0</v>
      </c>
      <c r="I76" s="361">
        <f t="shared" ca="1" si="29"/>
        <v>0</v>
      </c>
      <c r="J76" s="361">
        <f t="shared" ca="1" si="30"/>
        <v>0</v>
      </c>
      <c r="K76" s="362">
        <f t="shared" ca="1" si="31"/>
        <v>0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499">
        <v>1</v>
      </c>
      <c r="C77" s="500" t="s">
        <v>28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3">
        <f>F76*1</f>
        <v>1</v>
      </c>
      <c r="G77" s="360">
        <f ca="1">IF(ISERROR(OFFSET('HARGA SATUAN'!$I$6,MATCH(RAB!C77,'HARGA SATUAN'!$C$7:$C$1492,0),0)),0,OFFSET('HARGA SATUAN'!$I$6,MATCH(RAB!C77,'HARGA SATUAN'!$C$7:$C$1492,0),0))</f>
        <v>26500</v>
      </c>
      <c r="H77" s="361">
        <f t="shared" ca="1" si="28"/>
        <v>0</v>
      </c>
      <c r="I77" s="361">
        <f t="shared" ca="1" si="29"/>
        <v>26500</v>
      </c>
      <c r="J77" s="361">
        <f t="shared" ca="1" si="30"/>
        <v>0</v>
      </c>
      <c r="K77" s="362">
        <f t="shared" ca="1" si="31"/>
        <v>26500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499">
        <v>2</v>
      </c>
      <c r="C78" s="500" t="s">
        <v>203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3">
        <f>F76*1</f>
        <v>1</v>
      </c>
      <c r="G78" s="360">
        <f ca="1">IF(ISERROR(OFFSET('HARGA SATUAN'!$I$6,MATCH(RAB!C78,'HARGA SATUAN'!$C$7:$C$1492,0),0)),0,OFFSET('HARGA SATUAN'!$I$6,MATCH(RAB!C78,'HARGA SATUAN'!$C$7:$C$1492,0),0))</f>
        <v>12500</v>
      </c>
      <c r="H78" s="361">
        <f t="shared" ca="1" si="28"/>
        <v>0</v>
      </c>
      <c r="I78" s="361">
        <f t="shared" ca="1" si="29"/>
        <v>12500</v>
      </c>
      <c r="J78" s="361">
        <f t="shared" ca="1" si="30"/>
        <v>0</v>
      </c>
      <c r="K78" s="362">
        <f t="shared" ca="1" si="31"/>
        <v>12500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499">
        <v>3</v>
      </c>
      <c r="C79" s="500" t="s">
        <v>206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Mtr</v>
      </c>
      <c r="F79" s="503">
        <f>F76*12</f>
        <v>12</v>
      </c>
      <c r="G79" s="360">
        <f ca="1">IF(ISERROR(OFFSET('HARGA SATUAN'!$I$6,MATCH(RAB!C79,'HARGA SATUAN'!$C$7:$C$1492,0),0)),0,OFFSET('HARGA SATUAN'!$I$6,MATCH(RAB!C79,'HARGA SATUAN'!$C$7:$C$1492,0),0))</f>
        <v>39204</v>
      </c>
      <c r="H79" s="361">
        <f t="shared" ca="1" si="28"/>
        <v>0</v>
      </c>
      <c r="I79" s="361">
        <f t="shared" ca="1" si="29"/>
        <v>470448</v>
      </c>
      <c r="J79" s="361">
        <f t="shared" ca="1" si="30"/>
        <v>0</v>
      </c>
      <c r="K79" s="362">
        <f t="shared" ca="1" si="31"/>
        <v>470448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499">
        <v>4</v>
      </c>
      <c r="C80" s="500" t="s">
        <v>287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3">
        <f>F76*2</f>
        <v>2</v>
      </c>
      <c r="G80" s="360">
        <f ca="1">IF(ISERROR(OFFSET('HARGA SATUAN'!$I$6,MATCH(RAB!C80,'HARGA SATUAN'!$C$7:$C$1492,0),0)),0,OFFSET('HARGA SATUAN'!$I$6,MATCH(RAB!C80,'HARGA SATUAN'!$C$7:$C$1492,0),0))</f>
        <v>40000</v>
      </c>
      <c r="H80" s="361">
        <f t="shared" ca="1" si="28"/>
        <v>0</v>
      </c>
      <c r="I80" s="361">
        <f t="shared" ca="1" si="29"/>
        <v>80000</v>
      </c>
      <c r="J80" s="361">
        <f t="shared" ca="1" si="30"/>
        <v>0</v>
      </c>
      <c r="K80" s="362">
        <f t="shared" ca="1" si="31"/>
        <v>80000</v>
      </c>
      <c r="L80" s="342"/>
      <c r="M80" s="342"/>
      <c r="N80" s="369"/>
      <c r="O80" s="344"/>
      <c r="P80" s="397"/>
      <c r="Q80" s="344"/>
    </row>
    <row r="81" spans="1:17" s="365" customFormat="1">
      <c r="A81" s="336"/>
      <c r="B81" s="499">
        <v>5</v>
      </c>
      <c r="C81" s="500" t="s">
        <v>26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3">
        <f>F76*1</f>
        <v>1</v>
      </c>
      <c r="G81" s="360">
        <f ca="1">IF(ISERROR(OFFSET('HARGA SATUAN'!$I$6,MATCH(RAB!C81,'HARGA SATUAN'!$C$7:$C$1492,0),0)),0,OFFSET('HARGA SATUAN'!$I$6,MATCH(RAB!C81,'HARGA SATUAN'!$C$7:$C$1492,0),0))</f>
        <v>2500</v>
      </c>
      <c r="H81" s="361">
        <f t="shared" ca="1" si="28"/>
        <v>0</v>
      </c>
      <c r="I81" s="361">
        <f t="shared" ca="1" si="29"/>
        <v>2500</v>
      </c>
      <c r="J81" s="361">
        <f t="shared" ca="1" si="30"/>
        <v>0</v>
      </c>
      <c r="K81" s="362">
        <f t="shared" ca="1" si="31"/>
        <v>2500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499">
        <v>6</v>
      </c>
      <c r="C82" s="500" t="s">
        <v>760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3">
        <f>F76*1</f>
        <v>1</v>
      </c>
      <c r="G82" s="360">
        <f ca="1">IF(ISERROR(OFFSET('HARGA SATUAN'!$I$6,MATCH(RAB!C82,'HARGA SATUAN'!$C$7:$C$1492,0),0)),0,OFFSET('HARGA SATUAN'!$I$6,MATCH(RAB!C82,'HARGA SATUAN'!$C$7:$C$1492,0),0))</f>
        <v>36600</v>
      </c>
      <c r="H82" s="361">
        <f t="shared" ca="1" si="28"/>
        <v>0</v>
      </c>
      <c r="I82" s="361">
        <f t="shared" ca="1" si="29"/>
        <v>0</v>
      </c>
      <c r="J82" s="361">
        <f t="shared" ca="1" si="30"/>
        <v>36600</v>
      </c>
      <c r="K82" s="362">
        <f t="shared" ca="1" si="31"/>
        <v>36600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499"/>
      <c r="C83" s="500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50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ref="H83:H89" ca="1" si="32">IF(OR(D83="MDU",D83="MDU-KD"),(IF($O$3="RAB NON MDU","PLN KD",G83*F83)),0)</f>
        <v>0</v>
      </c>
      <c r="I83" s="361">
        <f t="shared" ref="I83:I89" ca="1" si="33">IF(D83="HDW",G83*F83,0)</f>
        <v>0</v>
      </c>
      <c r="J83" s="361">
        <f t="shared" ref="J83:J89" ca="1" si="34">IF(D83="JASA",G83*F83,0)</f>
        <v>0</v>
      </c>
      <c r="K83" s="362">
        <f t="shared" ref="K83:K89" ca="1" si="35">SUM(H83:J83)</f>
        <v>0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499" t="s">
        <v>1035</v>
      </c>
      <c r="C84" s="500" t="s">
        <v>1620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3">
        <f>F76</f>
        <v>1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32"/>
        <v>0</v>
      </c>
      <c r="I84" s="361">
        <f t="shared" ca="1" si="33"/>
        <v>0</v>
      </c>
      <c r="J84" s="361">
        <f t="shared" ca="1" si="34"/>
        <v>0</v>
      </c>
      <c r="K84" s="362">
        <f t="shared" ca="1" si="35"/>
        <v>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505">
        <v>1</v>
      </c>
      <c r="C85" s="506" t="s">
        <v>597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3">
        <f>F84*1</f>
        <v>1</v>
      </c>
      <c r="G85" s="360">
        <f ca="1">IF(ISERROR(OFFSET('HARGA SATUAN'!$I$6,MATCH(RAB!C85,'HARGA SATUAN'!$C$7:$C$1492,0),0)),0,OFFSET('HARGA SATUAN'!$I$6,MATCH(RAB!C85,'HARGA SATUAN'!$C$7:$C$1492,0),0))</f>
        <v>120900</v>
      </c>
      <c r="H85" s="361">
        <f t="shared" ca="1" si="32"/>
        <v>0</v>
      </c>
      <c r="I85" s="361">
        <f t="shared" ca="1" si="33"/>
        <v>120900</v>
      </c>
      <c r="J85" s="361">
        <f t="shared" ca="1" si="34"/>
        <v>0</v>
      </c>
      <c r="K85" s="362">
        <f t="shared" ca="1" si="35"/>
        <v>120900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507">
        <v>2</v>
      </c>
      <c r="C86" s="508" t="s">
        <v>261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3">
        <f>F84*1</f>
        <v>1</v>
      </c>
      <c r="G86" s="360">
        <f ca="1">IF(ISERROR(OFFSET('HARGA SATUAN'!$I$6,MATCH(RAB!C86,'HARGA SATUAN'!$C$7:$C$1492,0),0)),0,OFFSET('HARGA SATUAN'!$I$6,MATCH(RAB!C86,'HARGA SATUAN'!$C$7:$C$1492,0),0))</f>
        <v>135800</v>
      </c>
      <c r="H86" s="361">
        <f t="shared" ca="1" si="32"/>
        <v>0</v>
      </c>
      <c r="I86" s="361">
        <f t="shared" ca="1" si="33"/>
        <v>135800</v>
      </c>
      <c r="J86" s="361">
        <f t="shared" ca="1" si="34"/>
        <v>0</v>
      </c>
      <c r="K86" s="362">
        <f t="shared" ca="1" si="35"/>
        <v>135800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507">
        <v>3</v>
      </c>
      <c r="C87" s="509" t="s">
        <v>214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F84*1</f>
        <v>1</v>
      </c>
      <c r="G87" s="360">
        <f ca="1">IF(ISERROR(OFFSET('HARGA SATUAN'!$I$6,MATCH(RAB!C87,'HARGA SATUAN'!$C$7:$C$1492,0),0)),0,OFFSET('HARGA SATUAN'!$I$6,MATCH(RAB!C87,'HARGA SATUAN'!$C$7:$C$1492,0),0))</f>
        <v>4500</v>
      </c>
      <c r="H87" s="361">
        <f t="shared" ca="1" si="32"/>
        <v>0</v>
      </c>
      <c r="I87" s="361">
        <f t="shared" ca="1" si="33"/>
        <v>4500</v>
      </c>
      <c r="J87" s="361">
        <f t="shared" ca="1" si="34"/>
        <v>0</v>
      </c>
      <c r="K87" s="362">
        <f t="shared" ca="1" si="35"/>
        <v>4500</v>
      </c>
      <c r="L87" s="342"/>
      <c r="M87" s="342"/>
      <c r="N87" s="369"/>
      <c r="O87" s="344"/>
      <c r="P87" s="397"/>
      <c r="Q87" s="344"/>
    </row>
    <row r="88" spans="1:17" s="365" customFormat="1">
      <c r="A88" s="336"/>
      <c r="B88" s="499">
        <v>4</v>
      </c>
      <c r="C88" s="500" t="s">
        <v>768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3">
        <f>F84*1</f>
        <v>1</v>
      </c>
      <c r="G88" s="360">
        <f ca="1">IF(ISERROR(OFFSET('HARGA SATUAN'!$I$6,MATCH(RAB!C88,'HARGA SATUAN'!$C$7:$C$1492,0),0)),0,OFFSET('HARGA SATUAN'!$I$6,MATCH(RAB!C88,'HARGA SATUAN'!$C$7:$C$1492,0),0))</f>
        <v>55500</v>
      </c>
      <c r="H88" s="361">
        <f t="shared" ca="1" si="32"/>
        <v>0</v>
      </c>
      <c r="I88" s="361">
        <f t="shared" ca="1" si="33"/>
        <v>0</v>
      </c>
      <c r="J88" s="361">
        <f t="shared" ca="1" si="34"/>
        <v>55500</v>
      </c>
      <c r="K88" s="362">
        <f t="shared" ca="1" si="35"/>
        <v>55500</v>
      </c>
      <c r="L88" s="342"/>
      <c r="M88" s="342"/>
      <c r="N88" s="369"/>
      <c r="O88" s="344"/>
      <c r="P88" s="397"/>
      <c r="Q88" s="344"/>
    </row>
    <row r="89" spans="1:17" s="365" customFormat="1">
      <c r="A89" s="336"/>
      <c r="B89" s="499"/>
      <c r="C89" s="500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04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32"/>
        <v>0</v>
      </c>
      <c r="I89" s="361">
        <f t="shared" ca="1" si="33"/>
        <v>0</v>
      </c>
      <c r="J89" s="361">
        <f t="shared" ca="1" si="34"/>
        <v>0</v>
      </c>
      <c r="K89" s="362">
        <f t="shared" ca="1" si="35"/>
        <v>0</v>
      </c>
      <c r="L89" s="342"/>
      <c r="M89" s="342"/>
      <c r="N89" s="369"/>
      <c r="O89" s="344"/>
      <c r="P89" s="397"/>
      <c r="Q89" s="344"/>
    </row>
    <row r="90" spans="1:17" s="365" customFormat="1">
      <c r="A90" s="336"/>
      <c r="B90" s="499" t="s">
        <v>1035</v>
      </c>
      <c r="C90" s="500" t="s">
        <v>1621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03">
        <f>F76</f>
        <v>1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94" ca="1" si="36">IF(OR(D90="MDU",D90="MDU-KD"),(IF($O$3="RAB NON MDU","PLN KD",G90*F90)),0)</f>
        <v>0</v>
      </c>
      <c r="I90" s="361">
        <f t="shared" ref="I90:I94" ca="1" si="37">IF(D90="HDW",G90*F90,0)</f>
        <v>0</v>
      </c>
      <c r="J90" s="361">
        <f t="shared" ref="J90:J94" ca="1" si="38">IF(D90="JASA",G90*F90,0)</f>
        <v>0</v>
      </c>
      <c r="K90" s="362">
        <f t="shared" ref="K90:K94" ca="1" si="39">SUM(H90:J90)</f>
        <v>0</v>
      </c>
      <c r="L90" s="342"/>
      <c r="M90" s="342"/>
      <c r="N90" s="369"/>
      <c r="O90" s="344"/>
      <c r="P90" s="397"/>
      <c r="Q90" s="344"/>
    </row>
    <row r="91" spans="1:17" s="365" customFormat="1">
      <c r="A91" s="336"/>
      <c r="B91" s="499">
        <v>1</v>
      </c>
      <c r="C91" s="500" t="s">
        <v>30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3">
        <f>F90*1</f>
        <v>1</v>
      </c>
      <c r="G91" s="360">
        <f ca="1">IF(ISERROR(OFFSET('HARGA SATUAN'!$I$6,MATCH(RAB!C91,'HARGA SATUAN'!$C$7:$C$1492,0),0)),0,OFFSET('HARGA SATUAN'!$I$6,MATCH(RAB!C91,'HARGA SATUAN'!$C$7:$C$1492,0),0))</f>
        <v>47459</v>
      </c>
      <c r="H91" s="361">
        <f t="shared" ca="1" si="36"/>
        <v>0</v>
      </c>
      <c r="I91" s="361">
        <f t="shared" ca="1" si="37"/>
        <v>47459</v>
      </c>
      <c r="J91" s="361">
        <f t="shared" ca="1" si="38"/>
        <v>0</v>
      </c>
      <c r="K91" s="362">
        <f t="shared" ca="1" si="39"/>
        <v>47459</v>
      </c>
      <c r="L91" s="342"/>
      <c r="M91" s="342"/>
      <c r="N91" s="369"/>
      <c r="O91" s="344"/>
      <c r="P91" s="397"/>
      <c r="Q91" s="344"/>
    </row>
    <row r="92" spans="1:17" s="365" customFormat="1">
      <c r="A92" s="336"/>
      <c r="B92" s="499">
        <v>2</v>
      </c>
      <c r="C92" s="500" t="s">
        <v>32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Mtr</v>
      </c>
      <c r="F92" s="503">
        <f>F90*1</f>
        <v>1</v>
      </c>
      <c r="G92" s="360">
        <f ca="1">IF(ISERROR(OFFSET('HARGA SATUAN'!$I$6,MATCH(RAB!C92,'HARGA SATUAN'!$C$7:$C$1492,0),0)),0,OFFSET('HARGA SATUAN'!$I$6,MATCH(RAB!C92,'HARGA SATUAN'!$C$7:$C$1492,0),0))</f>
        <v>30000</v>
      </c>
      <c r="H92" s="361">
        <f t="shared" ca="1" si="36"/>
        <v>0</v>
      </c>
      <c r="I92" s="361">
        <f t="shared" ca="1" si="37"/>
        <v>30000</v>
      </c>
      <c r="J92" s="361">
        <f t="shared" ca="1" si="38"/>
        <v>0</v>
      </c>
      <c r="K92" s="362">
        <f t="shared" ca="1" si="39"/>
        <v>30000</v>
      </c>
      <c r="L92" s="342"/>
      <c r="M92" s="342"/>
      <c r="N92" s="369"/>
      <c r="O92" s="344"/>
      <c r="P92" s="397"/>
      <c r="Q92" s="344"/>
    </row>
    <row r="93" spans="1:17" s="365" customFormat="1">
      <c r="A93" s="336"/>
      <c r="B93" s="499">
        <v>3</v>
      </c>
      <c r="C93" s="500" t="s">
        <v>33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3">
        <f>F90*1</f>
        <v>1</v>
      </c>
      <c r="G93" s="360">
        <f ca="1">IF(ISERROR(OFFSET('HARGA SATUAN'!$I$6,MATCH(RAB!C93,'HARGA SATUAN'!$C$7:$C$1492,0),0)),0,OFFSET('HARGA SATUAN'!$I$6,MATCH(RAB!C93,'HARGA SATUAN'!$C$7:$C$1492,0),0))</f>
        <v>9500</v>
      </c>
      <c r="H93" s="361">
        <f t="shared" ca="1" si="36"/>
        <v>0</v>
      </c>
      <c r="I93" s="361">
        <f t="shared" ca="1" si="37"/>
        <v>9500</v>
      </c>
      <c r="J93" s="361">
        <f t="shared" ca="1" si="38"/>
        <v>0</v>
      </c>
      <c r="K93" s="362">
        <f t="shared" ca="1" si="39"/>
        <v>9500</v>
      </c>
      <c r="L93" s="342"/>
      <c r="M93" s="342"/>
      <c r="N93" s="369"/>
      <c r="O93" s="344"/>
      <c r="P93" s="397"/>
      <c r="Q93" s="344"/>
    </row>
    <row r="94" spans="1:17" s="365" customFormat="1">
      <c r="A94" s="336"/>
      <c r="B94" s="499">
        <v>4</v>
      </c>
      <c r="C94" s="500" t="s">
        <v>738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03">
        <f>F90*1</f>
        <v>1</v>
      </c>
      <c r="G94" s="360">
        <f ca="1">IF(ISERROR(OFFSET('HARGA SATUAN'!$I$6,MATCH(RAB!C94,'HARGA SATUAN'!$C$7:$C$1492,0),0)),0,OFFSET('HARGA SATUAN'!$I$6,MATCH(RAB!C94,'HARGA SATUAN'!$C$7:$C$1492,0),0))</f>
        <v>21200</v>
      </c>
      <c r="H94" s="361">
        <f t="shared" ca="1" si="36"/>
        <v>0</v>
      </c>
      <c r="I94" s="361">
        <f t="shared" ca="1" si="37"/>
        <v>0</v>
      </c>
      <c r="J94" s="361">
        <f t="shared" ca="1" si="38"/>
        <v>21200</v>
      </c>
      <c r="K94" s="362">
        <f t="shared" ca="1" si="39"/>
        <v>21200</v>
      </c>
      <c r="L94" s="342"/>
      <c r="M94" s="342"/>
      <c r="N94" s="369"/>
      <c r="O94" s="344"/>
      <c r="P94" s="397"/>
      <c r="Q94" s="344"/>
    </row>
    <row r="95" spans="1:17">
      <c r="B95" s="494"/>
      <c r="C95" s="498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4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" ca="1" si="40">IF(OR(D95="MDU",D95="MDU-KD"),(IF($O$3="RAB NON MDU","PLN KD",G95*F95)),0)</f>
        <v>0</v>
      </c>
      <c r="I95" s="361">
        <f t="shared" ref="I95" ca="1" si="41">IF(D95="HDW",G95*F95,0)</f>
        <v>0</v>
      </c>
      <c r="J95" s="361">
        <f t="shared" ref="J95" ca="1" si="42">IF(D95="JASA",G95*F95,0)</f>
        <v>0</v>
      </c>
      <c r="K95" s="362">
        <f t="shared" ref="K95" ca="1" si="43">SUM(H95:J95)</f>
        <v>0</v>
      </c>
    </row>
    <row r="96" spans="1:17">
      <c r="B96" s="519" t="s">
        <v>1035</v>
      </c>
      <c r="C96" s="497" t="s">
        <v>1632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>Unit</v>
      </c>
      <c r="F96" s="504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ref="H96:H101" ca="1" si="44">IF(OR(D96="MDU",D96="MDU-KD"),(IF($O$3="RAB NON MDU","PLN KD",G96*F96)),0)</f>
        <v>0</v>
      </c>
      <c r="I96" s="361">
        <f t="shared" ref="I96:I101" ca="1" si="45">IF(D96="HDW",G96*F96,0)</f>
        <v>0</v>
      </c>
      <c r="J96" s="361">
        <f t="shared" ref="J96:J101" ca="1" si="46">IF(D96="JASA",G96*F96,0)</f>
        <v>0</v>
      </c>
      <c r="K96" s="362">
        <f t="shared" ref="K96:K101" ca="1" si="47">SUM(H96:J96)</f>
        <v>0</v>
      </c>
    </row>
    <row r="97" spans="2:11">
      <c r="B97" s="494">
        <v>1</v>
      </c>
      <c r="C97" s="109" t="s">
        <v>65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Mtr</v>
      </c>
      <c r="F97" s="504">
        <v>200</v>
      </c>
      <c r="G97" s="360">
        <f ca="1">IF(ISERROR(OFFSET('HARGA SATUAN'!$I$6,MATCH(RAB!C97,'HARGA SATUAN'!$C$7:$C$1492,0),0)),0,OFFSET('HARGA SATUAN'!$I$6,MATCH(RAB!C97,'HARGA SATUAN'!$C$7:$C$1492,0),0))</f>
        <v>14200</v>
      </c>
      <c r="H97" s="361">
        <f t="shared" ca="1" si="44"/>
        <v>2840000</v>
      </c>
      <c r="I97" s="361">
        <f t="shared" ca="1" si="45"/>
        <v>0</v>
      </c>
      <c r="J97" s="361">
        <f t="shared" ca="1" si="46"/>
        <v>0</v>
      </c>
      <c r="K97" s="362">
        <f t="shared" ca="1" si="47"/>
        <v>2840000</v>
      </c>
    </row>
    <row r="98" spans="2:11">
      <c r="B98" s="494">
        <v>2</v>
      </c>
      <c r="C98" s="109" t="s">
        <v>323</v>
      </c>
      <c r="D98" s="358" t="str">
        <f ca="1">IF(ISERROR(OFFSET('HARGA SATUAN'!$D$6,MATCH(RAB!C98,'HARGA SATUAN'!$C$7:$C$1492,0),0)),"",OFFSET('HARGA SATUAN'!$D$6,MATCH(RAB!C98,'HARGA SATUAN'!$C$7:$C$1492,0),0))</f>
        <v>JASA</v>
      </c>
      <c r="E98" s="359" t="str">
        <f ca="1">IF(B98="+","Unit",IF(ISERROR(OFFSET('HARGA SATUAN'!$E$6,MATCH(RAB!C98,'HARGA SATUAN'!$C$7:$C$1492,0),0)),"",OFFSET('HARGA SATUAN'!$E$6,MATCH(RAB!C98,'HARGA SATUAN'!$C$7:$C$1492,0),0)))</f>
        <v>Per 50 m</v>
      </c>
      <c r="F98" s="504">
        <f>F97/200</f>
        <v>1</v>
      </c>
      <c r="G98" s="360">
        <f ca="1">IF(ISERROR(OFFSET('HARGA SATUAN'!$I$6,MATCH(RAB!C98,'HARGA SATUAN'!$C$7:$C$1492,0),0)),0,OFFSET('HARGA SATUAN'!$I$6,MATCH(RAB!C98,'HARGA SATUAN'!$C$7:$C$1492,0),0))</f>
        <v>330110</v>
      </c>
      <c r="H98" s="361">
        <f t="shared" ca="1" si="44"/>
        <v>0</v>
      </c>
      <c r="I98" s="361">
        <f t="shared" ca="1" si="45"/>
        <v>0</v>
      </c>
      <c r="J98" s="361">
        <f t="shared" ca="1" si="46"/>
        <v>330110</v>
      </c>
      <c r="K98" s="362">
        <f t="shared" ca="1" si="47"/>
        <v>330110</v>
      </c>
    </row>
    <row r="99" spans="2:11">
      <c r="B99" s="494"/>
      <c r="C99" s="498"/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504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44"/>
        <v>0</v>
      </c>
      <c r="I99" s="361">
        <f t="shared" ca="1" si="45"/>
        <v>0</v>
      </c>
      <c r="J99" s="361">
        <f t="shared" ca="1" si="46"/>
        <v>0</v>
      </c>
      <c r="K99" s="362">
        <f t="shared" ca="1" si="47"/>
        <v>0</v>
      </c>
    </row>
    <row r="100" spans="2:11">
      <c r="B100" s="366" t="s">
        <v>1613</v>
      </c>
      <c r="C100" s="367" t="s">
        <v>1615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504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44"/>
        <v>0</v>
      </c>
      <c r="I100" s="361">
        <f t="shared" ca="1" si="45"/>
        <v>0</v>
      </c>
      <c r="J100" s="361">
        <f t="shared" ca="1" si="46"/>
        <v>0</v>
      </c>
      <c r="K100" s="362">
        <f t="shared" ca="1" si="47"/>
        <v>0</v>
      </c>
    </row>
    <row r="101" spans="2:11">
      <c r="B101" s="494"/>
      <c r="C101" s="498"/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504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44"/>
        <v>0</v>
      </c>
      <c r="I101" s="361">
        <f t="shared" ca="1" si="45"/>
        <v>0</v>
      </c>
      <c r="J101" s="361">
        <f t="shared" ca="1" si="46"/>
        <v>0</v>
      </c>
      <c r="K101" s="362">
        <f t="shared" ca="1" si="47"/>
        <v>0</v>
      </c>
    </row>
    <row r="102" spans="2:11">
      <c r="B102" s="499" t="s">
        <v>1035</v>
      </c>
      <c r="C102" s="520" t="s">
        <v>1633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503">
        <v>1</v>
      </c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ref="H102:H121" ca="1" si="48">IF(OR(D102="MDU",D102="MDU-KD"),(IF($O$3="RAB NON MDU","PLN KD",G102*F102)),0)</f>
        <v>0</v>
      </c>
      <c r="I102" s="361">
        <f t="shared" ref="I102:I121" ca="1" si="49">IF(D102="HDW",G102*F102,0)</f>
        <v>0</v>
      </c>
      <c r="J102" s="361">
        <f t="shared" ref="J102:J121" ca="1" si="50">IF(D102="JASA",G102*F102,0)</f>
        <v>0</v>
      </c>
      <c r="K102" s="362">
        <f t="shared" ref="K102:K121" ca="1" si="51">SUM(H102:J102)</f>
        <v>0</v>
      </c>
    </row>
    <row r="103" spans="2:11">
      <c r="B103" s="499">
        <v>1</v>
      </c>
      <c r="C103" s="109" t="s">
        <v>1148</v>
      </c>
      <c r="D103" s="358" t="str">
        <f ca="1">IF(ISERROR(OFFSET('HARGA SATUAN'!$D$6,MATCH(RAB!C103,'HARGA SATUAN'!$C$7:$C$1492,0),0)),"",OFFSET('HARGA SATUAN'!$D$6,MATCH(RAB!C103,'HARGA SATUAN'!$C$7:$C$1492,0),0))</f>
        <v>MDU-KD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3">
        <f>F102*1</f>
        <v>1</v>
      </c>
      <c r="G103" s="360">
        <f ca="1">IF(ISERROR(OFFSET('HARGA SATUAN'!$I$6,MATCH(RAB!C103,'HARGA SATUAN'!$C$7:$C$1492,0),0)),0,OFFSET('HARGA SATUAN'!$I$6,MATCH(RAB!C103,'HARGA SATUAN'!$C$7:$C$1492,0),0))</f>
        <v>77674900</v>
      </c>
      <c r="H103" s="361">
        <f t="shared" ca="1" si="48"/>
        <v>77674900</v>
      </c>
      <c r="I103" s="361">
        <f t="shared" ca="1" si="49"/>
        <v>0</v>
      </c>
      <c r="J103" s="361">
        <f t="shared" ca="1" si="50"/>
        <v>0</v>
      </c>
      <c r="K103" s="362">
        <f t="shared" ca="1" si="51"/>
        <v>77674900</v>
      </c>
    </row>
    <row r="104" spans="2:11">
      <c r="B104" s="507">
        <v>2</v>
      </c>
      <c r="C104" s="510" t="s">
        <v>1622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511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48"/>
        <v>0</v>
      </c>
      <c r="I104" s="361">
        <f t="shared" ca="1" si="49"/>
        <v>0</v>
      </c>
      <c r="J104" s="361">
        <f t="shared" ca="1" si="50"/>
        <v>0</v>
      </c>
      <c r="K104" s="362">
        <f t="shared" ca="1" si="51"/>
        <v>0</v>
      </c>
    </row>
    <row r="105" spans="2:11">
      <c r="B105" s="499"/>
      <c r="C105" s="510" t="s">
        <v>65</v>
      </c>
      <c r="D105" s="358" t="str">
        <f ca="1">IF(ISERROR(OFFSET('HARGA SATUAN'!$D$6,MATCH(RAB!C105,'HARGA SATUAN'!$C$7:$C$1492,0),0)),"",OFFSET('HARGA SATUAN'!$D$6,MATCH(RAB!C105,'HARGA SATUAN'!$C$7:$C$1492,0),0))</f>
        <v>MDU-KD</v>
      </c>
      <c r="E105" s="359" t="str">
        <f ca="1">IF(B105="+","Unit",IF(ISERROR(OFFSET('HARGA SATUAN'!$E$6,MATCH(RAB!C105,'HARGA SATUAN'!$C$7:$C$1492,0),0)),"",OFFSET('HARGA SATUAN'!$E$6,MATCH(RAB!C105,'HARGA SATUAN'!$C$7:$C$1492,0),0)))</f>
        <v>Mtr</v>
      </c>
      <c r="F105" s="503">
        <f>F102*(3*3)</f>
        <v>9</v>
      </c>
      <c r="G105" s="360">
        <f ca="1">IF(ISERROR(OFFSET('HARGA SATUAN'!$I$6,MATCH(RAB!C105,'HARGA SATUAN'!$C$7:$C$1492,0),0)),0,OFFSET('HARGA SATUAN'!$I$6,MATCH(RAB!C105,'HARGA SATUAN'!$C$7:$C$1492,0),0))</f>
        <v>14200</v>
      </c>
      <c r="H105" s="361">
        <f t="shared" ca="1" si="48"/>
        <v>127800</v>
      </c>
      <c r="I105" s="361">
        <f t="shared" ca="1" si="49"/>
        <v>0</v>
      </c>
      <c r="J105" s="361">
        <f t="shared" ca="1" si="50"/>
        <v>0</v>
      </c>
      <c r="K105" s="362">
        <f t="shared" ca="1" si="51"/>
        <v>127800</v>
      </c>
    </row>
    <row r="106" spans="2:11">
      <c r="B106" s="499"/>
      <c r="C106" s="109" t="s">
        <v>1459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Mtr</v>
      </c>
      <c r="F106" s="503">
        <f>F102*3</f>
        <v>3</v>
      </c>
      <c r="G106" s="360">
        <f ca="1">IF(ISERROR(OFFSET('HARGA SATUAN'!$I$6,MATCH(RAB!C106,'HARGA SATUAN'!$C$7:$C$1492,0),0)),0,OFFSET('HARGA SATUAN'!$I$6,MATCH(RAB!C106,'HARGA SATUAN'!$C$7:$C$1492,0),0))</f>
        <v>54500</v>
      </c>
      <c r="H106" s="361">
        <f t="shared" ca="1" si="48"/>
        <v>163500</v>
      </c>
      <c r="I106" s="361">
        <f t="shared" ca="1" si="49"/>
        <v>0</v>
      </c>
      <c r="J106" s="361">
        <f t="shared" ca="1" si="50"/>
        <v>0</v>
      </c>
      <c r="K106" s="362">
        <f t="shared" ca="1" si="51"/>
        <v>163500</v>
      </c>
    </row>
    <row r="107" spans="2:11">
      <c r="B107" s="499">
        <v>3</v>
      </c>
      <c r="C107" s="109" t="s">
        <v>559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3">
        <f>F102*3</f>
        <v>3</v>
      </c>
      <c r="G107" s="360">
        <f ca="1">IF(ISERROR(OFFSET('HARGA SATUAN'!$I$6,MATCH(RAB!C107,'HARGA SATUAN'!$C$7:$C$1492,0),0)),0,OFFSET('HARGA SATUAN'!$I$6,MATCH(RAB!C107,'HARGA SATUAN'!$C$7:$C$1492,0),0))</f>
        <v>725900</v>
      </c>
      <c r="H107" s="361">
        <f t="shared" ca="1" si="48"/>
        <v>2177700</v>
      </c>
      <c r="I107" s="361">
        <f t="shared" ca="1" si="49"/>
        <v>0</v>
      </c>
      <c r="J107" s="361">
        <f t="shared" ca="1" si="50"/>
        <v>0</v>
      </c>
      <c r="K107" s="362">
        <f t="shared" ca="1" si="51"/>
        <v>2177700</v>
      </c>
    </row>
    <row r="108" spans="2:11">
      <c r="B108" s="499">
        <v>4</v>
      </c>
      <c r="C108" s="500" t="s">
        <v>535</v>
      </c>
      <c r="D108" s="358" t="str">
        <f ca="1">IF(ISERROR(OFFSET('HARGA SATUAN'!$D$6,MATCH(RAB!C108,'HARGA SATUAN'!$C$7:$C$1492,0),0)),"",OFFSET('HARGA SATUAN'!$D$6,MATCH(RAB!C108,'HARGA SATUAN'!$C$7:$C$1492,0),0))</f>
        <v>MDU-KD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503">
        <f>F102*3</f>
        <v>3</v>
      </c>
      <c r="G108" s="360">
        <f ca="1">IF(ISERROR(OFFSET('HARGA SATUAN'!$I$6,MATCH(RAB!C108,'HARGA SATUAN'!$C$7:$C$1492,0),0)),0,OFFSET('HARGA SATUAN'!$I$6,MATCH(RAB!C108,'HARGA SATUAN'!$C$7:$C$1492,0),0))</f>
        <v>848250</v>
      </c>
      <c r="H108" s="361">
        <f t="shared" ca="1" si="48"/>
        <v>2544750</v>
      </c>
      <c r="I108" s="361">
        <f t="shared" ca="1" si="49"/>
        <v>0</v>
      </c>
      <c r="J108" s="361">
        <f t="shared" ca="1" si="50"/>
        <v>0</v>
      </c>
      <c r="K108" s="362">
        <f t="shared" ca="1" si="51"/>
        <v>2544750</v>
      </c>
    </row>
    <row r="109" spans="2:11">
      <c r="B109" s="499">
        <v>5</v>
      </c>
      <c r="C109" s="500" t="s">
        <v>55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3">
        <f>F102*3</f>
        <v>3</v>
      </c>
      <c r="G109" s="360">
        <f ca="1">IF(ISERROR(OFFSET('HARGA SATUAN'!$I$6,MATCH(RAB!C109,'HARGA SATUAN'!$C$7:$C$1492,0),0)),0,OFFSET('HARGA SATUAN'!$I$6,MATCH(RAB!C109,'HARGA SATUAN'!$C$7:$C$1492,0),0))</f>
        <v>18000</v>
      </c>
      <c r="H109" s="361">
        <f t="shared" ca="1" si="48"/>
        <v>0</v>
      </c>
      <c r="I109" s="361">
        <f t="shared" ca="1" si="49"/>
        <v>54000</v>
      </c>
      <c r="J109" s="361">
        <f t="shared" ca="1" si="50"/>
        <v>0</v>
      </c>
      <c r="K109" s="362">
        <f t="shared" ca="1" si="51"/>
        <v>54000</v>
      </c>
    </row>
    <row r="110" spans="2:11">
      <c r="B110" s="499">
        <v>6</v>
      </c>
      <c r="C110" s="109" t="s">
        <v>1567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503">
        <f>F102*13</f>
        <v>13</v>
      </c>
      <c r="G110" s="360">
        <f ca="1">IF(ISERROR(OFFSET('HARGA SATUAN'!$I$6,MATCH(RAB!C110,'HARGA SATUAN'!$C$7:$C$1492,0),0)),0,OFFSET('HARGA SATUAN'!$I$6,MATCH(RAB!C110,'HARGA SATUAN'!$C$7:$C$1492,0),0))</f>
        <v>49000</v>
      </c>
      <c r="H110" s="361">
        <f t="shared" ca="1" si="48"/>
        <v>0</v>
      </c>
      <c r="I110" s="361">
        <f t="shared" ca="1" si="49"/>
        <v>637000</v>
      </c>
      <c r="J110" s="361">
        <f t="shared" ca="1" si="50"/>
        <v>0</v>
      </c>
      <c r="K110" s="362">
        <f t="shared" ca="1" si="51"/>
        <v>637000</v>
      </c>
    </row>
    <row r="111" spans="2:11">
      <c r="B111" s="499">
        <v>7</v>
      </c>
      <c r="C111" s="500" t="s">
        <v>163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03">
        <f>F102*28</f>
        <v>28</v>
      </c>
      <c r="G111" s="360">
        <f ca="1">IF(ISERROR(OFFSET('HARGA SATUAN'!$I$6,MATCH(RAB!C111,'HARGA SATUAN'!$C$7:$C$1492,0),0)),0,OFFSET('HARGA SATUAN'!$I$6,MATCH(RAB!C111,'HARGA SATUAN'!$C$7:$C$1492,0),0))</f>
        <v>7938</v>
      </c>
      <c r="H111" s="361">
        <f t="shared" ca="1" si="48"/>
        <v>0</v>
      </c>
      <c r="I111" s="361">
        <f t="shared" ca="1" si="49"/>
        <v>222264</v>
      </c>
      <c r="J111" s="361">
        <f t="shared" ca="1" si="50"/>
        <v>0</v>
      </c>
      <c r="K111" s="362">
        <f t="shared" ca="1" si="51"/>
        <v>222264</v>
      </c>
    </row>
    <row r="112" spans="2:11">
      <c r="B112" s="499">
        <v>8</v>
      </c>
      <c r="C112" s="500" t="s">
        <v>176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503">
        <f>F102*2</f>
        <v>2</v>
      </c>
      <c r="G112" s="360">
        <f ca="1">IF(ISERROR(OFFSET('HARGA SATUAN'!$I$6,MATCH(RAB!C112,'HARGA SATUAN'!$C$7:$C$1492,0),0)),0,OFFSET('HARGA SATUAN'!$I$6,MATCH(RAB!C112,'HARGA SATUAN'!$C$7:$C$1492,0),0))</f>
        <v>404600</v>
      </c>
      <c r="H112" s="361">
        <f t="shared" ca="1" si="48"/>
        <v>0</v>
      </c>
      <c r="I112" s="361">
        <f t="shared" ca="1" si="49"/>
        <v>809200</v>
      </c>
      <c r="J112" s="361">
        <f t="shared" ca="1" si="50"/>
        <v>0</v>
      </c>
      <c r="K112" s="362">
        <f t="shared" ca="1" si="51"/>
        <v>809200</v>
      </c>
    </row>
    <row r="113" spans="2:11">
      <c r="B113" s="499">
        <v>9</v>
      </c>
      <c r="C113" s="500" t="s">
        <v>184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3">
        <f>F102*3</f>
        <v>3</v>
      </c>
      <c r="G113" s="360">
        <f ca="1">IF(ISERROR(OFFSET('HARGA SATUAN'!$I$6,MATCH(RAB!C113,'HARGA SATUAN'!$C$7:$C$1492,0),0)),0,OFFSET('HARGA SATUAN'!$I$6,MATCH(RAB!C113,'HARGA SATUAN'!$C$7:$C$1492,0),0))</f>
        <v>15900</v>
      </c>
      <c r="H113" s="361">
        <f t="shared" ca="1" si="48"/>
        <v>0</v>
      </c>
      <c r="I113" s="361">
        <f t="shared" ca="1" si="49"/>
        <v>47700</v>
      </c>
      <c r="J113" s="361">
        <f t="shared" ca="1" si="50"/>
        <v>0</v>
      </c>
      <c r="K113" s="362">
        <f t="shared" ca="1" si="51"/>
        <v>47700</v>
      </c>
    </row>
    <row r="114" spans="2:11">
      <c r="B114" s="499">
        <v>10</v>
      </c>
      <c r="C114" s="500" t="s">
        <v>593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3">
        <f>F102*5</f>
        <v>5</v>
      </c>
      <c r="G114" s="360">
        <f ca="1">IF(ISERROR(OFFSET('HARGA SATUAN'!$I$6,MATCH(RAB!C114,'HARGA SATUAN'!$C$7:$C$1492,0),0)),0,OFFSET('HARGA SATUAN'!$I$6,MATCH(RAB!C114,'HARGA SATUAN'!$C$7:$C$1492,0),0))</f>
        <v>380500</v>
      </c>
      <c r="H114" s="361">
        <f t="shared" ca="1" si="48"/>
        <v>0</v>
      </c>
      <c r="I114" s="361">
        <f t="shared" ca="1" si="49"/>
        <v>1902500</v>
      </c>
      <c r="J114" s="361">
        <f t="shared" ca="1" si="50"/>
        <v>0</v>
      </c>
      <c r="K114" s="362">
        <f t="shared" ca="1" si="51"/>
        <v>1902500</v>
      </c>
    </row>
    <row r="115" spans="2:11">
      <c r="B115" s="499">
        <v>11</v>
      </c>
      <c r="C115" s="500" t="s">
        <v>594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03">
        <f>F102*4</f>
        <v>4</v>
      </c>
      <c r="G115" s="360">
        <f ca="1">IF(ISERROR(OFFSET('HARGA SATUAN'!$I$6,MATCH(RAB!C115,'HARGA SATUAN'!$C$7:$C$1492,0),0)),0,OFFSET('HARGA SATUAN'!$I$6,MATCH(RAB!C115,'HARGA SATUAN'!$C$7:$C$1492,0),0))</f>
        <v>559200</v>
      </c>
      <c r="H115" s="361">
        <f t="shared" ca="1" si="48"/>
        <v>0</v>
      </c>
      <c r="I115" s="361">
        <f t="shared" ca="1" si="49"/>
        <v>2236800</v>
      </c>
      <c r="J115" s="361">
        <f t="shared" ca="1" si="50"/>
        <v>0</v>
      </c>
      <c r="K115" s="362">
        <f t="shared" ca="1" si="51"/>
        <v>2236800</v>
      </c>
    </row>
    <row r="116" spans="2:11">
      <c r="B116" s="499">
        <v>12</v>
      </c>
      <c r="C116" s="500" t="s">
        <v>208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03">
        <f>F102*3</f>
        <v>3</v>
      </c>
      <c r="G116" s="360">
        <f ca="1">IF(ISERROR(OFFSET('HARGA SATUAN'!$I$6,MATCH(RAB!C116,'HARGA SATUAN'!$C$7:$C$1492,0),0)),0,OFFSET('HARGA SATUAN'!$I$6,MATCH(RAB!C116,'HARGA SATUAN'!$C$7:$C$1492,0),0))</f>
        <v>173400</v>
      </c>
      <c r="H116" s="361">
        <f t="shared" ca="1" si="48"/>
        <v>0</v>
      </c>
      <c r="I116" s="361">
        <f t="shared" ca="1" si="49"/>
        <v>520200</v>
      </c>
      <c r="J116" s="361">
        <f t="shared" ca="1" si="50"/>
        <v>0</v>
      </c>
      <c r="K116" s="362">
        <f t="shared" ca="1" si="51"/>
        <v>520200</v>
      </c>
    </row>
    <row r="117" spans="2:11">
      <c r="B117" s="499">
        <v>13</v>
      </c>
      <c r="C117" s="500" t="s">
        <v>247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3">
        <f>F102*2</f>
        <v>2</v>
      </c>
      <c r="G117" s="360">
        <f ca="1">IF(ISERROR(OFFSET('HARGA SATUAN'!$I$6,MATCH(RAB!C117,'HARGA SATUAN'!$C$7:$C$1492,0),0)),0,OFFSET('HARGA SATUAN'!$I$6,MATCH(RAB!C117,'HARGA SATUAN'!$C$7:$C$1492,0),0))</f>
        <v>57690</v>
      </c>
      <c r="H117" s="361">
        <f t="shared" ca="1" si="48"/>
        <v>0</v>
      </c>
      <c r="I117" s="361">
        <f t="shared" ca="1" si="49"/>
        <v>115380</v>
      </c>
      <c r="J117" s="361">
        <f t="shared" ca="1" si="50"/>
        <v>0</v>
      </c>
      <c r="K117" s="362">
        <f t="shared" ca="1" si="51"/>
        <v>115380</v>
      </c>
    </row>
    <row r="118" spans="2:11">
      <c r="B118" s="499">
        <v>14</v>
      </c>
      <c r="C118" s="500" t="s">
        <v>248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03">
        <f>F102*2</f>
        <v>2</v>
      </c>
      <c r="G118" s="360">
        <f ca="1">IF(ISERROR(OFFSET('HARGA SATUAN'!$I$6,MATCH(RAB!C118,'HARGA SATUAN'!$C$7:$C$1492,0),0)),0,OFFSET('HARGA SATUAN'!$I$6,MATCH(RAB!C118,'HARGA SATUAN'!$C$7:$C$1492,0),0))</f>
        <v>60300</v>
      </c>
      <c r="H118" s="361">
        <f t="shared" ca="1" si="48"/>
        <v>0</v>
      </c>
      <c r="I118" s="361">
        <f t="shared" ca="1" si="49"/>
        <v>120600</v>
      </c>
      <c r="J118" s="361">
        <f t="shared" ca="1" si="50"/>
        <v>0</v>
      </c>
      <c r="K118" s="362">
        <f t="shared" ca="1" si="51"/>
        <v>120600</v>
      </c>
    </row>
    <row r="119" spans="2:11">
      <c r="B119" s="499">
        <v>15</v>
      </c>
      <c r="C119" s="500" t="s">
        <v>267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03">
        <f>F102*4</f>
        <v>4</v>
      </c>
      <c r="G119" s="360">
        <f ca="1">IF(ISERROR(OFFSET('HARGA SATUAN'!$I$6,MATCH(RAB!C119,'HARGA SATUAN'!$C$7:$C$1492,0),0)),0,OFFSET('HARGA SATUAN'!$I$6,MATCH(RAB!C119,'HARGA SATUAN'!$C$7:$C$1492,0),0))</f>
        <v>129000</v>
      </c>
      <c r="H119" s="361">
        <f t="shared" ca="1" si="48"/>
        <v>0</v>
      </c>
      <c r="I119" s="361">
        <f t="shared" ca="1" si="49"/>
        <v>516000</v>
      </c>
      <c r="J119" s="361">
        <f t="shared" ca="1" si="50"/>
        <v>0</v>
      </c>
      <c r="K119" s="362">
        <f t="shared" ca="1" si="51"/>
        <v>516000</v>
      </c>
    </row>
    <row r="120" spans="2:11">
      <c r="B120" s="499">
        <v>16</v>
      </c>
      <c r="C120" s="500" t="s">
        <v>787</v>
      </c>
      <c r="D120" s="358" t="str">
        <f ca="1">IF(ISERROR(OFFSET('HARGA SATUAN'!$D$6,MATCH(RAB!C120,'HARGA SATUAN'!$C$7:$C$1492,0),0)),"",OFFSET('HARGA SATUAN'!$D$6,MATCH(RAB!C120,'HARGA SATUAN'!$C$7:$C$1492,0),0))</f>
        <v>JASA</v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503">
        <f>F102*1</f>
        <v>1</v>
      </c>
      <c r="G120" s="360">
        <f ca="1">IF(ISERROR(OFFSET('HARGA SATUAN'!$I$6,MATCH(RAB!C120,'HARGA SATUAN'!$C$7:$C$1492,0),0)),0,OFFSET('HARGA SATUAN'!$I$6,MATCH(RAB!C120,'HARGA SATUAN'!$C$7:$C$1492,0),0))</f>
        <v>3784400</v>
      </c>
      <c r="H120" s="361">
        <f t="shared" ca="1" si="48"/>
        <v>0</v>
      </c>
      <c r="I120" s="361">
        <f t="shared" ca="1" si="49"/>
        <v>0</v>
      </c>
      <c r="J120" s="361">
        <f t="shared" ca="1" si="50"/>
        <v>3784400</v>
      </c>
      <c r="K120" s="362">
        <f t="shared" ca="1" si="51"/>
        <v>3784400</v>
      </c>
    </row>
    <row r="121" spans="2:11">
      <c r="B121" s="494"/>
      <c r="C121" s="498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504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48"/>
        <v>0</v>
      </c>
      <c r="I121" s="361">
        <f t="shared" ca="1" si="49"/>
        <v>0</v>
      </c>
      <c r="J121" s="361">
        <f t="shared" ca="1" si="50"/>
        <v>0</v>
      </c>
      <c r="K121" s="362">
        <f t="shared" ca="1" si="51"/>
        <v>0</v>
      </c>
    </row>
    <row r="122" spans="2:11">
      <c r="B122" s="507" t="s">
        <v>1035</v>
      </c>
      <c r="C122" s="508" t="s">
        <v>1623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03">
        <v>2</v>
      </c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ref="H122:H132" ca="1" si="52">IF(OR(D122="MDU",D122="MDU-KD"),(IF($O$3="RAB NON MDU","PLN KD",G122*F122)),0)</f>
        <v>0</v>
      </c>
      <c r="I122" s="361">
        <f t="shared" ref="I122:I132" ca="1" si="53">IF(D122="HDW",G122*F122,0)</f>
        <v>0</v>
      </c>
      <c r="J122" s="361">
        <f t="shared" ref="J122:J132" ca="1" si="54">IF(D122="JASA",G122*F122,0)</f>
        <v>0</v>
      </c>
      <c r="K122" s="362">
        <f t="shared" ref="K122:K132" ca="1" si="55">SUM(H122:J122)</f>
        <v>0</v>
      </c>
    </row>
    <row r="123" spans="2:11">
      <c r="B123" s="507">
        <v>1</v>
      </c>
      <c r="C123" s="509" t="s">
        <v>29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503">
        <f>F122*1</f>
        <v>2</v>
      </c>
      <c r="G123" s="360">
        <f ca="1">IF(ISERROR(OFFSET('HARGA SATUAN'!$I$6,MATCH(RAB!C123,'HARGA SATUAN'!$C$7:$C$1492,0),0)),0,OFFSET('HARGA SATUAN'!$I$6,MATCH(RAB!C123,'HARGA SATUAN'!$C$7:$C$1492,0),0))</f>
        <v>185200</v>
      </c>
      <c r="H123" s="361">
        <f t="shared" ca="1" si="52"/>
        <v>0</v>
      </c>
      <c r="I123" s="361">
        <f t="shared" ca="1" si="53"/>
        <v>370400</v>
      </c>
      <c r="J123" s="361">
        <f t="shared" ca="1" si="54"/>
        <v>0</v>
      </c>
      <c r="K123" s="362">
        <f t="shared" ca="1" si="55"/>
        <v>370400</v>
      </c>
    </row>
    <row r="124" spans="2:11">
      <c r="B124" s="499">
        <v>2</v>
      </c>
      <c r="C124" s="500" t="s">
        <v>30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503">
        <f>F122*1</f>
        <v>2</v>
      </c>
      <c r="G124" s="360">
        <f ca="1">IF(ISERROR(OFFSET('HARGA SATUAN'!$I$6,MATCH(RAB!C124,'HARGA SATUAN'!$C$7:$C$1492,0),0)),0,OFFSET('HARGA SATUAN'!$I$6,MATCH(RAB!C124,'HARGA SATUAN'!$C$7:$C$1492,0),0))</f>
        <v>47459</v>
      </c>
      <c r="H124" s="361">
        <f t="shared" ca="1" si="52"/>
        <v>0</v>
      </c>
      <c r="I124" s="361">
        <f t="shared" ca="1" si="53"/>
        <v>94918</v>
      </c>
      <c r="J124" s="361">
        <f t="shared" ca="1" si="54"/>
        <v>0</v>
      </c>
      <c r="K124" s="362">
        <f t="shared" ca="1" si="55"/>
        <v>94918</v>
      </c>
    </row>
    <row r="125" spans="2:11">
      <c r="B125" s="499">
        <v>3</v>
      </c>
      <c r="C125" s="500" t="s">
        <v>31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03">
        <f>F122*1</f>
        <v>2</v>
      </c>
      <c r="G125" s="360">
        <f ca="1">IF(ISERROR(OFFSET('HARGA SATUAN'!$I$6,MATCH(RAB!C125,'HARGA SATUAN'!$C$7:$C$1492,0),0)),0,OFFSET('HARGA SATUAN'!$I$6,MATCH(RAB!C125,'HARGA SATUAN'!$C$7:$C$1492,0),0))</f>
        <v>4880</v>
      </c>
      <c r="H125" s="361">
        <f t="shared" ca="1" si="52"/>
        <v>0</v>
      </c>
      <c r="I125" s="361">
        <f t="shared" ca="1" si="53"/>
        <v>9760</v>
      </c>
      <c r="J125" s="361">
        <f t="shared" ca="1" si="54"/>
        <v>0</v>
      </c>
      <c r="K125" s="362">
        <f t="shared" ca="1" si="55"/>
        <v>9760</v>
      </c>
    </row>
    <row r="126" spans="2:11">
      <c r="B126" s="499">
        <v>4</v>
      </c>
      <c r="C126" s="500" t="s">
        <v>32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Mtr</v>
      </c>
      <c r="F126" s="503">
        <f>F122*10</f>
        <v>20</v>
      </c>
      <c r="G126" s="360">
        <f ca="1">IF(ISERROR(OFFSET('HARGA SATUAN'!$I$6,MATCH(RAB!C126,'HARGA SATUAN'!$C$7:$C$1492,0),0)),0,OFFSET('HARGA SATUAN'!$I$6,MATCH(RAB!C126,'HARGA SATUAN'!$C$7:$C$1492,0),0))</f>
        <v>30000</v>
      </c>
      <c r="H126" s="361">
        <f t="shared" ca="1" si="52"/>
        <v>0</v>
      </c>
      <c r="I126" s="361">
        <f t="shared" ca="1" si="53"/>
        <v>600000</v>
      </c>
      <c r="J126" s="361">
        <f t="shared" ca="1" si="54"/>
        <v>0</v>
      </c>
      <c r="K126" s="362">
        <f t="shared" ca="1" si="55"/>
        <v>600000</v>
      </c>
    </row>
    <row r="127" spans="2:11">
      <c r="B127" s="499">
        <v>5</v>
      </c>
      <c r="C127" s="500" t="s">
        <v>33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03">
        <f>F122*2</f>
        <v>4</v>
      </c>
      <c r="G127" s="360">
        <f ca="1">IF(ISERROR(OFFSET('HARGA SATUAN'!$I$6,MATCH(RAB!C127,'HARGA SATUAN'!$C$7:$C$1492,0),0)),0,OFFSET('HARGA SATUAN'!$I$6,MATCH(RAB!C127,'HARGA SATUAN'!$C$7:$C$1492,0),0))</f>
        <v>9500</v>
      </c>
      <c r="H127" s="361">
        <f t="shared" ca="1" si="52"/>
        <v>0</v>
      </c>
      <c r="I127" s="361">
        <f t="shared" ca="1" si="53"/>
        <v>38000</v>
      </c>
      <c r="J127" s="361">
        <f t="shared" ca="1" si="54"/>
        <v>0</v>
      </c>
      <c r="K127" s="362">
        <f t="shared" ca="1" si="55"/>
        <v>38000</v>
      </c>
    </row>
    <row r="128" spans="2:11">
      <c r="B128" s="499">
        <v>6</v>
      </c>
      <c r="C128" s="500" t="s">
        <v>34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03">
        <f>F122*5.5</f>
        <v>11</v>
      </c>
      <c r="G128" s="360">
        <f ca="1">IF(ISERROR(OFFSET('HARGA SATUAN'!$I$6,MATCH(RAB!C128,'HARGA SATUAN'!$C$7:$C$1492,0),0)),0,OFFSET('HARGA SATUAN'!$I$6,MATCH(RAB!C128,'HARGA SATUAN'!$C$7:$C$1492,0),0))</f>
        <v>6100</v>
      </c>
      <c r="H128" s="361">
        <f t="shared" ca="1" si="52"/>
        <v>0</v>
      </c>
      <c r="I128" s="361">
        <f t="shared" ca="1" si="53"/>
        <v>67100</v>
      </c>
      <c r="J128" s="361">
        <f t="shared" ca="1" si="54"/>
        <v>0</v>
      </c>
      <c r="K128" s="362">
        <f t="shared" ca="1" si="55"/>
        <v>67100</v>
      </c>
    </row>
    <row r="129" spans="2:11">
      <c r="B129" s="499">
        <v>7</v>
      </c>
      <c r="C129" s="500" t="s">
        <v>35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3">
        <f>F122*6</f>
        <v>12</v>
      </c>
      <c r="G129" s="360">
        <f ca="1">IF(ISERROR(OFFSET('HARGA SATUAN'!$I$6,MATCH(RAB!C129,'HARGA SATUAN'!$C$7:$C$1492,0),0)),0,OFFSET('HARGA SATUAN'!$I$6,MATCH(RAB!C129,'HARGA SATUAN'!$C$7:$C$1492,0),0))</f>
        <v>2300</v>
      </c>
      <c r="H129" s="361">
        <f t="shared" ca="1" si="52"/>
        <v>0</v>
      </c>
      <c r="I129" s="361">
        <f t="shared" ca="1" si="53"/>
        <v>27600</v>
      </c>
      <c r="J129" s="361">
        <f t="shared" ca="1" si="54"/>
        <v>0</v>
      </c>
      <c r="K129" s="362">
        <f t="shared" ca="1" si="55"/>
        <v>27600</v>
      </c>
    </row>
    <row r="130" spans="2:11">
      <c r="B130" s="499">
        <v>8</v>
      </c>
      <c r="C130" s="500" t="s">
        <v>1624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503">
        <f>F122*4.8</f>
        <v>9.6</v>
      </c>
      <c r="G130" s="360">
        <f ca="1">IF(ISERROR(OFFSET('HARGA SATUAN'!$I$6,MATCH(RAB!C130,'HARGA SATUAN'!$C$7:$C$1492,0),0)),0,OFFSET('HARGA SATUAN'!$I$6,MATCH(RAB!C130,'HARGA SATUAN'!$C$7:$C$1492,0),0))</f>
        <v>23310</v>
      </c>
      <c r="H130" s="361">
        <f t="shared" ca="1" si="52"/>
        <v>0</v>
      </c>
      <c r="I130" s="361">
        <f t="shared" ca="1" si="53"/>
        <v>223776</v>
      </c>
      <c r="J130" s="361">
        <f t="shared" ca="1" si="54"/>
        <v>0</v>
      </c>
      <c r="K130" s="362">
        <f t="shared" ca="1" si="55"/>
        <v>223776</v>
      </c>
    </row>
    <row r="131" spans="2:11">
      <c r="B131" s="499">
        <v>9</v>
      </c>
      <c r="C131" s="500" t="s">
        <v>736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03">
        <f>F122*1</f>
        <v>2</v>
      </c>
      <c r="G131" s="360">
        <f ca="1">IF(ISERROR(OFFSET('HARGA SATUAN'!$I$6,MATCH(RAB!C131,'HARGA SATUAN'!$C$7:$C$1492,0),0)),0,OFFSET('HARGA SATUAN'!$I$6,MATCH(RAB!C131,'HARGA SATUAN'!$C$7:$C$1492,0),0))</f>
        <v>65400</v>
      </c>
      <c r="H131" s="361">
        <f t="shared" ca="1" si="52"/>
        <v>0</v>
      </c>
      <c r="I131" s="361">
        <f t="shared" ca="1" si="53"/>
        <v>0</v>
      </c>
      <c r="J131" s="361">
        <f t="shared" ca="1" si="54"/>
        <v>130800</v>
      </c>
      <c r="K131" s="362">
        <f t="shared" ca="1" si="55"/>
        <v>130800</v>
      </c>
    </row>
    <row r="132" spans="2:11">
      <c r="B132" s="494"/>
      <c r="C132" s="498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504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52"/>
        <v>0</v>
      </c>
      <c r="I132" s="361">
        <f t="shared" ca="1" si="53"/>
        <v>0</v>
      </c>
      <c r="J132" s="361">
        <f t="shared" ca="1" si="54"/>
        <v>0</v>
      </c>
      <c r="K132" s="362">
        <f t="shared" ca="1" si="55"/>
        <v>0</v>
      </c>
    </row>
    <row r="133" spans="2:11">
      <c r="B133" s="496" t="s">
        <v>1614</v>
      </c>
      <c r="C133" s="502" t="s">
        <v>1631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368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8"/>
        <v>0</v>
      </c>
      <c r="I133" s="361">
        <f t="shared" ca="1" si="9"/>
        <v>0</v>
      </c>
      <c r="J133" s="361">
        <f t="shared" ca="1" si="10"/>
        <v>0</v>
      </c>
      <c r="K133" s="362">
        <f t="shared" ca="1" si="11"/>
        <v>0</v>
      </c>
    </row>
    <row r="134" spans="2:11">
      <c r="B134" s="496" t="s">
        <v>1035</v>
      </c>
      <c r="C134" s="497" t="s">
        <v>1635</v>
      </c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>Unit</v>
      </c>
      <c r="F134" s="501">
        <v>1</v>
      </c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8"/>
        <v>0</v>
      </c>
      <c r="I134" s="361">
        <f t="shared" ca="1" si="9"/>
        <v>0</v>
      </c>
      <c r="J134" s="361">
        <f t="shared" ca="1" si="10"/>
        <v>0</v>
      </c>
      <c r="K134" s="362">
        <f t="shared" ca="1" si="11"/>
        <v>0</v>
      </c>
    </row>
    <row r="135" spans="2:11" ht="30">
      <c r="B135" s="521">
        <v>1</v>
      </c>
      <c r="C135" s="109" t="s">
        <v>1196</v>
      </c>
      <c r="D135" s="358" t="str">
        <f ca="1">IF(ISERROR(OFFSET('HARGA SATUAN'!$D$6,MATCH(RAB!C135,'HARGA SATUAN'!$C$7:$C$1492,0),0)),"",OFFSET('HARGA SATUAN'!$D$6,MATCH(RAB!C135,'HARGA SATUAN'!$C$7:$C$1492,0),0))</f>
        <v>MDU-KD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01">
        <f>F134*1</f>
        <v>1</v>
      </c>
      <c r="G135" s="360">
        <f ca="1">IF(ISERROR(OFFSET('HARGA SATUAN'!$I$6,MATCH(RAB!C135,'HARGA SATUAN'!$C$7:$C$1492,0),0)),0,OFFSET('HARGA SATUAN'!$I$6,MATCH(RAB!C135,'HARGA SATUAN'!$C$7:$C$1492,0),0))</f>
        <v>1504200</v>
      </c>
      <c r="H135" s="361">
        <f t="shared" ca="1" si="8"/>
        <v>1504200</v>
      </c>
      <c r="I135" s="361">
        <f t="shared" ca="1" si="9"/>
        <v>0</v>
      </c>
      <c r="J135" s="361">
        <f t="shared" ca="1" si="10"/>
        <v>0</v>
      </c>
      <c r="K135" s="362">
        <f t="shared" ca="1" si="11"/>
        <v>1504200</v>
      </c>
    </row>
    <row r="136" spans="2:11">
      <c r="B136" s="521">
        <v>2</v>
      </c>
      <c r="C136" s="523" t="s">
        <v>521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Unit</v>
      </c>
      <c r="F136" s="501">
        <f>F134*1</f>
        <v>1</v>
      </c>
      <c r="G136" s="360">
        <f ca="1">IF(ISERROR(OFFSET('HARGA SATUAN'!$I$6,MATCH(RAB!C136,'HARGA SATUAN'!$C$7:$C$1492,0),0)),0,OFFSET('HARGA SATUAN'!$I$6,MATCH(RAB!C136,'HARGA SATUAN'!$C$7:$C$1492,0),0))</f>
        <v>14975400</v>
      </c>
      <c r="H136" s="361">
        <f t="shared" ca="1" si="8"/>
        <v>14975400</v>
      </c>
      <c r="I136" s="361">
        <f t="shared" ca="1" si="9"/>
        <v>0</v>
      </c>
      <c r="J136" s="361">
        <f t="shared" ca="1" si="10"/>
        <v>0</v>
      </c>
      <c r="K136" s="362">
        <f t="shared" ca="1" si="11"/>
        <v>14975400</v>
      </c>
    </row>
    <row r="137" spans="2:11">
      <c r="B137" s="521">
        <v>3</v>
      </c>
      <c r="C137" s="523" t="s">
        <v>1142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501">
        <f>F134*1</f>
        <v>1</v>
      </c>
      <c r="G137" s="360">
        <f ca="1">IF(ISERROR(OFFSET('HARGA SATUAN'!$I$6,MATCH(RAB!C137,'HARGA SATUAN'!$C$7:$C$1492,0),0)),0,OFFSET('HARGA SATUAN'!$I$6,MATCH(RAB!C137,'HARGA SATUAN'!$C$7:$C$1492,0),0))</f>
        <v>1113900</v>
      </c>
      <c r="H137" s="361">
        <f t="shared" ca="1" si="8"/>
        <v>0</v>
      </c>
      <c r="I137" s="361">
        <f t="shared" ca="1" si="9"/>
        <v>1113900</v>
      </c>
      <c r="J137" s="361">
        <f t="shared" ca="1" si="10"/>
        <v>0</v>
      </c>
      <c r="K137" s="362">
        <f t="shared" ca="1" si="11"/>
        <v>1113900</v>
      </c>
    </row>
    <row r="138" spans="2:11">
      <c r="B138" s="521">
        <v>4</v>
      </c>
      <c r="C138" s="109" t="s">
        <v>81</v>
      </c>
      <c r="D138" s="358" t="str">
        <f ca="1">IF(ISERROR(OFFSET('HARGA SATUAN'!$D$6,MATCH(RAB!C138,'HARGA SATUAN'!$C$7:$C$1492,0),0)),"",OFFSET('HARGA SATUAN'!$D$6,MATCH(RAB!C138,'HARGA SATUAN'!$C$7:$C$1492,0),0))</f>
        <v>MDU-KD</v>
      </c>
      <c r="E138" s="359" t="str">
        <f ca="1">IF(B138="+","Unit",IF(ISERROR(OFFSET('HARGA SATUAN'!$E$6,MATCH(RAB!C138,'HARGA SATUAN'!$C$7:$C$1492,0),0)),"",OFFSET('HARGA SATUAN'!$E$6,MATCH(RAB!C138,'HARGA SATUAN'!$C$7:$C$1492,0),0)))</f>
        <v>Mtr</v>
      </c>
      <c r="F138" s="501">
        <v>44</v>
      </c>
      <c r="G138" s="360">
        <f ca="1">IF(ISERROR(OFFSET('HARGA SATUAN'!$I$6,MATCH(RAB!C138,'HARGA SATUAN'!$C$7:$C$1492,0),0)),0,OFFSET('HARGA SATUAN'!$I$6,MATCH(RAB!C138,'HARGA SATUAN'!$C$7:$C$1492,0),0))</f>
        <v>140200</v>
      </c>
      <c r="H138" s="361">
        <f t="shared" ca="1" si="8"/>
        <v>6168800</v>
      </c>
      <c r="I138" s="361">
        <f t="shared" ca="1" si="9"/>
        <v>0</v>
      </c>
      <c r="J138" s="361">
        <f t="shared" ca="1" si="10"/>
        <v>0</v>
      </c>
      <c r="K138" s="362">
        <f t="shared" ca="1" si="11"/>
        <v>6168800</v>
      </c>
    </row>
    <row r="139" spans="2:11">
      <c r="B139" s="521">
        <v>5</v>
      </c>
      <c r="C139" s="523" t="s">
        <v>799</v>
      </c>
      <c r="D139" s="358" t="str">
        <f ca="1">IF(ISERROR(OFFSET('HARGA SATUAN'!$D$6,MATCH(RAB!C139,'HARGA SATUAN'!$C$7:$C$1492,0),0)),"",OFFSET('HARGA SATUAN'!$D$6,MATCH(RAB!C139,'HARGA SATUAN'!$C$7:$C$1492,0),0))</f>
        <v>JASA</v>
      </c>
      <c r="E139" s="359" t="str">
        <f ca="1">IF(B139="+","Unit",IF(ISERROR(OFFSET('HARGA SATUAN'!$E$6,MATCH(RAB!C139,'HARGA SATUAN'!$C$7:$C$1492,0),0)),"",OFFSET('HARGA SATUAN'!$E$6,MATCH(RAB!C139,'HARGA SATUAN'!$C$7:$C$1492,0),0)))</f>
        <v>Unit</v>
      </c>
      <c r="F139" s="501">
        <f>F134*1</f>
        <v>1</v>
      </c>
      <c r="G139" s="360">
        <f ca="1">IF(ISERROR(OFFSET('HARGA SATUAN'!$I$6,MATCH(RAB!C139,'HARGA SATUAN'!$C$7:$C$1492,0),0)),0,OFFSET('HARGA SATUAN'!$I$6,MATCH(RAB!C139,'HARGA SATUAN'!$C$7:$C$1492,0),0))</f>
        <v>106400</v>
      </c>
      <c r="H139" s="361">
        <f t="shared" ca="1" si="8"/>
        <v>0</v>
      </c>
      <c r="I139" s="361">
        <f t="shared" ca="1" si="9"/>
        <v>0</v>
      </c>
      <c r="J139" s="361">
        <f t="shared" ca="1" si="10"/>
        <v>106400</v>
      </c>
      <c r="K139" s="362">
        <f t="shared" ca="1" si="11"/>
        <v>106400</v>
      </c>
    </row>
    <row r="140" spans="2:11">
      <c r="B140" s="374"/>
      <c r="C140" s="373"/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/>
      </c>
      <c r="F140" s="368"/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ca="1" si="8"/>
        <v>0</v>
      </c>
      <c r="I140" s="361">
        <f t="shared" ca="1" si="9"/>
        <v>0</v>
      </c>
      <c r="J140" s="361">
        <f t="shared" ca="1" si="10"/>
        <v>0</v>
      </c>
      <c r="K140" s="362">
        <f t="shared" ca="1" si="11"/>
        <v>0</v>
      </c>
    </row>
    <row r="141" spans="2:11">
      <c r="B141" s="499" t="s">
        <v>1035</v>
      </c>
      <c r="C141" s="500" t="s">
        <v>1617</v>
      </c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>Unit</v>
      </c>
      <c r="F141" s="503">
        <v>2</v>
      </c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8"/>
        <v>0</v>
      </c>
      <c r="I141" s="361">
        <f t="shared" ca="1" si="9"/>
        <v>0</v>
      </c>
      <c r="J141" s="361">
        <f t="shared" ca="1" si="10"/>
        <v>0</v>
      </c>
      <c r="K141" s="362">
        <f t="shared" ca="1" si="11"/>
        <v>0</v>
      </c>
    </row>
    <row r="142" spans="2:11">
      <c r="B142" s="499">
        <v>1</v>
      </c>
      <c r="C142" s="500" t="s">
        <v>29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503">
        <f>F141*1</f>
        <v>2</v>
      </c>
      <c r="G142" s="360">
        <f ca="1">IF(ISERROR(OFFSET('HARGA SATUAN'!$I$6,MATCH(RAB!C142,'HARGA SATUAN'!$C$7:$C$1492,0),0)),0,OFFSET('HARGA SATUAN'!$I$6,MATCH(RAB!C142,'HARGA SATUAN'!$C$7:$C$1492,0),0))</f>
        <v>185200</v>
      </c>
      <c r="H142" s="361">
        <f t="shared" ca="1" si="8"/>
        <v>0</v>
      </c>
      <c r="I142" s="361">
        <f t="shared" ca="1" si="9"/>
        <v>370400</v>
      </c>
      <c r="J142" s="361">
        <f t="shared" ca="1" si="10"/>
        <v>0</v>
      </c>
      <c r="K142" s="362">
        <f t="shared" ca="1" si="11"/>
        <v>370400</v>
      </c>
    </row>
    <row r="143" spans="2:11">
      <c r="B143" s="499">
        <v>2</v>
      </c>
      <c r="C143" s="500" t="s">
        <v>30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03">
        <f>F141*1</f>
        <v>2</v>
      </c>
      <c r="G143" s="360">
        <f ca="1">IF(ISERROR(OFFSET('HARGA SATUAN'!$I$6,MATCH(RAB!C143,'HARGA SATUAN'!$C$7:$C$1492,0),0)),0,OFFSET('HARGA SATUAN'!$I$6,MATCH(RAB!C143,'HARGA SATUAN'!$C$7:$C$1492,0),0))</f>
        <v>47459</v>
      </c>
      <c r="H143" s="361">
        <f t="shared" ca="1" si="8"/>
        <v>0</v>
      </c>
      <c r="I143" s="361">
        <f t="shared" ca="1" si="9"/>
        <v>94918</v>
      </c>
      <c r="J143" s="361">
        <f t="shared" ca="1" si="10"/>
        <v>0</v>
      </c>
      <c r="K143" s="362">
        <f t="shared" ca="1" si="11"/>
        <v>94918</v>
      </c>
    </row>
    <row r="144" spans="2:11">
      <c r="B144" s="499">
        <v>3</v>
      </c>
      <c r="C144" s="500" t="s">
        <v>32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Mtr</v>
      </c>
      <c r="F144" s="503">
        <f>F141*1.5</f>
        <v>3</v>
      </c>
      <c r="G144" s="360">
        <f ca="1">IF(ISERROR(OFFSET('HARGA SATUAN'!$I$6,MATCH(RAB!C144,'HARGA SATUAN'!$C$7:$C$1492,0),0)),0,OFFSET('HARGA SATUAN'!$I$6,MATCH(RAB!C144,'HARGA SATUAN'!$C$7:$C$1492,0),0))</f>
        <v>30000</v>
      </c>
      <c r="H144" s="361">
        <f t="shared" ca="1" si="8"/>
        <v>0</v>
      </c>
      <c r="I144" s="361">
        <f t="shared" ca="1" si="9"/>
        <v>90000</v>
      </c>
      <c r="J144" s="361">
        <f t="shared" ca="1" si="10"/>
        <v>0</v>
      </c>
      <c r="K144" s="362">
        <f t="shared" ca="1" si="11"/>
        <v>90000</v>
      </c>
    </row>
    <row r="145" spans="2:11">
      <c r="B145" s="499">
        <v>4</v>
      </c>
      <c r="C145" s="500" t="s">
        <v>33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3">
        <f>F141*2</f>
        <v>4</v>
      </c>
      <c r="G145" s="360">
        <f ca="1">IF(ISERROR(OFFSET('HARGA SATUAN'!$I$6,MATCH(RAB!C145,'HARGA SATUAN'!$C$7:$C$1492,0),0)),0,OFFSET('HARGA SATUAN'!$I$6,MATCH(RAB!C145,'HARGA SATUAN'!$C$7:$C$1492,0),0))</f>
        <v>9500</v>
      </c>
      <c r="H145" s="361">
        <f t="shared" ca="1" si="8"/>
        <v>0</v>
      </c>
      <c r="I145" s="361">
        <f t="shared" ca="1" si="9"/>
        <v>38000</v>
      </c>
      <c r="J145" s="361">
        <f t="shared" ca="1" si="10"/>
        <v>0</v>
      </c>
      <c r="K145" s="362">
        <f t="shared" ca="1" si="11"/>
        <v>38000</v>
      </c>
    </row>
    <row r="146" spans="2:11">
      <c r="B146" s="499">
        <v>5</v>
      </c>
      <c r="C146" s="500" t="s">
        <v>735</v>
      </c>
      <c r="D146" s="358" t="str">
        <f ca="1">IF(ISERROR(OFFSET('HARGA SATUAN'!$D$6,MATCH(RAB!C146,'HARGA SATUAN'!$C$7:$C$1492,0),0)),"",OFFSET('HARGA SATUAN'!$D$6,MATCH(RAB!C146,'HARGA SATUAN'!$C$7:$C$1492,0),0))</f>
        <v>JASA</v>
      </c>
      <c r="E146" s="359" t="str">
        <f ca="1">IF(B146="+","Unit",IF(ISERROR(OFFSET('HARGA SATUAN'!$E$6,MATCH(RAB!C146,'HARGA SATUAN'!$C$7:$C$1492,0),0)),"",OFFSET('HARGA SATUAN'!$E$6,MATCH(RAB!C146,'HARGA SATUAN'!$C$7:$C$1492,0),0)))</f>
        <v>Unit</v>
      </c>
      <c r="F146" s="503">
        <f>F141*1</f>
        <v>2</v>
      </c>
      <c r="G146" s="360">
        <f ca="1">IF(ISERROR(OFFSET('HARGA SATUAN'!$I$6,MATCH(RAB!C146,'HARGA SATUAN'!$C$7:$C$1492,0),0)),0,OFFSET('HARGA SATUAN'!$I$6,MATCH(RAB!C146,'HARGA SATUAN'!$C$7:$C$1492,0),0))</f>
        <v>56400</v>
      </c>
      <c r="H146" s="361">
        <f t="shared" ca="1" si="8"/>
        <v>0</v>
      </c>
      <c r="I146" s="361">
        <f t="shared" ca="1" si="9"/>
        <v>0</v>
      </c>
      <c r="J146" s="361">
        <f t="shared" ca="1" si="10"/>
        <v>112800</v>
      </c>
      <c r="K146" s="362">
        <f t="shared" ca="1" si="11"/>
        <v>112800</v>
      </c>
    </row>
    <row r="147" spans="2:11">
      <c r="B147" s="374"/>
      <c r="C147" s="373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368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ref="H147:H159" ca="1" si="56">IF(OR(D147="MDU",D147="MDU-KD"),(IF($O$3="RAB NON MDU","PLN KD",G147*F147)),0)</f>
        <v>0</v>
      </c>
      <c r="I147" s="361">
        <f t="shared" ref="I147:I159" ca="1" si="57">IF(D147="HDW",G147*F147,0)</f>
        <v>0</v>
      </c>
      <c r="J147" s="361">
        <f t="shared" ref="J147:J159" ca="1" si="58">IF(D147="JASA",G147*F147,0)</f>
        <v>0</v>
      </c>
      <c r="K147" s="362">
        <f t="shared" ref="K147:K159" ca="1" si="59">SUM(H147:J147)</f>
        <v>0</v>
      </c>
    </row>
    <row r="148" spans="2:11">
      <c r="B148" s="515" t="s">
        <v>1035</v>
      </c>
      <c r="C148" s="518" t="s">
        <v>1625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517">
        <v>1</v>
      </c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ref="H148:H157" ca="1" si="60">IF(OR(D148="MDU",D148="MDU-KD"),(IF($O$3="RAB NON MDU","PLN KD",G148*F148)),0)</f>
        <v>0</v>
      </c>
      <c r="I148" s="361">
        <f t="shared" ref="I148:I157" ca="1" si="61">IF(D148="HDW",G148*F148,0)</f>
        <v>0</v>
      </c>
      <c r="J148" s="361">
        <f t="shared" ref="J148:J157" ca="1" si="62">IF(D148="JASA",G148*F148,0)</f>
        <v>0</v>
      </c>
      <c r="K148" s="362">
        <f t="shared" ref="K148:K157" ca="1" si="63">SUM(H148:J148)</f>
        <v>0</v>
      </c>
    </row>
    <row r="149" spans="2:11">
      <c r="B149" s="515">
        <v>1</v>
      </c>
      <c r="C149" s="518" t="s">
        <v>163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517">
        <f>F148*4</f>
        <v>4</v>
      </c>
      <c r="G149" s="360">
        <f ca="1">IF(ISERROR(OFFSET('HARGA SATUAN'!$I$6,MATCH(RAB!C149,'HARGA SATUAN'!$C$7:$C$1492,0),0)),0,OFFSET('HARGA SATUAN'!$I$6,MATCH(RAB!C149,'HARGA SATUAN'!$C$7:$C$1492,0),0))</f>
        <v>7938</v>
      </c>
      <c r="H149" s="361">
        <f t="shared" ca="1" si="60"/>
        <v>0</v>
      </c>
      <c r="I149" s="361">
        <f t="shared" ca="1" si="61"/>
        <v>31752</v>
      </c>
      <c r="J149" s="361">
        <f t="shared" ca="1" si="62"/>
        <v>0</v>
      </c>
      <c r="K149" s="362">
        <f t="shared" ca="1" si="63"/>
        <v>31752</v>
      </c>
    </row>
    <row r="150" spans="2:11">
      <c r="B150" s="515">
        <v>2</v>
      </c>
      <c r="C150" s="518" t="s">
        <v>593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517">
        <f>F148*1</f>
        <v>1</v>
      </c>
      <c r="G150" s="360">
        <f ca="1">IF(ISERROR(OFFSET('HARGA SATUAN'!$I$6,MATCH(RAB!C150,'HARGA SATUAN'!$C$7:$C$1492,0),0)),0,OFFSET('HARGA SATUAN'!$I$6,MATCH(RAB!C150,'HARGA SATUAN'!$C$7:$C$1492,0),0))</f>
        <v>380500</v>
      </c>
      <c r="H150" s="361">
        <f t="shared" ca="1" si="60"/>
        <v>0</v>
      </c>
      <c r="I150" s="361">
        <f t="shared" ca="1" si="61"/>
        <v>380500</v>
      </c>
      <c r="J150" s="361">
        <f t="shared" ca="1" si="62"/>
        <v>0</v>
      </c>
      <c r="K150" s="362">
        <f t="shared" ca="1" si="63"/>
        <v>380500</v>
      </c>
    </row>
    <row r="151" spans="2:11">
      <c r="B151" s="515">
        <v>3</v>
      </c>
      <c r="C151" s="518" t="s">
        <v>248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517">
        <f>F148*2</f>
        <v>2</v>
      </c>
      <c r="G151" s="360">
        <f ca="1">IF(ISERROR(OFFSET('HARGA SATUAN'!$I$6,MATCH(RAB!C151,'HARGA SATUAN'!$C$7:$C$1492,0),0)),0,OFFSET('HARGA SATUAN'!$I$6,MATCH(RAB!C151,'HARGA SATUAN'!$C$7:$C$1492,0),0))</f>
        <v>60300</v>
      </c>
      <c r="H151" s="361">
        <f t="shared" ca="1" si="60"/>
        <v>0</v>
      </c>
      <c r="I151" s="361">
        <f t="shared" ca="1" si="61"/>
        <v>120600</v>
      </c>
      <c r="J151" s="361">
        <f t="shared" ca="1" si="62"/>
        <v>0</v>
      </c>
      <c r="K151" s="362">
        <f t="shared" ca="1" si="63"/>
        <v>120600</v>
      </c>
    </row>
    <row r="152" spans="2:11">
      <c r="B152" s="515">
        <v>4</v>
      </c>
      <c r="C152" s="516" t="s">
        <v>595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503">
        <f>F148*1</f>
        <v>1</v>
      </c>
      <c r="G152" s="360">
        <f ca="1">IF(ISERROR(OFFSET('HARGA SATUAN'!$I$6,MATCH(RAB!C152,'HARGA SATUAN'!$C$7:$C$1492,0),0)),0,OFFSET('HARGA SATUAN'!$I$6,MATCH(RAB!C152,'HARGA SATUAN'!$C$7:$C$1492,0),0))</f>
        <v>78500</v>
      </c>
      <c r="H152" s="361">
        <f t="shared" ca="1" si="60"/>
        <v>0</v>
      </c>
      <c r="I152" s="361">
        <f t="shared" ca="1" si="61"/>
        <v>78500</v>
      </c>
      <c r="J152" s="361">
        <f t="shared" ca="1" si="62"/>
        <v>0</v>
      </c>
      <c r="K152" s="362">
        <f t="shared" ca="1" si="63"/>
        <v>78500</v>
      </c>
    </row>
    <row r="153" spans="2:11">
      <c r="B153" s="515">
        <v>5</v>
      </c>
      <c r="C153" s="516" t="s">
        <v>229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503">
        <f>F148*1</f>
        <v>1</v>
      </c>
      <c r="G153" s="360">
        <f ca="1">IF(ISERROR(OFFSET('HARGA SATUAN'!$I$6,MATCH(RAB!C153,'HARGA SATUAN'!$C$7:$C$1492,0),0)),0,OFFSET('HARGA SATUAN'!$I$6,MATCH(RAB!C153,'HARGA SATUAN'!$C$7:$C$1492,0),0))</f>
        <v>4212</v>
      </c>
      <c r="H153" s="361">
        <f t="shared" ca="1" si="60"/>
        <v>0</v>
      </c>
      <c r="I153" s="361">
        <f t="shared" ca="1" si="61"/>
        <v>4212</v>
      </c>
      <c r="J153" s="361">
        <f t="shared" ca="1" si="62"/>
        <v>0</v>
      </c>
      <c r="K153" s="362">
        <f t="shared" ca="1" si="63"/>
        <v>4212</v>
      </c>
    </row>
    <row r="154" spans="2:11">
      <c r="B154" s="515">
        <v>6</v>
      </c>
      <c r="C154" s="516" t="s">
        <v>266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Mtr</v>
      </c>
      <c r="F154" s="503">
        <f>F148*1</f>
        <v>1</v>
      </c>
      <c r="G154" s="360">
        <f ca="1">IF(ISERROR(OFFSET('HARGA SATUAN'!$I$6,MATCH(RAB!C154,'HARGA SATUAN'!$C$7:$C$1492,0),0)),0,OFFSET('HARGA SATUAN'!$I$6,MATCH(RAB!C154,'HARGA SATUAN'!$C$7:$C$1492,0),0))</f>
        <v>23310</v>
      </c>
      <c r="H154" s="361">
        <f t="shared" ca="1" si="60"/>
        <v>0</v>
      </c>
      <c r="I154" s="361">
        <f t="shared" ca="1" si="61"/>
        <v>23310</v>
      </c>
      <c r="J154" s="361">
        <f t="shared" ca="1" si="62"/>
        <v>0</v>
      </c>
      <c r="K154" s="362">
        <f t="shared" ca="1" si="63"/>
        <v>23310</v>
      </c>
    </row>
    <row r="155" spans="2:11">
      <c r="B155" s="515">
        <v>7</v>
      </c>
      <c r="C155" s="516" t="s">
        <v>35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503">
        <f>F148*1</f>
        <v>1</v>
      </c>
      <c r="G155" s="360">
        <f ca="1">IF(ISERROR(OFFSET('HARGA SATUAN'!$I$6,MATCH(RAB!C155,'HARGA SATUAN'!$C$7:$C$1492,0),0)),0,OFFSET('HARGA SATUAN'!$I$6,MATCH(RAB!C155,'HARGA SATUAN'!$C$7:$C$1492,0),0))</f>
        <v>2300</v>
      </c>
      <c r="H155" s="361">
        <f t="shared" ca="1" si="60"/>
        <v>0</v>
      </c>
      <c r="I155" s="361">
        <f t="shared" ca="1" si="61"/>
        <v>2300</v>
      </c>
      <c r="J155" s="361">
        <f t="shared" ca="1" si="62"/>
        <v>0</v>
      </c>
      <c r="K155" s="362">
        <f t="shared" ca="1" si="63"/>
        <v>2300</v>
      </c>
    </row>
    <row r="156" spans="2:11">
      <c r="B156" s="374"/>
      <c r="C156" s="373"/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IF(B156="+","Unit",IF(ISERROR(OFFSET('HARGA SATUAN'!$E$6,MATCH(RAB!C156,'HARGA SATUAN'!$C$7:$C$1492,0),0)),"",OFFSET('HARGA SATUAN'!$E$6,MATCH(RAB!C156,'HARGA SATUAN'!$C$7:$C$1492,0),0)))</f>
        <v/>
      </c>
      <c r="F156" s="368"/>
      <c r="G156" s="360">
        <f ca="1">IF(ISERROR(OFFSET('HARGA SATUAN'!$I$6,MATCH(RAB!C156,'HARGA SATUAN'!$C$7:$C$1492,0),0)),0,OFFSET('HARGA SATUAN'!$I$6,MATCH(RAB!C156,'HARGA SATUAN'!$C$7:$C$1492,0),0))</f>
        <v>0</v>
      </c>
      <c r="H156" s="361">
        <f t="shared" ca="1" si="60"/>
        <v>0</v>
      </c>
      <c r="I156" s="361">
        <f t="shared" ca="1" si="61"/>
        <v>0</v>
      </c>
      <c r="J156" s="361">
        <f t="shared" ca="1" si="62"/>
        <v>0</v>
      </c>
      <c r="K156" s="362">
        <f t="shared" ca="1" si="63"/>
        <v>0</v>
      </c>
    </row>
    <row r="157" spans="2:11">
      <c r="B157" s="366" t="s">
        <v>22</v>
      </c>
      <c r="C157" s="367" t="s">
        <v>1616</v>
      </c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368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60"/>
        <v>0</v>
      </c>
      <c r="I157" s="361">
        <f t="shared" ca="1" si="61"/>
        <v>0</v>
      </c>
      <c r="J157" s="361">
        <f t="shared" ca="1" si="62"/>
        <v>0</v>
      </c>
      <c r="K157" s="362">
        <f t="shared" ca="1" si="63"/>
        <v>0</v>
      </c>
    </row>
    <row r="158" spans="2:11">
      <c r="B158" s="374"/>
      <c r="C158" s="373"/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368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56"/>
        <v>0</v>
      </c>
      <c r="I158" s="361">
        <f t="shared" ca="1" si="57"/>
        <v>0</v>
      </c>
      <c r="J158" s="361">
        <f t="shared" ca="1" si="58"/>
        <v>0</v>
      </c>
      <c r="K158" s="362">
        <f t="shared" ca="1" si="59"/>
        <v>0</v>
      </c>
    </row>
    <row r="159" spans="2:11">
      <c r="B159" s="375"/>
      <c r="C159" s="376" t="s">
        <v>475</v>
      </c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368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56"/>
        <v>0</v>
      </c>
      <c r="I159" s="361">
        <f t="shared" ca="1" si="57"/>
        <v>0</v>
      </c>
      <c r="J159" s="361">
        <f t="shared" ca="1" si="58"/>
        <v>0</v>
      </c>
      <c r="K159" s="362">
        <f t="shared" ca="1" si="59"/>
        <v>0</v>
      </c>
    </row>
    <row r="160" spans="2:11">
      <c r="B160" s="378">
        <v>1</v>
      </c>
      <c r="C160" s="379" t="s">
        <v>1091</v>
      </c>
      <c r="D160" s="380" t="str">
        <f ca="1">IF(ISERROR(OFFSET('HARGA SATUAN'!$D$6,MATCH(RAB!C160,'HARGA SATUAN'!$C$7:$C$1492,0),0)),"",OFFSET('HARGA SATUAN'!$D$6,MATCH(RAB!C160,'HARGA SATUAN'!$C$7:$C$1492,0),0))</f>
        <v>JASA</v>
      </c>
      <c r="E160" s="381" t="str">
        <f ca="1">IF(ISERROR(OFFSET('HARGA SATUAN'!$E$6,MATCH(RAB!C160,'HARGA SATUAN'!$C$7:$C$1492,0),0)),"",OFFSET('HARGA SATUAN'!$E$6,MATCH(RAB!C160,'HARGA SATUAN'!$C$7:$C$1492,0),0))</f>
        <v>Lot</v>
      </c>
      <c r="F160" s="382">
        <v>1</v>
      </c>
      <c r="G160" s="383">
        <f ca="1">IF(ISERROR(OFFSET('HARGA SATUAN'!$I$6,MATCH(RAB!C160,'HARGA SATUAN'!$C$7:$C$1492,0),0)),0,OFFSET('HARGA SATUAN'!$I$6,MATCH(RAB!C160,'HARGA SATUAN'!$C$7:$C$1492,0),0))</f>
        <v>2.5000000000000001E-2</v>
      </c>
      <c r="H160" s="384"/>
      <c r="I160" s="384"/>
      <c r="J160" s="384">
        <f ca="1">SUM(K15:K45)*G160</f>
        <v>398335.6083333334</v>
      </c>
      <c r="K160" s="385">
        <f ca="1">SUM(H160:J160)</f>
        <v>398335.6083333334</v>
      </c>
    </row>
    <row r="161" spans="2:13">
      <c r="B161" s="386"/>
      <c r="C161" s="387"/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IF(ISERROR(OFFSET('HARGA SATUAN'!$E$6,MATCH(RAB!C161,'HARGA SATUAN'!$C$7:$C$1492,0),0)),"",OFFSET('HARGA SATUAN'!$E$6,MATCH(RAB!C161,'HARGA SATUAN'!$C$7:$C$1492,0),0))</f>
        <v/>
      </c>
      <c r="F161" s="377"/>
      <c r="G161" s="360" t="str">
        <f ca="1">IF(ISERROR(OFFSET('HARGA SATUAN'!$I$6,MATCH(RAB!C161,'HARGA SATUAN'!$C$7:$C$1492,0),0)),"",OFFSET('HARGA SATUAN'!$I$6,MATCH(RAB!C161,'HARGA SATUAN'!$C$7:$C$1492,0),0))</f>
        <v/>
      </c>
      <c r="H161" s="361">
        <f ca="1">IF(OR(D161="MDU",D161="MDU-KD"),IF(G161="PLN",0,G161*F161),0)</f>
        <v>0</v>
      </c>
      <c r="I161" s="361">
        <f ca="1">IF(D161="HDW",IF(G161="PLN",0,G161*F161),0)</f>
        <v>0</v>
      </c>
      <c r="J161" s="361">
        <f ca="1">IF(D161="JASA",IF(G161="PLN",0,G161*F161),0)</f>
        <v>0</v>
      </c>
      <c r="K161" s="362">
        <f ca="1">SUM(H161:J161)</f>
        <v>0</v>
      </c>
    </row>
    <row r="162" spans="2:13" ht="15.75" thickBot="1">
      <c r="B162" s="388"/>
      <c r="C162" s="389"/>
      <c r="D162" s="390"/>
      <c r="E162" s="391"/>
      <c r="F162" s="391"/>
      <c r="G162" s="391"/>
      <c r="H162" s="392"/>
      <c r="I162" s="392"/>
      <c r="J162" s="392"/>
      <c r="K162" s="393"/>
    </row>
    <row r="163" spans="2:13">
      <c r="B163" s="394"/>
      <c r="C163" s="624" t="s">
        <v>1008</v>
      </c>
      <c r="D163" s="624"/>
      <c r="E163" s="624"/>
      <c r="F163" s="624"/>
      <c r="G163" s="395" t="s">
        <v>9</v>
      </c>
      <c r="H163" s="396">
        <f ca="1">SUM(H14:H161)</f>
        <v>112172450</v>
      </c>
      <c r="I163" s="396">
        <f ca="1">SUM(I14:I161)</f>
        <v>27079043.866666667</v>
      </c>
      <c r="J163" s="396">
        <f ca="1">SUM(J14:J161)</f>
        <v>5481978.9416666664</v>
      </c>
      <c r="K163" s="396">
        <f ca="1">SUM(K14:K161)</f>
        <v>144733472.80833331</v>
      </c>
    </row>
    <row r="164" spans="2:13">
      <c r="B164" s="398"/>
      <c r="C164" s="640" t="s">
        <v>1457</v>
      </c>
      <c r="D164" s="640"/>
      <c r="E164" s="640"/>
      <c r="F164" s="640"/>
      <c r="G164" s="399" t="s">
        <v>9</v>
      </c>
      <c r="H164" s="400">
        <f ca="1">H163*0.11</f>
        <v>12338969.5</v>
      </c>
      <c r="I164" s="400">
        <f ca="1">I163*0.11</f>
        <v>2978694.8253333336</v>
      </c>
      <c r="J164" s="400">
        <f ca="1">J163*0.11</f>
        <v>603017.68358333327</v>
      </c>
      <c r="K164" s="400">
        <f ca="1">K163*0.11</f>
        <v>15920682.008916663</v>
      </c>
    </row>
    <row r="165" spans="2:13" ht="15.75" thickBot="1">
      <c r="B165" s="398"/>
      <c r="C165" s="638" t="s">
        <v>463</v>
      </c>
      <c r="D165" s="638"/>
      <c r="E165" s="638"/>
      <c r="F165" s="638"/>
      <c r="G165" s="401" t="s">
        <v>9</v>
      </c>
      <c r="H165" s="402">
        <f ca="1">SUM(H163:H164)</f>
        <v>124511419.5</v>
      </c>
      <c r="I165" s="402">
        <f ca="1">SUM(I163:I164)</f>
        <v>30057738.692000002</v>
      </c>
      <c r="J165" s="401">
        <f ca="1">SUM(J163:J164)</f>
        <v>6084996.6252499996</v>
      </c>
      <c r="K165" s="401">
        <f ca="1">SUM(K163:K164)</f>
        <v>160654154.81724998</v>
      </c>
      <c r="M165" s="484"/>
    </row>
    <row r="166" spans="2:13">
      <c r="B166" s="641" t="str">
        <f ca="1">"Terbilang : "&amp;PROPER(IF(K165=0,"nol",IF(K165&lt;0,"minus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IF(--MID(TEXT(ABS(K165),"000000000000000"),1,3)=0,"",MID(TEXT(ABS(K165),"000000000000000"),1,1)&amp;" ratus "&amp;MID(TEXT(ABS(K165),"000000000000000"),2,1)&amp;" puluh "&amp;MID(TEXT(ABS(K165),"000000000000000"),3,1)&amp;" trilyun ")&amp; IF(--MID(TEXT(ABS(K165),"000000000000000"),4,3)=0,"",MID(TEXT(ABS(K165),"000000000000000"),4,1)&amp;" ratus "&amp;MID(TEXT(ABS(K165),"000000000000000"),5,1)&amp;" puluh "&amp;MID(TEXT(ABS(K165),"000000000000000"),6,1)&amp;" milyar ")&amp; IF(--MID(TEXT(ABS(K165),"000000000000000"),7,3)=0,"",MID(TEXT(ABS(K165),"000000000000000"),7,1)&amp;" ratus "&amp;MID(TEXT(ABS(K165),"000000000000000"),8,1)&amp;" puluh "&amp;MID(TEXT(ABS(K165),"000000000000000"),9,1)&amp;" juta ")&amp; IF(--MID(TEXT(ABS(K165),"000000000000000"),10,3)=0,"",IF(--MID(TEXT(ABS(K165),"000000000000000"),10,3)=1,"*",MID(TEXT(ABS(K165),"000000000000000"),10,1)&amp;" ratus "&amp;MID(TEXT(ABS(K165),"000000000000000"),11,1)&amp;" puluh ")&amp;MID(TEXT(ABS(K165),"000000000000000"),12,1)&amp;" ribu ")&amp; IF(--MID(TEXT(ABS(K165),"000000000000000"),13,3)=0,"",MID(TEXT(ABS(K165),"000000000000000"),13,1)&amp;" ratus "&amp;MID(TEXT(ABS(K165),"000000000000000"),14,1)&amp;" puluh "&amp;MID(TEXT(ABS(K165),"000000000000000"),15,1)),1,"satu"),2,"dua"),3,"tiga"),4,"empat"),5,"lima"),6,"enam"),7,"tujuh"),8,"delapan"),9,"sembilan"),"0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Juta Enam Ratus Lima Puluh Empat Ribu Seratus Lima Puluh Lima Rupiah</v>
      </c>
      <c r="C166" s="642"/>
      <c r="D166" s="642"/>
      <c r="E166" s="642"/>
      <c r="F166" s="642"/>
      <c r="G166" s="642"/>
      <c r="H166" s="642"/>
      <c r="I166" s="642"/>
      <c r="J166" s="642"/>
      <c r="K166" s="643"/>
    </row>
    <row r="167" spans="2:13">
      <c r="B167" s="644"/>
      <c r="C167" s="645"/>
      <c r="D167" s="645"/>
      <c r="E167" s="645"/>
      <c r="F167" s="645"/>
      <c r="G167" s="645"/>
      <c r="H167" s="645"/>
      <c r="I167" s="645"/>
      <c r="J167" s="645"/>
      <c r="K167" s="646"/>
    </row>
    <row r="168" spans="2:13" ht="15.75" thickBot="1">
      <c r="B168" s="403" t="str">
        <f>"Harga yang dipakai adalah "&amp;'HARGA SATUAN'!I5&amp;""</f>
        <v>Harga yang dipakai adalah RAB HSS 2023</v>
      </c>
      <c r="C168" s="404"/>
      <c r="D168" s="405"/>
      <c r="E168" s="405"/>
      <c r="F168" s="405"/>
      <c r="G168" s="406"/>
      <c r="H168" s="406"/>
      <c r="I168" s="406"/>
      <c r="J168" s="406"/>
      <c r="K168" s="407"/>
    </row>
    <row r="169" spans="2:13">
      <c r="C169" s="408"/>
      <c r="E169" s="410"/>
      <c r="F169" s="410"/>
      <c r="G169" s="410"/>
    </row>
    <row r="170" spans="2:13">
      <c r="C170" s="337"/>
      <c r="E170" s="410"/>
      <c r="F170" s="410"/>
      <c r="G170" s="410"/>
      <c r="H170" s="647"/>
      <c r="I170" s="647"/>
      <c r="J170" s="648"/>
      <c r="K170" s="648"/>
    </row>
    <row r="171" spans="2:13">
      <c r="C171" s="337"/>
      <c r="E171" s="410"/>
      <c r="F171" s="410"/>
      <c r="G171" s="410"/>
      <c r="H171" s="411"/>
      <c r="I171" s="637" t="s">
        <v>1642</v>
      </c>
      <c r="J171" s="637"/>
      <c r="K171" s="637"/>
    </row>
    <row r="172" spans="2:13">
      <c r="C172" s="337"/>
      <c r="E172" s="410"/>
      <c r="F172" s="410"/>
      <c r="G172" s="410"/>
      <c r="H172" s="411"/>
      <c r="I172" s="637" t="s">
        <v>1643</v>
      </c>
      <c r="J172" s="637"/>
      <c r="K172" s="637"/>
    </row>
    <row r="173" spans="2:13">
      <c r="C173" s="337"/>
      <c r="E173" s="410"/>
      <c r="F173" s="410"/>
      <c r="G173" s="410"/>
      <c r="H173" s="412"/>
      <c r="I173" s="413"/>
      <c r="J173" s="413"/>
      <c r="K173" s="413"/>
    </row>
    <row r="174" spans="2:13">
      <c r="C174" s="337"/>
      <c r="E174" s="410"/>
      <c r="F174" s="410"/>
      <c r="G174" s="410"/>
      <c r="H174" s="412"/>
      <c r="I174" s="412"/>
      <c r="J174" s="412"/>
      <c r="K174" s="412"/>
    </row>
    <row r="175" spans="2:13">
      <c r="C175" s="337"/>
      <c r="E175" s="410"/>
      <c r="F175" s="410"/>
      <c r="G175" s="410"/>
      <c r="H175" s="412"/>
      <c r="I175" s="412"/>
      <c r="J175" s="412"/>
      <c r="K175" s="412"/>
    </row>
    <row r="176" spans="2:13">
      <c r="C176" s="337"/>
      <c r="E176" s="410"/>
      <c r="F176" s="410"/>
      <c r="G176" s="410"/>
      <c r="H176" s="412"/>
      <c r="I176" s="412"/>
      <c r="J176" s="412"/>
      <c r="K176" s="412"/>
    </row>
    <row r="177" spans="3:11">
      <c r="C177" s="337"/>
      <c r="E177" s="410"/>
      <c r="F177" s="410"/>
      <c r="G177" s="410"/>
      <c r="H177" s="414"/>
      <c r="I177" s="637" t="s">
        <v>1641</v>
      </c>
      <c r="J177" s="637"/>
      <c r="K177" s="637"/>
    </row>
    <row r="178" spans="3:11">
      <c r="C178" s="408"/>
      <c r="E178" s="410"/>
      <c r="F178" s="410"/>
      <c r="G178" s="410"/>
      <c r="H178" s="412"/>
      <c r="I178" s="412"/>
      <c r="J178" s="412"/>
      <c r="K178" s="412"/>
    </row>
    <row r="179" spans="3:11">
      <c r="C179" s="408"/>
      <c r="E179" s="410"/>
      <c r="F179" s="410"/>
      <c r="G179" s="410"/>
      <c r="H179" s="412"/>
      <c r="I179" s="412"/>
      <c r="J179" s="412"/>
      <c r="K179" s="412"/>
    </row>
    <row r="180" spans="3:11">
      <c r="C180" s="408"/>
      <c r="E180" s="410"/>
      <c r="F180" s="410"/>
      <c r="G180" s="410"/>
      <c r="H180" s="412"/>
      <c r="I180" s="412"/>
      <c r="J180" s="412"/>
      <c r="K180" s="412"/>
    </row>
  </sheetData>
  <sheetProtection sort="0" autoFilter="0"/>
  <protectedRanges>
    <protectedRange sqref="B134:B156 B158" name="Range1_1"/>
    <protectedRange sqref="F133:F159 F14:F24 F30 F37:F74" name="Range1_1_2_2"/>
    <protectedRange sqref="C139:C156 C158 C134:C137" name="Range1_1_1"/>
    <protectedRange sqref="B30:C30 B22:C24 B75:C75 B40 B37:C39" name="Range1_6"/>
    <protectedRange sqref="B111:C121 B104:C105 B99:C99 B110 B95:C96 B106 B103 B101:C102 B107:C109 B132:C133 B97:B98" name="Range1_6_2"/>
    <protectedRange sqref="C17" name="Range1_1_3"/>
    <protectedRange sqref="C18:C19" name="Range1_1_3_2"/>
    <protectedRange sqref="C106" name="Range1_1_3_7"/>
    <protectedRange sqref="C110" name="Range1_1_3_11"/>
    <protectedRange sqref="C56" name="Range1_1_3_4"/>
    <protectedRange sqref="C26 C40:C41" name="Range1_1_3_5"/>
    <protectedRange sqref="C103" name="Range1_1_3_8"/>
    <protectedRange sqref="C97" name="Range1_1_3_1"/>
    <protectedRange sqref="C98" name="Range1_1_3_6"/>
    <protectedRange sqref="C32" name="Range1_1_3_3"/>
    <protectedRange sqref="C138" name="Range1_1_3_9"/>
  </protectedRanges>
  <mergeCells count="22">
    <mergeCell ref="I172:K172"/>
    <mergeCell ref="I177:K177"/>
    <mergeCell ref="C165:F165"/>
    <mergeCell ref="G6:K6"/>
    <mergeCell ref="I171:K171"/>
    <mergeCell ref="C164:F164"/>
    <mergeCell ref="B166:K167"/>
    <mergeCell ref="H170:K170"/>
    <mergeCell ref="H11:K11"/>
    <mergeCell ref="H12:H13"/>
    <mergeCell ref="J12:J13"/>
    <mergeCell ref="K12:K13"/>
    <mergeCell ref="O3:P4"/>
    <mergeCell ref="B4:K4"/>
    <mergeCell ref="C163:F163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17:C19">
    <cfRule type="cellIs" dxfId="16" priority="461" operator="equal">
      <formula>0</formula>
    </cfRule>
  </conditionalFormatting>
  <conditionalFormatting sqref="C21">
    <cfRule type="cellIs" dxfId="15" priority="88" operator="equal">
      <formula>0</formula>
    </cfRule>
  </conditionalFormatting>
  <conditionalFormatting sqref="C26">
    <cfRule type="cellIs" dxfId="14" priority="26" operator="equal">
      <formula>0</formula>
    </cfRule>
  </conditionalFormatting>
  <conditionalFormatting sqref="C40:C41">
    <cfRule type="cellIs" dxfId="13" priority="23" operator="equal">
      <formula>0</formula>
    </cfRule>
  </conditionalFormatting>
  <conditionalFormatting sqref="C56">
    <cfRule type="cellIs" dxfId="12" priority="20" operator="equal">
      <formula>0</formula>
    </cfRule>
  </conditionalFormatting>
  <conditionalFormatting sqref="C97:C98">
    <cfRule type="cellIs" dxfId="11" priority="14" operator="equal">
      <formula>0</formula>
    </cfRule>
  </conditionalFormatting>
  <conditionalFormatting sqref="C100">
    <cfRule type="cellIs" dxfId="10" priority="86" operator="equal">
      <formula>0</formula>
    </cfRule>
  </conditionalFormatting>
  <conditionalFormatting sqref="C103">
    <cfRule type="cellIs" dxfId="9" priority="18" operator="equal">
      <formula>0</formula>
    </cfRule>
  </conditionalFormatting>
  <conditionalFormatting sqref="C106:C107">
    <cfRule type="cellIs" dxfId="8" priority="41" operator="equal">
      <formula>0</formula>
    </cfRule>
  </conditionalFormatting>
  <conditionalFormatting sqref="C110">
    <cfRule type="cellIs" dxfId="7" priority="40" operator="equal">
      <formula>0</formula>
    </cfRule>
  </conditionalFormatting>
  <conditionalFormatting sqref="C157">
    <cfRule type="cellIs" dxfId="6" priority="84" operator="equal">
      <formula>0</formula>
    </cfRule>
  </conditionalFormatting>
  <conditionalFormatting sqref="E1:E3 G1:G13 E5:E13 H12:I12 O13 E160:G160 H160:K162 E161:H161 E162:F162 E14:K30 E31:E36 G31:K36 S14:V45 E37:K159">
    <cfRule type="cellIs" dxfId="5" priority="1041" stopIfTrue="1" operator="equal">
      <formula>0</formula>
    </cfRule>
  </conditionalFormatting>
  <conditionalFormatting sqref="G161:G65627 E166:E65627">
    <cfRule type="cellIs" dxfId="4" priority="175" stopIfTrue="1" operator="equal">
      <formula>0</formula>
    </cfRule>
  </conditionalFormatting>
  <conditionalFormatting sqref="F31:F36">
    <cfRule type="cellIs" dxfId="3" priority="4" stopIfTrue="1" operator="equal">
      <formula>0</formula>
    </cfRule>
  </conditionalFormatting>
  <conditionalFormatting sqref="C32">
    <cfRule type="cellIs" dxfId="2" priority="3" operator="equal">
      <formula>0</formula>
    </cfRule>
  </conditionalFormatting>
  <conditionalFormatting sqref="C135">
    <cfRule type="cellIs" dxfId="1" priority="2" operator="equal">
      <formula>0</formula>
    </cfRule>
  </conditionalFormatting>
  <conditionalFormatting sqref="C13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41:F146 C104:C105 F152:F155 F88:F132 F24:F54 H14:K162 F74:F8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AA23" sqref="AA23:AB2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1" t="s">
        <v>1439</v>
      </c>
      <c r="X2" s="652"/>
      <c r="Y2" s="652"/>
      <c r="Z2" s="652"/>
      <c r="AA2" s="652"/>
      <c r="AB2" s="652"/>
      <c r="AC2" s="652"/>
      <c r="AD2" s="653"/>
    </row>
    <row r="3" spans="3:30">
      <c r="C3" s="238"/>
      <c r="W3" s="654"/>
      <c r="X3" s="655"/>
      <c r="Y3" s="655"/>
      <c r="Z3" s="655"/>
      <c r="AA3" s="655"/>
      <c r="AB3" s="655"/>
      <c r="AC3" s="655"/>
      <c r="AD3" s="65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7" t="s">
        <v>990</v>
      </c>
      <c r="Y5" s="657"/>
      <c r="Z5" s="657"/>
      <c r="AA5" s="657" t="s">
        <v>988</v>
      </c>
      <c r="AB5" s="657"/>
      <c r="AC5" s="657" t="s">
        <v>989</v>
      </c>
      <c r="AD5" s="658"/>
    </row>
    <row r="6" spans="3:30">
      <c r="C6" s="238"/>
      <c r="W6" s="241">
        <v>1</v>
      </c>
      <c r="X6" s="657" t="s">
        <v>993</v>
      </c>
      <c r="Y6" s="657"/>
      <c r="Z6" s="657"/>
      <c r="AA6" s="657"/>
      <c r="AB6" s="657"/>
      <c r="AC6" s="657"/>
      <c r="AD6" s="658"/>
    </row>
    <row r="7" spans="3:30">
      <c r="C7" s="238"/>
      <c r="E7" s="490" t="str">
        <f>PETA!C6</f>
        <v>KOORDINAT : -6.924049, 110.685877</v>
      </c>
      <c r="W7" s="241">
        <v>2</v>
      </c>
      <c r="X7" s="657" t="s">
        <v>994</v>
      </c>
      <c r="Y7" s="657"/>
      <c r="Z7" s="657"/>
      <c r="AA7" s="657"/>
      <c r="AB7" s="657"/>
      <c r="AC7" s="657"/>
      <c r="AD7" s="658"/>
    </row>
    <row r="8" spans="3:30">
      <c r="C8" s="238"/>
      <c r="W8" s="241">
        <v>3</v>
      </c>
      <c r="X8" s="657" t="s">
        <v>995</v>
      </c>
      <c r="Y8" s="657"/>
      <c r="Z8" s="657"/>
      <c r="AA8" s="657"/>
      <c r="AB8" s="657"/>
      <c r="AC8" s="657"/>
      <c r="AD8" s="658"/>
    </row>
    <row r="9" spans="3:30">
      <c r="C9" s="238"/>
      <c r="W9" s="241">
        <v>4</v>
      </c>
      <c r="X9" s="657" t="s">
        <v>996</v>
      </c>
      <c r="Y9" s="657"/>
      <c r="Z9" s="657"/>
      <c r="AA9" s="657"/>
      <c r="AB9" s="657"/>
      <c r="AC9" s="657"/>
      <c r="AD9" s="658"/>
    </row>
    <row r="10" spans="3:30">
      <c r="C10" s="238"/>
      <c r="W10" s="241">
        <v>5</v>
      </c>
      <c r="X10" s="657" t="s">
        <v>997</v>
      </c>
      <c r="Y10" s="657"/>
      <c r="Z10" s="657"/>
      <c r="AA10" s="657"/>
      <c r="AB10" s="657"/>
      <c r="AC10" s="657"/>
      <c r="AD10" s="658"/>
    </row>
    <row r="11" spans="3:30">
      <c r="C11" s="238"/>
      <c r="W11" s="241">
        <v>6</v>
      </c>
      <c r="X11" s="657" t="s">
        <v>998</v>
      </c>
      <c r="Y11" s="657"/>
      <c r="Z11" s="657"/>
      <c r="AA11" s="657"/>
      <c r="AB11" s="657"/>
      <c r="AC11" s="657"/>
      <c r="AD11" s="658"/>
    </row>
    <row r="12" spans="3:30">
      <c r="C12" s="238"/>
      <c r="W12" s="241">
        <v>7</v>
      </c>
      <c r="X12" s="657" t="s">
        <v>999</v>
      </c>
      <c r="Y12" s="657"/>
      <c r="Z12" s="657"/>
      <c r="AA12" s="657"/>
      <c r="AB12" s="657"/>
      <c r="AC12" s="657"/>
      <c r="AD12" s="658"/>
    </row>
    <row r="13" spans="3:30" ht="12.75" customHeight="1">
      <c r="C13" s="238"/>
      <c r="W13" s="241">
        <v>8</v>
      </c>
      <c r="X13" s="657" t="s">
        <v>1000</v>
      </c>
      <c r="Y13" s="657"/>
      <c r="Z13" s="657"/>
      <c r="AA13" s="657"/>
      <c r="AB13" s="657"/>
      <c r="AC13" s="657"/>
      <c r="AD13" s="658"/>
    </row>
    <row r="14" spans="3:30">
      <c r="C14" s="238"/>
      <c r="W14" s="241">
        <v>9</v>
      </c>
      <c r="X14" s="657" t="s">
        <v>1001</v>
      </c>
      <c r="Y14" s="657"/>
      <c r="Z14" s="657"/>
      <c r="AA14" s="657"/>
      <c r="AB14" s="657"/>
      <c r="AC14" s="657"/>
      <c r="AD14" s="658"/>
    </row>
    <row r="15" spans="3:30">
      <c r="C15" s="238"/>
      <c r="W15" s="241">
        <v>10</v>
      </c>
      <c r="X15" s="657" t="s">
        <v>1010</v>
      </c>
      <c r="Y15" s="657"/>
      <c r="Z15" s="657"/>
      <c r="AA15" s="657"/>
      <c r="AB15" s="657"/>
      <c r="AC15" s="657"/>
      <c r="AD15" s="658"/>
    </row>
    <row r="16" spans="3:30">
      <c r="C16" s="238"/>
      <c r="W16" s="241">
        <v>11</v>
      </c>
      <c r="X16" s="657" t="s">
        <v>1455</v>
      </c>
      <c r="Y16" s="657"/>
      <c r="Z16" s="657"/>
      <c r="AA16" s="657"/>
      <c r="AB16" s="657"/>
      <c r="AC16" s="657"/>
      <c r="AD16" s="658"/>
    </row>
    <row r="17" spans="3:30">
      <c r="C17" s="238"/>
      <c r="S17" s="242"/>
      <c r="W17" s="241">
        <v>12</v>
      </c>
      <c r="X17" s="657" t="s">
        <v>1011</v>
      </c>
      <c r="Y17" s="657"/>
      <c r="Z17" s="657"/>
      <c r="AA17" s="657"/>
      <c r="AB17" s="657"/>
      <c r="AC17" s="657"/>
      <c r="AD17" s="658"/>
    </row>
    <row r="18" spans="3:30">
      <c r="C18" s="243"/>
      <c r="D18" s="244"/>
      <c r="E18" s="244"/>
      <c r="W18" s="241">
        <v>13</v>
      </c>
      <c r="X18" s="657"/>
      <c r="Y18" s="657"/>
      <c r="Z18" s="657"/>
      <c r="AA18" s="657"/>
      <c r="AB18" s="657"/>
      <c r="AC18" s="657"/>
      <c r="AD18" s="658"/>
    </row>
    <row r="19" spans="3:30">
      <c r="C19" s="238"/>
      <c r="W19" s="245"/>
      <c r="X19" s="674"/>
      <c r="Y19" s="674"/>
      <c r="Z19" s="674"/>
      <c r="AA19" s="674"/>
      <c r="AB19" s="674"/>
      <c r="AC19" s="674"/>
      <c r="AD19" s="675"/>
    </row>
    <row r="20" spans="3:30">
      <c r="C20" s="238"/>
      <c r="W20" s="659" t="s">
        <v>992</v>
      </c>
      <c r="X20" s="660"/>
      <c r="Y20" s="660"/>
      <c r="Z20" s="660"/>
      <c r="AA20" s="660"/>
      <c r="AB20" s="660"/>
      <c r="AC20" s="660"/>
      <c r="AD20" s="661"/>
    </row>
    <row r="21" spans="3:30">
      <c r="C21" s="238"/>
      <c r="W21" s="662" t="s">
        <v>985</v>
      </c>
      <c r="X21" s="663"/>
      <c r="Y21" s="663"/>
      <c r="Z21" s="664"/>
      <c r="AA21" s="665" t="s">
        <v>986</v>
      </c>
      <c r="AB21" s="666"/>
      <c r="AC21" s="666"/>
      <c r="AD21" s="667"/>
    </row>
    <row r="22" spans="3:30">
      <c r="C22" s="238"/>
      <c r="W22" s="668"/>
      <c r="X22" s="669"/>
      <c r="Y22" s="492"/>
      <c r="Z22" s="493"/>
      <c r="AA22" s="670"/>
      <c r="AB22" s="671"/>
      <c r="AC22" s="248"/>
      <c r="AD22" s="249"/>
    </row>
    <row r="23" spans="3:30">
      <c r="C23" s="238"/>
      <c r="W23" s="668"/>
      <c r="X23" s="669"/>
      <c r="Y23" s="492"/>
      <c r="Z23" s="493"/>
      <c r="AA23" s="672"/>
      <c r="AB23" s="673"/>
      <c r="AC23" s="248"/>
      <c r="AD23" s="249"/>
    </row>
    <row r="24" spans="3:30">
      <c r="C24" s="238"/>
      <c r="W24" s="678"/>
      <c r="X24" s="679"/>
      <c r="Y24" s="246"/>
      <c r="Z24" s="247"/>
      <c r="AA24" s="680"/>
      <c r="AB24" s="681"/>
      <c r="AC24" s="248"/>
      <c r="AD24" s="249"/>
    </row>
    <row r="25" spans="3:30">
      <c r="C25" s="238"/>
      <c r="W25" s="678"/>
      <c r="X25" s="679"/>
      <c r="Y25" s="246"/>
      <c r="Z25" s="247"/>
      <c r="AA25" s="672"/>
      <c r="AB25" s="673"/>
      <c r="AC25" s="248"/>
      <c r="AD25" s="249"/>
    </row>
    <row r="26" spans="3:30">
      <c r="C26" s="238"/>
      <c r="W26" s="480"/>
      <c r="X26" s="481"/>
      <c r="Y26" s="246"/>
      <c r="Z26" s="247"/>
      <c r="AA26" s="672"/>
      <c r="AB26" s="673"/>
      <c r="AC26" s="248"/>
      <c r="AD26" s="249"/>
    </row>
    <row r="27" spans="3:30">
      <c r="C27" s="238"/>
      <c r="W27" s="480"/>
      <c r="X27" s="481"/>
      <c r="Y27" s="246"/>
      <c r="Z27" s="247"/>
      <c r="AA27" s="676"/>
      <c r="AB27" s="677"/>
      <c r="AC27" s="248"/>
      <c r="AD27" s="249"/>
    </row>
    <row r="28" spans="3:30">
      <c r="C28" s="238"/>
      <c r="W28" s="480"/>
      <c r="X28" s="481"/>
      <c r="Y28" s="246"/>
      <c r="Z28" s="247"/>
      <c r="AA28" s="676"/>
      <c r="AB28" s="677"/>
      <c r="AC28" s="248"/>
      <c r="AD28" s="249"/>
    </row>
    <row r="29" spans="3:30">
      <c r="C29" s="238"/>
      <c r="W29" s="480"/>
      <c r="X29" s="481"/>
      <c r="Y29" s="246"/>
      <c r="Z29" s="247"/>
      <c r="AA29" s="676"/>
      <c r="AB29" s="67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6"/>
      <c r="AB30" s="67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6"/>
      <c r="AB31" s="67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6"/>
      <c r="AB32" s="677"/>
      <c r="AC32" s="248"/>
      <c r="AD32" s="249"/>
    </row>
    <row r="33" spans="3:30">
      <c r="C33" s="238"/>
      <c r="W33" s="480"/>
      <c r="X33" s="481"/>
      <c r="Y33" s="246"/>
      <c r="Z33" s="247"/>
      <c r="AA33" s="676"/>
      <c r="AB33" s="677"/>
      <c r="AC33" s="248"/>
      <c r="AD33" s="249"/>
    </row>
    <row r="34" spans="3:30">
      <c r="C34" s="238"/>
      <c r="W34" s="480"/>
      <c r="X34" s="481"/>
      <c r="Y34" s="246"/>
      <c r="Z34" s="247"/>
      <c r="AA34" s="676"/>
      <c r="AB34" s="677"/>
      <c r="AC34" s="248"/>
      <c r="AD34" s="249"/>
    </row>
    <row r="35" spans="3:30">
      <c r="C35" s="238"/>
      <c r="W35" s="678"/>
      <c r="X35" s="691"/>
      <c r="Y35" s="246"/>
      <c r="Z35" s="247"/>
      <c r="AA35" s="676"/>
      <c r="AB35" s="677"/>
      <c r="AC35" s="248"/>
      <c r="AD35" s="249"/>
    </row>
    <row r="36" spans="3:30">
      <c r="C36" s="238"/>
      <c r="W36" s="682"/>
      <c r="X36" s="683"/>
      <c r="Y36" s="246"/>
      <c r="Z36" s="251"/>
      <c r="AA36" s="684"/>
      <c r="AB36" s="677"/>
      <c r="AC36" s="248"/>
      <c r="AD36" s="249"/>
    </row>
    <row r="37" spans="3:30" ht="12.75" customHeight="1">
      <c r="C37" s="238"/>
      <c r="W37" s="685"/>
      <c r="X37" s="686"/>
      <c r="Y37" s="246"/>
      <c r="Z37" s="251"/>
      <c r="AA37" s="687"/>
      <c r="AB37" s="688"/>
      <c r="AC37" s="252"/>
      <c r="AD37" s="253"/>
    </row>
    <row r="38" spans="3:30" ht="12.75" customHeight="1">
      <c r="C38" s="238"/>
      <c r="W38" s="685"/>
      <c r="X38" s="68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5"/>
      <c r="X39" s="686"/>
      <c r="Y39" s="254"/>
      <c r="Z39" s="257"/>
      <c r="AA39" s="689"/>
      <c r="AB39" s="690"/>
      <c r="AC39" s="252"/>
      <c r="AD39" s="253"/>
    </row>
    <row r="40" spans="3:30" ht="12" customHeight="1">
      <c r="C40" s="238"/>
      <c r="W40" s="695"/>
      <c r="X40" s="696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7"/>
      <c r="X41" s="698"/>
      <c r="Y41" s="260"/>
      <c r="Z41" s="261"/>
      <c r="AA41" s="689"/>
      <c r="AB41" s="690"/>
      <c r="AC41" s="252"/>
      <c r="AD41" s="253"/>
    </row>
    <row r="42" spans="3:30" ht="12" customHeight="1">
      <c r="C42" s="238"/>
      <c r="W42" s="699" t="s">
        <v>1456</v>
      </c>
      <c r="X42" s="700"/>
      <c r="Y42" s="700"/>
      <c r="Z42" s="70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2" t="s">
        <v>11</v>
      </c>
      <c r="X44" s="693"/>
      <c r="Y44" s="657"/>
      <c r="Z44" s="657"/>
      <c r="AA44" s="657"/>
      <c r="AB44" s="657"/>
      <c r="AC44" s="657"/>
      <c r="AD44" s="65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2" t="s">
        <v>984</v>
      </c>
      <c r="X45" s="693"/>
      <c r="Y45" s="657">
        <v>1</v>
      </c>
      <c r="Z45" s="657"/>
      <c r="AA45" s="657"/>
      <c r="AB45" s="657" t="s">
        <v>12</v>
      </c>
      <c r="AC45" s="65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2" t="s">
        <v>15</v>
      </c>
      <c r="X46" s="693"/>
      <c r="Y46" s="694"/>
      <c r="Z46" s="694"/>
      <c r="AA46" s="694"/>
      <c r="AB46" s="657" t="s">
        <v>16</v>
      </c>
      <c r="AC46" s="65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7" t="str">
        <f>RAB!G6</f>
        <v>AGR UD SRI REJEKI</v>
      </c>
      <c r="X48" s="707"/>
      <c r="Y48" s="707"/>
      <c r="Z48" s="707"/>
      <c r="AA48" s="707"/>
      <c r="AB48" s="707"/>
      <c r="AC48" s="707"/>
      <c r="AD48" s="70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2" t="s">
        <v>18</v>
      </c>
      <c r="X52" s="693"/>
      <c r="Y52" s="657" t="s">
        <v>1547</v>
      </c>
      <c r="Z52" s="657"/>
      <c r="AA52" s="657"/>
      <c r="AB52" s="657"/>
      <c r="AC52" s="657"/>
      <c r="AD52" s="65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2" t="s">
        <v>19</v>
      </c>
      <c r="X53" s="693"/>
      <c r="Y53" s="657" t="s">
        <v>1547</v>
      </c>
      <c r="Z53" s="657"/>
      <c r="AA53" s="657"/>
      <c r="AB53" s="657"/>
      <c r="AC53" s="657"/>
      <c r="AD53" s="65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2" t="s">
        <v>20</v>
      </c>
      <c r="X54" s="693"/>
      <c r="Y54" s="701" t="s">
        <v>1548</v>
      </c>
      <c r="Z54" s="701"/>
      <c r="AA54" s="701"/>
      <c r="AB54" s="657"/>
      <c r="AC54" s="657"/>
      <c r="AD54" s="65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2" t="s">
        <v>21</v>
      </c>
      <c r="X55" s="703"/>
      <c r="Y55" s="701" t="s">
        <v>1549</v>
      </c>
      <c r="Z55" s="701"/>
      <c r="AA55" s="701"/>
      <c r="AB55" s="701"/>
      <c r="AC55" s="701"/>
      <c r="AD55" s="704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0" t="s">
        <v>1640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8"/>
      <c r="Z6" s="428"/>
      <c r="AA6" s="428"/>
      <c r="AB6" s="429"/>
      <c r="AC6" s="429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2023-10-06T07:48:21Z</dcterms:modified>
</cp:coreProperties>
</file>