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4. AMS 11012024 (UD SUMBER REJEKI DAN CRBC WIKA)-upload 11012024\UD SUMBER REJEKI\"/>
    </mc:Choice>
  </mc:AlternateContent>
  <xr:revisionPtr revIDLastSave="0" documentId="13_ncr:1_{30B2536E-14A5-422D-B74F-B32AB84AE8BE}" xr6:coauthVersionLast="47" xr6:coauthVersionMax="47" xr10:uidLastSave="{00000000-0000-0000-0000-000000000000}"/>
  <bookViews>
    <workbookView xWindow="-120" yWindow="-120" windowWidth="24240" windowHeight="131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67" i="11"/>
  <c r="F19" i="11"/>
  <c r="C6" i="62"/>
  <c r="F100" i="11" l="1"/>
  <c r="F98" i="11"/>
  <c r="F97" i="11"/>
  <c r="F99" i="11" s="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D102" i="11"/>
  <c r="H102" i="11" s="1"/>
  <c r="E102" i="11"/>
  <c r="D103" i="11"/>
  <c r="J103" i="11" s="1"/>
  <c r="E103" i="11"/>
  <c r="D93" i="11"/>
  <c r="H93" i="11" s="1"/>
  <c r="E93" i="11"/>
  <c r="D94" i="11"/>
  <c r="J94" i="11" s="1"/>
  <c r="E94" i="11"/>
  <c r="D95" i="11"/>
  <c r="I95" i="11" s="1"/>
  <c r="E95" i="11"/>
  <c r="D96" i="11"/>
  <c r="H96" i="11" s="1"/>
  <c r="E96" i="11"/>
  <c r="D97" i="11"/>
  <c r="E97" i="11"/>
  <c r="D98" i="11"/>
  <c r="J98" i="11" s="1"/>
  <c r="E98" i="11"/>
  <c r="D99" i="11"/>
  <c r="E99" i="11"/>
  <c r="D100" i="11"/>
  <c r="H100" i="11" s="1"/>
  <c r="E100" i="11"/>
  <c r="D101" i="11"/>
  <c r="H101" i="11" s="1"/>
  <c r="E101" i="11"/>
  <c r="H97" i="11" l="1"/>
  <c r="I99" i="11"/>
  <c r="J97" i="11"/>
  <c r="H99" i="11"/>
  <c r="J102" i="11"/>
  <c r="J101" i="11"/>
  <c r="J93" i="11"/>
  <c r="H95" i="11"/>
  <c r="I103" i="11"/>
  <c r="I98" i="11"/>
  <c r="I94" i="11"/>
  <c r="H103" i="11"/>
  <c r="I102" i="11"/>
  <c r="I101" i="11"/>
  <c r="J100" i="11"/>
  <c r="H98" i="11"/>
  <c r="I97" i="11"/>
  <c r="J96" i="11"/>
  <c r="H94" i="11"/>
  <c r="I93" i="11"/>
  <c r="I100" i="11"/>
  <c r="J99" i="11"/>
  <c r="I96" i="11"/>
  <c r="J95" i="11"/>
  <c r="K102" i="11" l="1"/>
  <c r="K100" i="11"/>
  <c r="K97" i="11"/>
  <c r="K101" i="11"/>
  <c r="K96" i="11"/>
  <c r="K94" i="11"/>
  <c r="K99" i="11"/>
  <c r="K95" i="11"/>
  <c r="K93" i="11"/>
  <c r="K98" i="11"/>
  <c r="K103" i="11"/>
  <c r="F122" i="11" l="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5" i="11"/>
  <c r="G6" i="11" l="1"/>
  <c r="F92" i="11"/>
  <c r="F91" i="11"/>
  <c r="F90" i="11"/>
  <c r="F89" i="11"/>
  <c r="F86" i="11"/>
  <c r="F85" i="11"/>
  <c r="F84" i="11"/>
  <c r="F83" i="11"/>
  <c r="F80" i="11"/>
  <c r="F79" i="11"/>
  <c r="F78" i="11"/>
  <c r="F77" i="11"/>
  <c r="F76" i="11"/>
  <c r="F75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8" i="11"/>
  <c r="G89" i="11"/>
  <c r="G90" i="11"/>
  <c r="G91" i="11"/>
  <c r="G92" i="11"/>
  <c r="D71" i="11"/>
  <c r="H71" i="11" s="1"/>
  <c r="E71" i="11"/>
  <c r="D72" i="11"/>
  <c r="J72" i="11" s="1"/>
  <c r="E72" i="11"/>
  <c r="D73" i="11"/>
  <c r="I73" i="11" s="1"/>
  <c r="E73" i="11"/>
  <c r="D74" i="11"/>
  <c r="H74" i="11" s="1"/>
  <c r="E74" i="11"/>
  <c r="D75" i="11"/>
  <c r="H75" i="11" s="1"/>
  <c r="E75" i="11"/>
  <c r="D76" i="11"/>
  <c r="J76" i="11" s="1"/>
  <c r="E76" i="11"/>
  <c r="D77" i="11"/>
  <c r="E77" i="11"/>
  <c r="D78" i="11"/>
  <c r="H78" i="11" s="1"/>
  <c r="E78" i="11"/>
  <c r="D79" i="11"/>
  <c r="H79" i="11" s="1"/>
  <c r="E79" i="11"/>
  <c r="D80" i="11"/>
  <c r="E80" i="11"/>
  <c r="D81" i="11"/>
  <c r="I81" i="11" s="1"/>
  <c r="E81" i="11"/>
  <c r="D82" i="11"/>
  <c r="H82" i="11" s="1"/>
  <c r="E82" i="11"/>
  <c r="D83" i="11"/>
  <c r="H83" i="11" s="1"/>
  <c r="E83" i="11"/>
  <c r="D84" i="11"/>
  <c r="J84" i="11" s="1"/>
  <c r="E84" i="11"/>
  <c r="D85" i="11"/>
  <c r="E85" i="11"/>
  <c r="D86" i="11"/>
  <c r="H86" i="11" s="1"/>
  <c r="E86" i="11"/>
  <c r="D88" i="11"/>
  <c r="H88" i="11" s="1"/>
  <c r="E88" i="11"/>
  <c r="D89" i="11"/>
  <c r="J89" i="11" s="1"/>
  <c r="E89" i="11"/>
  <c r="D90" i="11"/>
  <c r="E90" i="11"/>
  <c r="D91" i="11"/>
  <c r="H91" i="11" s="1"/>
  <c r="E91" i="11"/>
  <c r="D92" i="11"/>
  <c r="H92" i="11" s="1"/>
  <c r="E92" i="11"/>
  <c r="F158" i="11"/>
  <c r="F157" i="11"/>
  <c r="F156" i="11"/>
  <c r="F155" i="11"/>
  <c r="F154" i="11"/>
  <c r="F151" i="11"/>
  <c r="F150" i="11"/>
  <c r="F149" i="11"/>
  <c r="F148" i="11"/>
  <c r="F147" i="11"/>
  <c r="F146" i="11"/>
  <c r="F145" i="11"/>
  <c r="F142" i="11"/>
  <c r="F140" i="11"/>
  <c r="F139" i="11"/>
  <c r="F138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3" i="11"/>
  <c r="G154" i="11"/>
  <c r="G155" i="11"/>
  <c r="G156" i="11"/>
  <c r="G157" i="11"/>
  <c r="G158" i="11"/>
  <c r="G159" i="11"/>
  <c r="G160" i="11"/>
  <c r="G161" i="11"/>
  <c r="D134" i="11"/>
  <c r="H134" i="11" s="1"/>
  <c r="E134" i="11"/>
  <c r="D135" i="11"/>
  <c r="J135" i="11" s="1"/>
  <c r="E135" i="11"/>
  <c r="D136" i="11"/>
  <c r="I136" i="11" s="1"/>
  <c r="E136" i="11"/>
  <c r="D137" i="11"/>
  <c r="H137" i="11" s="1"/>
  <c r="E137" i="11"/>
  <c r="D138" i="11"/>
  <c r="E138" i="11"/>
  <c r="D139" i="11"/>
  <c r="J139" i="11" s="1"/>
  <c r="E139" i="11"/>
  <c r="D140" i="11"/>
  <c r="E140" i="11"/>
  <c r="D141" i="11"/>
  <c r="E141" i="11"/>
  <c r="D142" i="11"/>
  <c r="H142" i="11" s="1"/>
  <c r="E142" i="11"/>
  <c r="D143" i="11"/>
  <c r="I143" i="11" s="1"/>
  <c r="E143" i="11"/>
  <c r="D144" i="11"/>
  <c r="H144" i="11" s="1"/>
  <c r="E144" i="11"/>
  <c r="D145" i="11"/>
  <c r="H145" i="11" s="1"/>
  <c r="E145" i="11"/>
  <c r="D146" i="11"/>
  <c r="J146" i="11" s="1"/>
  <c r="E146" i="11"/>
  <c r="D147" i="11"/>
  <c r="E147" i="11"/>
  <c r="D148" i="11"/>
  <c r="H148" i="11" s="1"/>
  <c r="E148" i="11"/>
  <c r="D149" i="11"/>
  <c r="H149" i="11" s="1"/>
  <c r="E149" i="11"/>
  <c r="D150" i="11"/>
  <c r="J150" i="11" s="1"/>
  <c r="E150" i="11"/>
  <c r="D151" i="11"/>
  <c r="E151" i="11"/>
  <c r="D153" i="11"/>
  <c r="H153" i="11" s="1"/>
  <c r="E153" i="11"/>
  <c r="D154" i="11"/>
  <c r="H154" i="11" s="1"/>
  <c r="E154" i="11"/>
  <c r="D155" i="11"/>
  <c r="J155" i="11" s="1"/>
  <c r="E155" i="11"/>
  <c r="D156" i="11"/>
  <c r="E156" i="11"/>
  <c r="D157" i="11"/>
  <c r="H157" i="11" s="1"/>
  <c r="E157" i="11"/>
  <c r="D158" i="11"/>
  <c r="H158" i="11" s="1"/>
  <c r="E158" i="11"/>
  <c r="D159" i="11"/>
  <c r="J159" i="11" s="1"/>
  <c r="E159" i="11"/>
  <c r="F133" i="11"/>
  <c r="F132" i="11"/>
  <c r="F131" i="11"/>
  <c r="F130" i="11"/>
  <c r="F129" i="11"/>
  <c r="F128" i="11"/>
  <c r="F127" i="11"/>
  <c r="F126" i="11"/>
  <c r="F125" i="11"/>
  <c r="D104" i="11"/>
  <c r="E104" i="11"/>
  <c r="D105" i="11"/>
  <c r="E105" i="11"/>
  <c r="G105" i="11"/>
  <c r="D106" i="11"/>
  <c r="H106" i="11" s="1"/>
  <c r="E106" i="11"/>
  <c r="G106" i="11"/>
  <c r="D107" i="11"/>
  <c r="J107" i="11" s="1"/>
  <c r="E107" i="11"/>
  <c r="G107" i="11"/>
  <c r="D108" i="11"/>
  <c r="J108" i="11" s="1"/>
  <c r="E108" i="11"/>
  <c r="G108" i="11"/>
  <c r="D109" i="11"/>
  <c r="I109" i="11" s="1"/>
  <c r="E109" i="11"/>
  <c r="G109" i="11"/>
  <c r="D110" i="11"/>
  <c r="I110" i="11" s="1"/>
  <c r="E110" i="11"/>
  <c r="G110" i="11"/>
  <c r="D111" i="11"/>
  <c r="H111" i="11" s="1"/>
  <c r="E111" i="11"/>
  <c r="G111" i="11"/>
  <c r="D112" i="11"/>
  <c r="J112" i="11" s="1"/>
  <c r="E112" i="11"/>
  <c r="G112" i="11"/>
  <c r="D113" i="11"/>
  <c r="J113" i="11" s="1"/>
  <c r="E113" i="11"/>
  <c r="G113" i="11"/>
  <c r="D114" i="11"/>
  <c r="H114" i="11" s="1"/>
  <c r="E114" i="11"/>
  <c r="G114" i="11"/>
  <c r="D115" i="11"/>
  <c r="H115" i="11" s="1"/>
  <c r="E115" i="11"/>
  <c r="G115" i="11"/>
  <c r="D116" i="11"/>
  <c r="J116" i="11" s="1"/>
  <c r="E116" i="11"/>
  <c r="G116" i="11"/>
  <c r="D117" i="11"/>
  <c r="J117" i="11" s="1"/>
  <c r="E117" i="11"/>
  <c r="G117" i="11"/>
  <c r="D118" i="11"/>
  <c r="H118" i="11" s="1"/>
  <c r="E118" i="11"/>
  <c r="G118" i="11"/>
  <c r="D119" i="11"/>
  <c r="H119" i="11" s="1"/>
  <c r="E119" i="11"/>
  <c r="G119" i="11"/>
  <c r="D120" i="11"/>
  <c r="J120" i="11" s="1"/>
  <c r="E120" i="11"/>
  <c r="G120" i="11"/>
  <c r="D121" i="11"/>
  <c r="H121" i="11" s="1"/>
  <c r="E121" i="11"/>
  <c r="G121" i="11"/>
  <c r="D122" i="11"/>
  <c r="H122" i="11" s="1"/>
  <c r="E122" i="11"/>
  <c r="G122" i="11"/>
  <c r="D123" i="11"/>
  <c r="J123" i="11" s="1"/>
  <c r="E123" i="11"/>
  <c r="G123" i="11"/>
  <c r="D124" i="11"/>
  <c r="H124" i="11" s="1"/>
  <c r="E124" i="11"/>
  <c r="G124" i="11"/>
  <c r="D125" i="11"/>
  <c r="H125" i="11" s="1"/>
  <c r="E125" i="11"/>
  <c r="G125" i="11"/>
  <c r="D126" i="11"/>
  <c r="J126" i="11" s="1"/>
  <c r="E126" i="11"/>
  <c r="G126" i="11"/>
  <c r="D127" i="11"/>
  <c r="J127" i="11" s="1"/>
  <c r="E127" i="11"/>
  <c r="G127" i="11"/>
  <c r="D128" i="11"/>
  <c r="J128" i="11" s="1"/>
  <c r="E128" i="11"/>
  <c r="G128" i="11"/>
  <c r="D129" i="11"/>
  <c r="H129" i="11" s="1"/>
  <c r="E129" i="11"/>
  <c r="G129" i="11"/>
  <c r="D130" i="11"/>
  <c r="H130" i="11" s="1"/>
  <c r="E130" i="11"/>
  <c r="G130" i="11"/>
  <c r="D131" i="11"/>
  <c r="J131" i="11" s="1"/>
  <c r="E131" i="11"/>
  <c r="G131" i="11"/>
  <c r="D132" i="11"/>
  <c r="J132" i="11" s="1"/>
  <c r="E132" i="11"/>
  <c r="G132" i="11"/>
  <c r="D133" i="11"/>
  <c r="H133" i="11" s="1"/>
  <c r="E133" i="11"/>
  <c r="G133" i="11"/>
  <c r="D160" i="11"/>
  <c r="I160" i="11" s="1"/>
  <c r="E160" i="11"/>
  <c r="D161" i="11"/>
  <c r="H161" i="11" s="1"/>
  <c r="E161" i="11"/>
  <c r="D162" i="11"/>
  <c r="I162" i="11" s="1"/>
  <c r="E162" i="11"/>
  <c r="G162" i="11"/>
  <c r="D69" i="11"/>
  <c r="J69" i="11" s="1"/>
  <c r="E69" i="11"/>
  <c r="G69" i="11"/>
  <c r="F68" i="11"/>
  <c r="F64" i="11"/>
  <c r="F63" i="11"/>
  <c r="F62" i="11"/>
  <c r="F61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H63" i="11" s="1"/>
  <c r="E63" i="11"/>
  <c r="G63" i="11"/>
  <c r="D64" i="1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E68" i="11"/>
  <c r="G68" i="11"/>
  <c r="D70" i="11"/>
  <c r="H70" i="11" s="1"/>
  <c r="E70" i="11"/>
  <c r="G70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J80" i="11" l="1"/>
  <c r="I104" i="11"/>
  <c r="J104" i="11"/>
  <c r="H104" i="11"/>
  <c r="I85" i="11"/>
  <c r="I90" i="11"/>
  <c r="I77" i="11"/>
  <c r="I89" i="11"/>
  <c r="J86" i="11"/>
  <c r="H84" i="11"/>
  <c r="I72" i="11"/>
  <c r="H89" i="11"/>
  <c r="I76" i="11"/>
  <c r="J74" i="11"/>
  <c r="H72" i="11"/>
  <c r="I80" i="11"/>
  <c r="J78" i="11"/>
  <c r="H76" i="11"/>
  <c r="I84" i="11"/>
  <c r="J82" i="11"/>
  <c r="H80" i="11"/>
  <c r="J92" i="11"/>
  <c r="H90" i="11"/>
  <c r="J88" i="11"/>
  <c r="H85" i="11"/>
  <c r="J83" i="11"/>
  <c r="H81" i="11"/>
  <c r="J79" i="11"/>
  <c r="H77" i="11"/>
  <c r="J75" i="11"/>
  <c r="H73" i="11"/>
  <c r="J71" i="11"/>
  <c r="I156" i="11"/>
  <c r="I151" i="11"/>
  <c r="I147" i="11"/>
  <c r="I92" i="11"/>
  <c r="J91" i="11"/>
  <c r="I88" i="11"/>
  <c r="I83" i="11"/>
  <c r="I79" i="11"/>
  <c r="I75" i="11"/>
  <c r="I71" i="11"/>
  <c r="I91" i="11"/>
  <c r="J90" i="11"/>
  <c r="I86" i="11"/>
  <c r="K86" i="11" s="1"/>
  <c r="J85" i="11"/>
  <c r="I82" i="11"/>
  <c r="J81" i="11"/>
  <c r="I78" i="11"/>
  <c r="K78" i="11" s="1"/>
  <c r="J77" i="11"/>
  <c r="I74" i="11"/>
  <c r="J73" i="11"/>
  <c r="H138" i="11"/>
  <c r="H141" i="11"/>
  <c r="I140" i="11"/>
  <c r="J142" i="11"/>
  <c r="I135" i="11"/>
  <c r="J158" i="11"/>
  <c r="I150" i="11"/>
  <c r="H143" i="11"/>
  <c r="I155" i="11"/>
  <c r="H147" i="11"/>
  <c r="J145" i="11"/>
  <c r="I139" i="11"/>
  <c r="I159" i="11"/>
  <c r="H151" i="11"/>
  <c r="J149" i="11"/>
  <c r="H136" i="11"/>
  <c r="J134" i="11"/>
  <c r="J109" i="11"/>
  <c r="H156" i="11"/>
  <c r="J154" i="11"/>
  <c r="I146" i="11"/>
  <c r="H140" i="11"/>
  <c r="J138" i="11"/>
  <c r="H160" i="11"/>
  <c r="J161" i="11"/>
  <c r="H159" i="11"/>
  <c r="I158" i="11"/>
  <c r="J157" i="11"/>
  <c r="H155" i="11"/>
  <c r="I154" i="11"/>
  <c r="J153" i="11"/>
  <c r="H150" i="11"/>
  <c r="I149" i="11"/>
  <c r="J148" i="11"/>
  <c r="H146" i="11"/>
  <c r="I145" i="11"/>
  <c r="J144" i="11"/>
  <c r="I142" i="11"/>
  <c r="J141" i="11"/>
  <c r="H139" i="11"/>
  <c r="I138" i="11"/>
  <c r="J137" i="11"/>
  <c r="H135" i="11"/>
  <c r="I134" i="11"/>
  <c r="I161" i="11"/>
  <c r="J160" i="11"/>
  <c r="I157" i="11"/>
  <c r="J156" i="11"/>
  <c r="I153" i="11"/>
  <c r="J151" i="11"/>
  <c r="I148" i="11"/>
  <c r="J147" i="11"/>
  <c r="I144" i="11"/>
  <c r="J143" i="11"/>
  <c r="I141" i="11"/>
  <c r="J140" i="11"/>
  <c r="I137" i="11"/>
  <c r="J136" i="11"/>
  <c r="I128" i="11"/>
  <c r="H128" i="11"/>
  <c r="J124" i="11"/>
  <c r="H109" i="11"/>
  <c r="J111" i="11"/>
  <c r="I107" i="11"/>
  <c r="J119" i="11"/>
  <c r="J162" i="11"/>
  <c r="I124" i="11"/>
  <c r="I122" i="11"/>
  <c r="J121" i="11"/>
  <c r="J130" i="11"/>
  <c r="H105" i="11"/>
  <c r="I130" i="11"/>
  <c r="I121" i="11"/>
  <c r="I119" i="11"/>
  <c r="I105" i="11"/>
  <c r="I113" i="11"/>
  <c r="I111" i="11"/>
  <c r="J115" i="11"/>
  <c r="H113" i="11"/>
  <c r="H110" i="11"/>
  <c r="H107" i="11"/>
  <c r="I106" i="11"/>
  <c r="J105" i="11"/>
  <c r="I126" i="11"/>
  <c r="H132" i="11"/>
  <c r="H117" i="11"/>
  <c r="I115" i="11"/>
  <c r="H162" i="11"/>
  <c r="I129" i="11"/>
  <c r="I114" i="11"/>
  <c r="I132" i="11"/>
  <c r="I117" i="11"/>
  <c r="H126" i="11"/>
  <c r="I125" i="11"/>
  <c r="I133" i="11"/>
  <c r="I118" i="11"/>
  <c r="J133" i="11"/>
  <c r="H131" i="11"/>
  <c r="J129" i="11"/>
  <c r="H127" i="11"/>
  <c r="J125" i="11"/>
  <c r="H123" i="11"/>
  <c r="J122" i="11"/>
  <c r="H120" i="11"/>
  <c r="J118" i="11"/>
  <c r="H116" i="11"/>
  <c r="J114" i="11"/>
  <c r="H112" i="11"/>
  <c r="J110" i="11"/>
  <c r="H108" i="11"/>
  <c r="J106" i="11"/>
  <c r="I131" i="11"/>
  <c r="I127" i="11"/>
  <c r="I123" i="11"/>
  <c r="I112" i="11"/>
  <c r="I120" i="11"/>
  <c r="I116" i="11"/>
  <c r="I108" i="11"/>
  <c r="I69" i="11"/>
  <c r="H69" i="11"/>
  <c r="J63" i="11"/>
  <c r="J65" i="11"/>
  <c r="I67" i="11"/>
  <c r="I65" i="11"/>
  <c r="I63" i="11"/>
  <c r="J68" i="11"/>
  <c r="J64" i="11"/>
  <c r="I70" i="11"/>
  <c r="H67" i="11"/>
  <c r="I66" i="11"/>
  <c r="H61" i="11"/>
  <c r="I60" i="11"/>
  <c r="I61" i="11"/>
  <c r="I68" i="11"/>
  <c r="I64" i="11"/>
  <c r="I62" i="11"/>
  <c r="J70" i="11"/>
  <c r="H68" i="11"/>
  <c r="J66" i="11"/>
  <c r="H64" i="11"/>
  <c r="J62" i="11"/>
  <c r="H60" i="11"/>
  <c r="J52" i="11"/>
  <c r="I52" i="11"/>
  <c r="J59" i="11"/>
  <c r="J58" i="11"/>
  <c r="I43" i="11"/>
  <c r="I59" i="11"/>
  <c r="J54" i="11"/>
  <c r="I58" i="11"/>
  <c r="I57" i="11"/>
  <c r="J56" i="11"/>
  <c r="I54" i="11"/>
  <c r="K54" i="11" s="1"/>
  <c r="J55" i="11"/>
  <c r="I56" i="11"/>
  <c r="I55" i="11"/>
  <c r="I53" i="11"/>
  <c r="H57" i="11"/>
  <c r="H53" i="11"/>
  <c r="J43" i="11"/>
  <c r="J42" i="11"/>
  <c r="J51" i="11"/>
  <c r="J47" i="11"/>
  <c r="I47" i="11"/>
  <c r="J46" i="11"/>
  <c r="I51" i="11"/>
  <c r="J50" i="11"/>
  <c r="I48" i="11"/>
  <c r="I44" i="11"/>
  <c r="I40" i="11"/>
  <c r="I50" i="11"/>
  <c r="H48" i="11"/>
  <c r="I46" i="11"/>
  <c r="H44" i="11"/>
  <c r="I42" i="11"/>
  <c r="H40" i="11"/>
  <c r="I45" i="11"/>
  <c r="I41" i="11"/>
  <c r="I49" i="11"/>
  <c r="H26" i="11"/>
  <c r="H49" i="11"/>
  <c r="H45" i="11"/>
  <c r="H41" i="11"/>
  <c r="H25" i="11"/>
  <c r="J30" i="11"/>
  <c r="I30" i="11"/>
  <c r="J29" i="11"/>
  <c r="J26" i="11"/>
  <c r="J33" i="11"/>
  <c r="J16" i="11"/>
  <c r="I26" i="11"/>
  <c r="I35" i="11"/>
  <c r="J34" i="11"/>
  <c r="J22" i="11"/>
  <c r="I31" i="11"/>
  <c r="I27" i="11"/>
  <c r="J19" i="11"/>
  <c r="I34" i="11"/>
  <c r="I22" i="11"/>
  <c r="J21" i="11"/>
  <c r="I19" i="11"/>
  <c r="J18" i="11"/>
  <c r="I16" i="11"/>
  <c r="J35" i="11"/>
  <c r="I33" i="11"/>
  <c r="I32" i="11"/>
  <c r="J31" i="11"/>
  <c r="I29" i="11"/>
  <c r="I28" i="11"/>
  <c r="J27" i="11"/>
  <c r="I25" i="11"/>
  <c r="I24" i="11"/>
  <c r="J23" i="11"/>
  <c r="I21" i="11"/>
  <c r="I20" i="11"/>
  <c r="I23" i="11"/>
  <c r="I18" i="11"/>
  <c r="I17" i="11"/>
  <c r="J25" i="11"/>
  <c r="H32" i="11"/>
  <c r="H28" i="11"/>
  <c r="H24" i="11"/>
  <c r="H20" i="11"/>
  <c r="H17" i="11"/>
  <c r="K72" i="11" l="1"/>
  <c r="K89" i="11"/>
  <c r="K104" i="11"/>
  <c r="K63" i="11"/>
  <c r="K75" i="11"/>
  <c r="K143" i="11"/>
  <c r="K157" i="11"/>
  <c r="K134" i="11"/>
  <c r="K135" i="11"/>
  <c r="K76" i="11"/>
  <c r="K80" i="11"/>
  <c r="K83" i="11"/>
  <c r="K84" i="11"/>
  <c r="K82" i="11"/>
  <c r="K91" i="11"/>
  <c r="K92" i="11"/>
  <c r="K71" i="11"/>
  <c r="K154" i="11"/>
  <c r="K159" i="11"/>
  <c r="K136" i="11"/>
  <c r="K88" i="11"/>
  <c r="K147" i="11"/>
  <c r="K155" i="11"/>
  <c r="K74" i="11"/>
  <c r="K79" i="11"/>
  <c r="K77" i="11"/>
  <c r="K73" i="11"/>
  <c r="K81" i="11"/>
  <c r="K90" i="11"/>
  <c r="K85" i="11"/>
  <c r="K141" i="11"/>
  <c r="K142" i="11"/>
  <c r="K153" i="11"/>
  <c r="K121" i="11"/>
  <c r="K137" i="11"/>
  <c r="K151" i="11"/>
  <c r="K146" i="11"/>
  <c r="K158" i="11"/>
  <c r="K144" i="11"/>
  <c r="K161" i="11"/>
  <c r="K133" i="11"/>
  <c r="K122" i="11"/>
  <c r="K124" i="11"/>
  <c r="K140" i="11"/>
  <c r="K149" i="11"/>
  <c r="K109" i="11"/>
  <c r="K148" i="11"/>
  <c r="K145" i="11"/>
  <c r="K150" i="11"/>
  <c r="K162" i="11"/>
  <c r="K119" i="11"/>
  <c r="K138" i="11"/>
  <c r="K156" i="11"/>
  <c r="K139" i="11"/>
  <c r="K118" i="11"/>
  <c r="K128" i="11"/>
  <c r="K111" i="11"/>
  <c r="K160" i="11"/>
  <c r="K126" i="11"/>
  <c r="K105" i="11"/>
  <c r="K110" i="11"/>
  <c r="K107" i="11"/>
  <c r="K113" i="11"/>
  <c r="K108" i="11"/>
  <c r="K115" i="11"/>
  <c r="K130" i="11"/>
  <c r="K106" i="11"/>
  <c r="K125" i="11"/>
  <c r="K123" i="11"/>
  <c r="K117" i="11"/>
  <c r="K69" i="11"/>
  <c r="K132" i="11"/>
  <c r="K114" i="11"/>
  <c r="K129" i="11"/>
  <c r="K131" i="11"/>
  <c r="K112" i="11"/>
  <c r="K120" i="11"/>
  <c r="K127" i="11"/>
  <c r="K116" i="11"/>
  <c r="K67" i="11"/>
  <c r="K65" i="11"/>
  <c r="K60" i="11"/>
  <c r="K70" i="11"/>
  <c r="K66" i="11"/>
  <c r="K61" i="11"/>
  <c r="K59" i="11"/>
  <c r="K64" i="11"/>
  <c r="K68" i="11"/>
  <c r="K58" i="11"/>
  <c r="K62" i="11"/>
  <c r="K53" i="11"/>
  <c r="K52" i="11"/>
  <c r="K49" i="11"/>
  <c r="K56" i="11"/>
  <c r="K43" i="11"/>
  <c r="K50" i="11"/>
  <c r="K57" i="11"/>
  <c r="K55" i="11"/>
  <c r="K47" i="11"/>
  <c r="K40" i="11"/>
  <c r="K42" i="11"/>
  <c r="K51" i="11"/>
  <c r="K48" i="11"/>
  <c r="K44" i="11"/>
  <c r="K30" i="11"/>
  <c r="K41" i="11"/>
  <c r="K46" i="11"/>
  <c r="K45" i="11"/>
  <c r="K16" i="11"/>
  <c r="K22" i="11"/>
  <c r="K26" i="11"/>
  <c r="K34" i="11"/>
  <c r="K29" i="11"/>
  <c r="K20" i="11"/>
  <c r="K21" i="11"/>
  <c r="K27" i="11"/>
  <c r="K19" i="11"/>
  <c r="K33" i="11"/>
  <c r="K17" i="11"/>
  <c r="K35" i="11"/>
  <c r="K24" i="11"/>
  <c r="K28" i="11"/>
  <c r="K23" i="11"/>
  <c r="K18" i="11"/>
  <c r="K31" i="11"/>
  <c r="K32" i="11"/>
  <c r="K25" i="11"/>
  <c r="D21" i="59" l="1"/>
  <c r="K6" i="60"/>
  <c r="D36" i="11"/>
  <c r="H36" i="11" s="1"/>
  <c r="E36" i="11"/>
  <c r="G36" i="11"/>
  <c r="D37" i="11"/>
  <c r="H37" i="11" s="1"/>
  <c r="E37" i="11"/>
  <c r="G37" i="11"/>
  <c r="D38" i="11"/>
  <c r="E38" i="11"/>
  <c r="G38" i="11"/>
  <c r="D39" i="11"/>
  <c r="H39" i="11" s="1"/>
  <c r="E39" i="11"/>
  <c r="G39" i="11"/>
  <c r="J38" i="11" l="1"/>
  <c r="J37" i="11"/>
  <c r="I39" i="11"/>
  <c r="I37" i="11"/>
  <c r="J36" i="11"/>
  <c r="I36" i="11"/>
  <c r="J39" i="11"/>
  <c r="I38" i="11"/>
  <c r="H38" i="11"/>
  <c r="K36" i="11" l="1"/>
  <c r="K37" i="11"/>
  <c r="K38" i="11"/>
  <c r="K39" i="11"/>
  <c r="D15" i="11" l="1"/>
  <c r="H15" i="11" s="1"/>
  <c r="E15" i="11"/>
  <c r="G15" i="11"/>
  <c r="J15" i="11" l="1"/>
  <c r="I15" i="11"/>
  <c r="K15" i="11" l="1"/>
  <c r="D14" i="11" l="1"/>
  <c r="J14" i="11" s="1"/>
  <c r="J163" i="11" s="1"/>
  <c r="E14" i="11"/>
  <c r="G14" i="11"/>
  <c r="K19" i="60"/>
  <c r="D19" i="60"/>
  <c r="H14" i="11" l="1"/>
  <c r="H163" i="11" s="1"/>
  <c r="I14" i="11"/>
  <c r="I163" i="11" s="1"/>
  <c r="K163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6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63" i="11"/>
  <c r="D164" i="11"/>
  <c r="H164" i="11" s="1"/>
  <c r="E16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6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71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08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6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64" i="11"/>
  <c r="I164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E236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64" i="11"/>
  <c r="K166" i="11" s="1"/>
  <c r="E267" i="29" l="1"/>
  <c r="F278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66" i="11"/>
  <c r="H167" i="11" s="1"/>
  <c r="I166" i="11"/>
  <c r="I167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319" i="29"/>
  <c r="F300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68" i="11"/>
  <c r="I16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67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66" i="11"/>
  <c r="J16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68" i="11"/>
  <c r="B169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6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42" i="41"/>
  <c r="F809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<sst xmlns="http://schemas.openxmlformats.org/spreadsheetml/2006/main" count="4840" uniqueCount="1651">
  <si>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</si>
  <si>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</si>
  <si>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</si>
  <si>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</si>
  <si>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</si>
  <si>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</si>
  <si>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</si>
  <si>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</si>
  <si>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</si>
  <si>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</si>
  <si>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</si>
  <si>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</si>
  <si>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</si>
  <si>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</si>
  <si>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</si>
  <si>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</si>
  <si>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</si>
  <si>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</si>
  <si>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</si>
  <si>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</si>
  <si>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</si>
  <si>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</si>
  <si>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</si>
  <si>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</si>
  <si>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</si>
  <si>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</si>
  <si>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</si>
  <si>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</si>
  <si>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</si>
  <si>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</si>
  <si>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</si>
  <si>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</si>
  <si>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</si>
  <si>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</si>
  <si>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</si>
  <si>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</si>
  <si>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</si>
  <si>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</si>
  <si>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</si>
  <si>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</si>
  <si>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</si>
  <si>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</si>
  <si>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</si>
  <si>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</si>
  <si>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</si>
  <si>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</si>
  <si>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</si>
  <si>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</si>
  <si>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</si>
  <si>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</si>
  <si>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</si>
  <si>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</si>
  <si>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</si>
  <si>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</si>
  <si>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</si>
  <si>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</si>
  <si>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</si>
  <si>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</si>
  <si>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</si>
  <si>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</si>
  <si>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</si>
  <si>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</si>
  <si>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</si>
  <si>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</si>
  <si>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</si>
  <si>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</si>
  <si>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</si>
  <si>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</si>
  <si>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</si>
  <si>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</si>
  <si>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</si>
  <si>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</si>
  <si>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</si>
  <si>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</si>
  <si>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</si>
  <si>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</si>
  <si>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</si>
  <si>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</si>
  <si>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</si>
  <si>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</si>
  <si>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</si>
  <si>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</si>
  <si>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</si>
  <si>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</si>
  <si>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</si>
  <si>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</si>
  <si>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</si>
  <si>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</si>
  <si>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</si>
  <si>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</si>
  <si>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</si>
  <si>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</si>
  <si>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</si>
  <si>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</si>
  <si>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</si>
  <si>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</si>
  <si>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</si>
  <si>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</si>
  <si>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</si>
  <si>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</si>
  <si>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</si>
  <si>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</si>
  <si>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</si>
  <si>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</si>
  <si>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</si>
  <si>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</si>
  <si>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</si>
  <si>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</si>
  <si>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</si>
  <si>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</si>
  <si>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</si>
  <si>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</si>
  <si>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</si>
  <si>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</si>
  <si>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</si>
  <si>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</si>
  <si>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</si>
  <si>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</si>
  <si>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</si>
  <si>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</si>
  <si>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</si>
  <si>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</si>
  <si>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</si>
  <si>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</si>
  <si>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</si>
  <si>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</si>
  <si>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</si>
  <si>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</si>
  <si>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</si>
  <si>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</si>
  <si>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</si>
  <si>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</si>
  <si>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</si>
  <si>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</si>
  <si>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</si>
  <si>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</si>
  <si>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</si>
  <si>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</si>
  <si>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</si>
  <si>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</si>
  <si>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</si>
  <si>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</si>
  <si>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</si>
  <si>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</si>
  <si>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</si>
  <si>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</si>
  <si>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</si>
  <si>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</si>
  <si>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</si>
  <si>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</si>
  <si>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</si>
  <si>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</si>
  <si>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</si>
  <si>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</si>
  <si>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</si>
  <si>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</si>
  <si>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</si>
  <si>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</si>
  <si>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</si>
  <si>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</si>
  <si>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</si>
  <si>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</si>
  <si>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</si>
  <si>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</si>
  <si>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</si>
  <si>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</si>
  <si>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</si>
  <si>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</si>
  <si>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</si>
  <si>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</si>
  <si>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</si>
  <si>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</si>
  <si>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</si>
  <si>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</si>
  <si>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</si>
  <si>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</si>
  <si>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</si>
  <si>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</si>
  <si>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</si>
  <si>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</si>
  <si>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</si>
  <si>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</si>
  <si>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</si>
  <si>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</si>
  <si>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</si>
  <si>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</si>
  <si>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</si>
  <si>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</si>
  <si>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</si>
  <si>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</si>
  <si>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</si>
  <si>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</si>
  <si>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</si>
  <si>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</si>
  <si>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</si>
  <si>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</si>
  <si>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</si>
  <si>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</si>
  <si>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</si>
  <si>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</si>
  <si>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</si>
  <si>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</si>
  <si>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</si>
  <si>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</si>
  <si>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</si>
  <si>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</si>
  <si>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</si>
  <si>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</si>
  <si>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</si>
  <si>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</si>
  <si>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</si>
  <si>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</si>
  <si>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</si>
  <si>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</si>
  <si>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</si>
  <si>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</si>
  <si>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</si>
  <si>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</si>
  <si>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</si>
  <si>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</si>
  <si>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</si>
  <si>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</si>
  <si>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</si>
  <si>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</si>
  <si>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</si>
  <si>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</si>
  <si>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</si>
  <si>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</si>
  <si>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</si>
  <si>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</si>
  <si>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</si>
  <si>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</si>
  <si>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</si>
  <si>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</si>
  <si>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</si>
  <si>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</si>
  <si>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</si>
  <si>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</si>
  <si>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</si>
  <si>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</si>
  <si>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</si>
  <si>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</si>
  <si>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</si>
  <si>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</si>
  <si>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</si>
  <si>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</si>
  <si>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</si>
  <si>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</si>
  <si>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</si>
  <si>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</si>
  <si>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</si>
  <si>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</si>
  <si>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</si>
  <si>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</si>
  <si>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</si>
  <si>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</si>
  <si>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</si>
  <si>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</si>
  <si>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</si>
  <si>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</si>
  <si>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</si>
  <si>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</si>
  <si>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</si>
  <si>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</si>
  <si>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</si>
  <si>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</si>
  <si>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</si>
  <si>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</si>
  <si>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</si>
  <si>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</si>
  <si>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</si>
  <si>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</si>
  <si>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</si>
  <si>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</si>
  <si>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</si>
  <si>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</si>
  <si>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</si>
  <si>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</si>
  <si>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</si>
  <si>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</si>
  <si>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</si>
  <si>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</si>
  <si>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</si>
  <si>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</si>
  <si>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</si>
  <si>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</si>
  <si>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</si>
  <si>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</si>
  <si>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</si>
  <si>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</si>
  <si>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</si>
  <si>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</si>
  <si>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</si>
  <si>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</si>
  <si>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</si>
  <si>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</si>
  <si>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</si>
  <si>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</si>
  <si>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</si>
  <si>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</si>
  <si>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</si>
  <si>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</si>
  <si>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</si>
  <si>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</si>
  <si>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</si>
  <si>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</si>
  <si>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</si>
  <si>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</si>
  <si>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</si>
  <si>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</si>
  <si>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</si>
  <si>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</si>
  <si>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</si>
  <si>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</si>
  <si>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</si>
  <si>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</si>
  <si>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</si>
  <si>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</si>
  <si>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</si>
  <si>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</si>
  <si>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</si>
  <si>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</si>
  <si>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</si>
  <si>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</si>
  <si>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</si>
  <si>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</si>
  <si>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</si>
  <si>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</si>
  <si>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</si>
  <si>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</si>
  <si>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</si>
  <si>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</si>
  <si>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</si>
  <si>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</si>
  <si>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</si>
  <si>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</si>
  <si>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</si>
  <si>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</si>
  <si>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</si>
  <si>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</si>
  <si>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</si>
  <si>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</si>
  <si>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</si>
  <si>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</si>
  <si>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</si>
  <si>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</si>
  <si>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</si>
  <si>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</si>
  <si>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</si>
  <si>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</si>
  <si>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</si>
  <si>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</si>
  <si>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</si>
  <si>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</si>
  <si>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</si>
  <si>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</si>
  <si>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</si>
  <si>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</si>
  <si>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</si>
  <si>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</si>
  <si>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</si>
  <si>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</si>
  <si>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</si>
  <si>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</si>
  <si>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</si>
  <si>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</si>
  <si>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</si>
  <si>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</si>
  <si>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</si>
  <si>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</si>
  <si>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</si>
  <si>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</si>
  <si>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</si>
  <si>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</si>
  <si>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</si>
  <si>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</si>
  <si>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</si>
  <si>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</si>
  <si>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</si>
  <si>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</si>
  <si>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</si>
  <si>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</si>
  <si>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</si>
  <si>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</si>
  <si>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</si>
  <si>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</si>
  <si>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</si>
  <si>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</si>
  <si>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</si>
  <si>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</si>
  <si>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</si>
  <si>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</si>
  <si>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</si>
  <si>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</si>
  <si>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</si>
  <si>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</si>
  <si>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</si>
  <si>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</si>
  <si>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</si>
  <si>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</si>
  <si>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</si>
  <si>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</si>
  <si>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</si>
  <si>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</si>
  <si>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</si>
  <si>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</si>
  <si>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</si>
  <si>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</si>
  <si>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</si>
  <si>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</si>
  <si>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</si>
  <si>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</si>
  <si>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</si>
  <si>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</si>
  <si>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</si>
  <si>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</si>
  <si>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</si>
  <si>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</si>
  <si>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</si>
  <si>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</si>
  <si>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</si>
  <si>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</si>
  <si>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</si>
  <si>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</si>
  <si>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</si>
  <si>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</si>
  <si>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</si>
  <si>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</si>
  <si>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</si>
  <si>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</si>
  <si>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</si>
  <si>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</si>
  <si>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</si>
  <si>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</si>
  <si>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</si>
  <si>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</si>
  <si>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</si>
  <si>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</si>
  <si>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</si>
  <si>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</si>
  <si>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</si>
  <si>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</si>
  <si>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</si>
  <si>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</si>
  <si>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</si>
  <si>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</si>
  <si>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</si>
  <si>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</si>
  <si>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</si>
  <si>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</si>
  <si>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</si>
  <si>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</si>
  <si>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</si>
  <si>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</si>
  <si>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</si>
  <si>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</si>
  <si>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</si>
  <si>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</si>
  <si>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</si>
  <si>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</si>
  <si>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</si>
  <si>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</si>
  <si>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</si>
  <si>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</si>
  <si>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</si>
  <si>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</si>
  <si>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</si>
  <si>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</si>
  <si>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</si>
  <si>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</si>
  <si>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</si>
  <si>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</si>
  <si>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</si>
  <si>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</si>
  <si>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</si>
  <si>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</si>
  <si>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</si>
  <si>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</si>
  <si>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</si>
  <si>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</si>
  <si>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</si>
  <si>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</si>
  <si>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</si>
  <si>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</si>
  <si>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</si>
  <si>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</si>
  <si>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</si>
  <si>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</si>
  <si>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</si>
  <si>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</si>
  <si>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</si>
  <si>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</si>
  <si>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</si>
  <si>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</si>
  <si>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</si>
  <si>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</si>
  <si>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</si>
  <si>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</si>
  <si>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</si>
  <si>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</si>
  <si>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</si>
  <si>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</si>
  <si>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</si>
  <si>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</si>
  <si>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</si>
  <si>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</si>
  <si>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</si>
  <si>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</si>
  <si>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</si>
  <si>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</si>
  <si>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</si>
  <si>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</si>
  <si>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</si>
  <si>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</si>
  <si>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</si>
  <si>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</si>
  <si>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</si>
  <si>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</si>
  <si>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</si>
  <si>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</si>
  <si>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</si>
  <si>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</si>
  <si>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</si>
  <si>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</si>
  <si>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</si>
  <si>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</si>
  <si>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</si>
  <si>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</si>
  <si>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</si>
  <si>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</si>
  <si>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</si>
  <si>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</si>
  <si>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</si>
  <si>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</si>
  <si>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</si>
  <si>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</si>
  <si>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</si>
  <si>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</si>
  <si>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</si>
  <si>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</si>
  <si>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</si>
  <si>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</si>
  <si>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</si>
  <si>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</si>
  <si>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</si>
  <si>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</si>
  <si>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</si>
  <si>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</si>
  <si>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</si>
  <si>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</si>
  <si>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</si>
  <si>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</si>
  <si>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</si>
  <si>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</si>
  <si>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</si>
  <si>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</si>
  <si>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</si>
  <si>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</si>
  <si>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</si>
  <si>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</si>
  <si>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</si>
  <si>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</si>
  <si>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</si>
  <si>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</si>
  <si>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</si>
  <si>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</si>
  <si>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</si>
  <si>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</si>
  <si>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</si>
  <si>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</si>
  <si>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</si>
  <si>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</si>
  <si>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</si>
  <si>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</si>
  <si>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</si>
  <si>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</si>
  <si>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</si>
  <si>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</si>
  <si>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</si>
  <si>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</si>
  <si>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</si>
  <si>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</si>
  <si>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</si>
  <si>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</si>
  <si>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</si>
  <si>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</si>
  <si>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</si>
  <si>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</si>
  <si>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</si>
  <si>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</si>
  <si>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</si>
  <si>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</si>
  <si>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</si>
  <si>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</si>
  <si>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</si>
  <si>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</si>
  <si>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</si>
  <si>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</si>
  <si>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</si>
  <si>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</si>
  <si>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</si>
  <si>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</si>
  <si>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</si>
  <si>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</si>
  <si>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</si>
  <si>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</si>
  <si>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</si>
  <si>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</si>
  <si>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</si>
  <si>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</si>
  <si>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</si>
  <si>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</si>
  <si>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</si>
  <si>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</si>
  <si>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</si>
  <si>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</si>
  <si>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</si>
  <si>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</si>
  <si>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</si>
  <si>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</si>
  <si>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</si>
  <si>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</si>
  <si>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</si>
  <si>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</si>
  <si>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</si>
  <si>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</si>
  <si>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</si>
  <si>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</si>
  <si>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</si>
  <si>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</si>
  <si>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</si>
  <si>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</si>
  <si>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</si>
  <si>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</si>
  <si>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</si>
  <si>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</si>
  <si>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</si>
  <si>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</si>
  <si>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</si>
  <si>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</si>
  <si>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</si>
  <si>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</si>
  <si>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</si>
  <si>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</si>
  <si>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</si>
  <si>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</si>
  <si>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</si>
  <si>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</si>
  <si>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</si>
  <si>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</si>
  <si>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</si>
  <si>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</si>
  <si>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</si>
  <si>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</si>
  <si>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</si>
  <si>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</si>
  <si>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</si>
  <si>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</si>
  <si>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</si>
  <si>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</si>
  <si>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</si>
  <si>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</si>
  <si>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</si>
  <si>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</si>
  <si>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</si>
  <si>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</si>
  <si>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</si>
  <si>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</si>
  <si>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</si>
  <si>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</si>
  <si>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</si>
  <si>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</si>
  <si>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</si>
  <si>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</si>
  <si>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</si>
  <si>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</si>
  <si>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</si>
  <si>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</si>
  <si>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</si>
  <si>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</si>
  <si>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</si>
  <si>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</si>
  <si>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</si>
  <si>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</si>
  <si>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</si>
  <si>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</si>
  <si>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</si>
  <si>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</si>
  <si>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</si>
  <si>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</si>
  <si>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</si>
  <si>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</si>
  <si>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</si>
  <si>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</si>
  <si>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</si>
  <si>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</si>
  <si>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</si>
  <si>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</si>
  <si>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</si>
  <si>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</si>
  <si>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</si>
  <si>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</si>
  <si>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</si>
  <si>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</si>
  <si>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</si>
  <si>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</si>
  <si>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</si>
  <si>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</si>
  <si>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</si>
  <si>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</si>
  <si>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</si>
  <si>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</si>
  <si>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</si>
  <si>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</si>
  <si>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</si>
  <si>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</si>
  <si>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</si>
  <si>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</si>
  <si>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</si>
  <si>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</si>
  <si>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</si>
  <si>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</si>
  <si>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</si>
  <si>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</si>
  <si>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</si>
  <si>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</si>
  <si>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</si>
  <si>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</si>
  <si>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</si>
  <si>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</si>
  <si>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</si>
  <si>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</si>
  <si>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</si>
  <si>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</si>
  <si>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</si>
  <si>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</si>
  <si>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</si>
  <si>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</si>
  <si>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</si>
  <si>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</si>
  <si>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</si>
  <si>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</si>
  <si>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</si>
  <si>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</si>
  <si>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</si>
  <si>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</si>
  <si>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</si>
  <si>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</si>
  <si>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</si>
  <si>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</si>
  <si>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</si>
  <si>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</si>
  <si>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</si>
  <si>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</si>
  <si>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</si>
  <si>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</si>
  <si>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</si>
  <si>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</si>
  <si>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</si>
  <si>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</si>
  <si>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</si>
  <si>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</si>
  <si>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</si>
  <si>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</si>
  <si>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</si>
  <si>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</si>
  <si>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</si>
  <si>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</si>
  <si>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</si>
  <si>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</si>
  <si>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</si>
  <si>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</si>
  <si>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</si>
  <si>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</si>
  <si>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</si>
  <si>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</si>
  <si>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</si>
  <si>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</si>
  <si>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</si>
  <si>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</si>
  <si>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</si>
  <si>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</si>
  <si>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</si>
  <si>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</si>
  <si>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</si>
  <si>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</si>
  <si>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</si>
  <si>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</si>
  <si>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</si>
  <si>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</si>
  <si>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</si>
  <si>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</si>
  <si>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</si>
  <si>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</si>
  <si>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</si>
  <si>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</si>
  <si>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</si>
  <si>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</si>
  <si>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</si>
  <si>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</si>
  <si>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</si>
  <si>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</si>
  <si>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</si>
  <si>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</si>
  <si>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</si>
  <si>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</si>
  <si>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</si>
  <si>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</si>
  <si>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</si>
  <si>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</si>
  <si>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</si>
  <si>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</si>
  <si>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</si>
  <si>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</si>
  <si>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</si>
  <si>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</si>
  <si>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</si>
  <si>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</si>
  <si>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</si>
  <si>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</si>
  <si>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</si>
  <si>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</si>
  <si>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</si>
  <si>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</si>
  <si>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</si>
  <si>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</si>
  <si>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</si>
  <si>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</si>
  <si>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</si>
  <si>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</si>
  <si>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</si>
  <si>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</si>
  <si>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</si>
  <si>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</si>
  <si>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</si>
  <si>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</si>
  <si>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</si>
  <si>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</si>
  <si>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</si>
  <si>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</si>
  <si>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</si>
  <si>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</si>
  <si>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</si>
  <si>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</si>
  <si>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</si>
  <si>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</si>
  <si>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</si>
  <si>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</si>
  <si>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</si>
  <si>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</si>
  <si>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</si>
  <si>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</si>
  <si>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</si>
  <si>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</si>
  <si>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</si>
  <si>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</si>
  <si>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</si>
  <si>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</si>
  <si>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</si>
  <si>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</si>
  <si>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</si>
  <si>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</si>
  <si>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</si>
  <si>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</si>
  <si>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</si>
  <si>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</si>
  <si>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</si>
  <si>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</si>
  <si>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</si>
  <si>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</si>
  <si>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</si>
  <si>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</si>
  <si>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</si>
  <si>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</si>
  <si>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</si>
  <si>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</si>
  <si>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</si>
  <si>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</si>
  <si>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</si>
  <si>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</si>
  <si>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</si>
  <si>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</si>
  <si>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</si>
  <si>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</si>
  <si>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</si>
  <si>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</si>
  <si>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</si>
  <si>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</si>
  <si>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</si>
  <si>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</si>
  <si>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</si>
  <si>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</si>
  <si>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</si>
  <si>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</si>
  <si>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</si>
  <si>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</si>
  <si>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</si>
  <si>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</si>
  <si>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</si>
  <si>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</si>
  <si>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</si>
  <si>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</si>
  <si>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</si>
  <si>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</si>
  <si>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</si>
  <si>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</si>
  <si>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</si>
  <si>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</si>
  <si>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</si>
  <si>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</si>
  <si>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</si>
  <si>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</si>
  <si>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</si>
  <si>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</si>
  <si>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</si>
  <si>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</si>
  <si>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</si>
  <si>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</si>
  <si>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</si>
  <si>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</si>
  <si>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</si>
  <si>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</si>
  <si>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</si>
  <si>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</si>
  <si>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</si>
  <si>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</si>
  <si>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</si>
  <si>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</si>
  <si>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</si>
  <si>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</si>
  <si>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</si>
  <si>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</si>
  <si>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</si>
  <si>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</si>
  <si>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</si>
  <si>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</si>
  <si>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</si>
  <si>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</si>
  <si>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</si>
  <si>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</si>
  <si>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</si>
  <si>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</si>
  <si>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</si>
  <si>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</si>
  <si>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</si>
  <si>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</si>
  <si>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</si>
  <si>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</si>
  <si>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</si>
  <si>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</si>
  <si>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</si>
  <si>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</si>
  <si>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</si>
  <si>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</si>
  <si>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</si>
  <si>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</si>
  <si>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</si>
  <si>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</si>
  <si>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</si>
  <si>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</si>
  <si>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</si>
  <si>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</si>
  <si>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</si>
  <si>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</si>
  <si>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</si>
  <si>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</si>
  <si>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</si>
  <si>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</si>
  <si>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</si>
  <si>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</si>
  <si>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</si>
  <si>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</si>
  <si>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</si>
  <si>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</si>
  <si>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</si>
  <si>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</si>
  <si>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</si>
  <si>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</si>
  <si>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</si>
  <si>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</si>
  <si>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</si>
  <si>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</si>
  <si>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</si>
  <si>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</si>
  <si>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</si>
  <si>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</si>
  <si>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</si>
  <si>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</si>
  <si>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</si>
  <si>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</si>
  <si>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</si>
  <si>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</si>
  <si>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</si>
  <si>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</si>
  <si>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</si>
  <si>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</si>
  <si>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</si>
  <si>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</si>
  <si>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</si>
  <si>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</si>
  <si>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</si>
  <si>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</si>
  <si>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</si>
  <si>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</si>
  <si>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</si>
  <si>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</si>
  <si>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</si>
  <si>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</si>
  <si>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</si>
  <si>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</si>
  <si>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</si>
  <si>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</si>
  <si>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</si>
  <si>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</si>
  <si>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</si>
  <si>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</si>
  <si>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</si>
  <si>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</si>
  <si>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</si>
  <si>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</si>
  <si>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</si>
  <si>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</si>
  <si>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</si>
  <si>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</si>
  <si>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</si>
  <si>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</si>
  <si>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</si>
  <si>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</si>
  <si>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</si>
  <si>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</si>
  <si>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</si>
  <si>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</si>
  <si>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</si>
  <si>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</si>
  <si>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</si>
  <si>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</si>
  <si>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</si>
  <si>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</si>
  <si>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</si>
  <si>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</si>
  <si>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</si>
  <si>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</si>
  <si>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</si>
  <si>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</si>
  <si>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</si>
  <si>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</si>
  <si>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</si>
  <si>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</si>
  <si>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</si>
  <si>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</si>
  <si>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</si>
  <si>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</si>
  <si>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</si>
  <si>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</si>
  <si>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</si>
  <si>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</si>
  <si>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</si>
  <si>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</si>
  <si>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</si>
  <si>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</si>
  <si>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</si>
  <si>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</si>
  <si>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</si>
  <si>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</si>
  <si>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</si>
  <si>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</si>
  <si>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</si>
  <si>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</si>
  <si>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</si>
  <si>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</si>
  <si>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</si>
  <si>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</si>
  <si>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</si>
  <si>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</si>
  <si>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</si>
  <si>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</si>
  <si>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</si>
  <si>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</si>
  <si>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</si>
  <si>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</si>
  <si>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</si>
  <si>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</si>
  <si>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</si>
  <si>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</si>
  <si>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</si>
  <si>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</si>
  <si>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</si>
  <si>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</si>
  <si>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</si>
  <si>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</si>
  <si>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</si>
  <si>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</si>
  <si>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</si>
  <si>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</si>
  <si>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</si>
  <si>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</si>
  <si>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</si>
  <si>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</si>
  <si>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</si>
  <si>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</si>
  <si>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</si>
  <si>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</si>
  <si>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</si>
  <si>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</si>
  <si>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</si>
  <si>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</si>
  <si>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</si>
  <si>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</si>
  <si>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</si>
  <si>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</si>
  <si>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</si>
  <si>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</si>
  <si>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</si>
  <si>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</si>
  <si>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</si>
  <si>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</si>
  <si>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</si>
  <si>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</si>
  <si>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</si>
  <si>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</si>
  <si>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</si>
  <si>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</si>
  <si>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</si>
  <si>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</si>
  <si>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</si>
  <si>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</si>
  <si>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</si>
  <si>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</si>
  <si>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</si>
  <si>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</si>
  <si>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</si>
  <si>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</si>
  <si>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</si>
  <si>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</si>
  <si>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</si>
  <si>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</si>
  <si>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</si>
  <si>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</si>
  <si>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</si>
  <si>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</si>
  <si>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</si>
  <si>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</si>
  <si>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</si>
  <si>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</si>
  <si>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</si>
  <si>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</si>
  <si>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</si>
  <si>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</si>
  <si>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</si>
  <si>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</si>
  <si>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</si>
  <si>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</si>
  <si>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</si>
  <si>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</si>
  <si>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</si>
  <si>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</si>
  <si>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</si>
  <si>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</si>
  <si>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</si>
  <si>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</si>
  <si>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</si>
  <si>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</si>
  <si>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</si>
  <si>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</si>
  <si>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</si>
  <si>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</si>
  <si>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</si>
  <si>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</si>
  <si>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</si>
  <si>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</si>
  <si>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</si>
  <si>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</si>
  <si>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</si>
  <si>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</si>
  <si>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</si>
  <si>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</si>
  <si>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</si>
  <si>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</si>
  <si>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</si>
  <si>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</si>
  <si>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</si>
  <si>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</si>
  <si>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</si>
  <si>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</si>
  <si>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</si>
  <si>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</si>
  <si>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</si>
  <si>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</si>
  <si>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</si>
  <si>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</si>
  <si>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</si>
  <si>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</si>
  <si>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</si>
  <si>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</si>
  <si>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</si>
  <si>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</si>
  <si>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</si>
  <si>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</si>
  <si>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</si>
  <si>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</si>
  <si>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</si>
  <si>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</si>
  <si>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</si>
  <si>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</si>
  <si>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</si>
  <si>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</si>
  <si>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</si>
  <si>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</si>
  <si>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</si>
  <si>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</si>
  <si>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</si>
  <si>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</si>
  <si>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</si>
  <si>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</si>
  <si>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</si>
  <si>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</si>
  <si>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</si>
  <si>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</si>
  <si>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</si>
  <si>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</si>
  <si>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</si>
  <si>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</si>
  <si>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</si>
  <si>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</si>
  <si>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</si>
  <si>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</si>
  <si>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</si>
  <si>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</si>
  <si>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</si>
  <si>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</si>
  <si>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</si>
  <si>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</si>
  <si>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</si>
  <si>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</si>
  <si>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</si>
  <si>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</si>
  <si>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</si>
  <si>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</si>
  <si>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</si>
  <si>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</si>
  <si>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</si>
  <si>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</si>
  <si>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</si>
  <si>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</si>
  <si>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</si>
  <si>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</si>
  <si>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</si>
  <si>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</si>
  <si>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</si>
  <si>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</si>
  <si>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</si>
  <si>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</si>
  <si>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</si>
  <si>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</si>
  <si>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</si>
  <si>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</si>
  <si>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</si>
  <si>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</si>
  <si>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</si>
  <si>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</si>
  <si>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</si>
  <si>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</si>
  <si>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</si>
  <si>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</si>
  <si>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</si>
  <si>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</si>
  <si>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</si>
  <si>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</si>
  <si>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</si>
  <si>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</si>
  <si>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</si>
  <si>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</si>
  <si>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</si>
  <si>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</si>
  <si>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</si>
  <si>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</si>
  <si>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</si>
  <si>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</si>
  <si>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</si>
  <si>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</si>
  <si>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</si>
  <si>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</si>
  <si>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</si>
  <si>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</si>
  <si>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</si>
  <si>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</si>
  <si>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</si>
  <si>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</si>
  <si>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</si>
  <si>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</si>
  <si>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</si>
  <si>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</si>
  <si>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</si>
  <si>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</si>
  <si>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</si>
  <si>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</si>
  <si>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</si>
  <si>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</si>
  <si>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</si>
  <si>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</si>
  <si>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</si>
  <si>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</si>
  <si>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</si>
  <si>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</si>
  <si>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</si>
  <si>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</si>
  <si>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</si>
  <si>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</si>
  <si>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</si>
  <si>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</si>
  <si>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</si>
  <si>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</si>
  <si>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</si>
  <si>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</si>
  <si>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</si>
  <si>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</si>
  <si>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</si>
  <si>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</si>
  <si>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</si>
  <si>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</si>
  <si>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</si>
  <si>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</si>
  <si>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</si>
  <si>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</si>
  <si>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</si>
  <si>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</si>
  <si>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</si>
  <si>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</si>
  <si>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</si>
  <si>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</si>
  <si>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</si>
  <si>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</si>
  <si>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</si>
  <si>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</si>
  <si>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</si>
  <si>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</si>
  <si>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</si>
  <si>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</si>
  <si>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</si>
  <si>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</si>
  <si>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</si>
  <si>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</si>
  <si>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</si>
  <si>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</si>
  <si>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</si>
  <si>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</si>
  <si>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</si>
  <si>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</si>
  <si>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</si>
  <si>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</si>
  <si>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</si>
  <si>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</si>
  <si>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</si>
  <si>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</si>
  <si>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</si>
  <si>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</si>
  <si>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</si>
  <si>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</si>
  <si>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</si>
  <si>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</si>
  <si>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</si>
  <si>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</si>
  <si>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</si>
  <si>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</si>
  <si>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</si>
  <si>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</si>
  <si>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</si>
  <si>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</si>
  <si>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</si>
  <si>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</si>
  <si>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</si>
  <si>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</si>
  <si>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</si>
  <si>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</si>
  <si>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</si>
  <si>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</si>
  <si>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</si>
  <si>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</si>
  <si>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</si>
  <si>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</si>
  <si>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</si>
  <si>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</si>
  <si>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</si>
  <si>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</si>
  <si>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</si>
  <si>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</si>
  <si>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</si>
  <si>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</si>
  <si>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</si>
  <si>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</si>
  <si>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</si>
  <si>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</si>
  <si>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</si>
  <si>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</si>
  <si>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</si>
  <si>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</si>
  <si>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</si>
  <si>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</si>
  <si>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</si>
  <si>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</si>
  <si>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</si>
  <si>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</si>
  <si>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</si>
  <si>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</si>
  <si>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</si>
  <si>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</si>
  <si>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</si>
  <si>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</si>
  <si>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</si>
  <si>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</si>
  <si>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</si>
  <si>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</si>
  <si>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</si>
  <si>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</si>
  <si>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</si>
  <si>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</si>
  <si>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</si>
  <si>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</si>
  <si>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</si>
  <si>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</si>
  <si>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</si>
  <si>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</si>
  <si>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</si>
  <si>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</si>
  <si>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</si>
  <si>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</si>
  <si>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</si>
  <si>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</si>
  <si>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</si>
  <si>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</si>
  <si>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</si>
  <si>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</si>
  <si>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</si>
  <si>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</si>
  <si>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</si>
  <si>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</si>
  <si>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</si>
  <si>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</si>
  <si>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</si>
  <si>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</si>
  <si>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</si>
  <si>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</si>
  <si>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</si>
  <si>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</si>
  <si>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</si>
  <si>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</si>
  <si>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</si>
  <si>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</si>
  <si>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</si>
  <si>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</si>
  <si>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</si>
  <si>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</si>
  <si>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</si>
  <si>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</si>
  <si>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</si>
  <si>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</si>
  <si>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</si>
  <si>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</si>
  <si>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</si>
  <si>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</si>
  <si>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</si>
  <si>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</si>
  <si>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</si>
  <si>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</si>
  <si>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</si>
  <si>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</si>
  <si>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</si>
  <si>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</si>
  <si>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</si>
  <si>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</si>
  <si>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</si>
  <si>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</si>
  <si>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</si>
  <si>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</si>
  <si>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</si>
  <si>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</si>
  <si>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</si>
  <si>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</si>
  <si>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</si>
  <si>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</si>
  <si>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</si>
  <si>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</si>
  <si>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</si>
  <si>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</si>
  <si>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</si>
  <si>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</si>
  <si>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</si>
  <si>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</si>
  <si>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</si>
  <si>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</si>
  <si>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</si>
  <si>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</si>
  <si>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</si>
  <si>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</si>
  <si>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</si>
  <si>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</si>
  <si>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</si>
  <si>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</si>
  <si>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</si>
  <si>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</si>
  <si>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</si>
  <si>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</si>
  <si>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</si>
  <si>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</si>
  <si>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</si>
  <si>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</si>
  <si>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</si>
  <si>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</si>
  <si>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</si>
  <si>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</si>
  <si>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</si>
  <si>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</si>
  <si>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</si>
  <si>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</si>
  <si>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</si>
  <si>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</si>
  <si>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</si>
  <si>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</si>
  <si>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</si>
  <si>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</si>
  <si>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</si>
  <si>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</si>
  <si>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</si>
  <si>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</si>
  <si>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</si>
  <si>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</si>
  <si>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</si>
  <si>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</si>
  <si>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</si>
  <si>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</si>
  <si>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</si>
  <si>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</si>
  <si>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</si>
  <si>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</si>
  <si>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</si>
  <si>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</si>
  <si>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</si>
  <si>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</si>
  <si>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</si>
  <si>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</si>
  <si>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</si>
  <si>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</si>
  <si>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</si>
  <si>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</si>
  <si>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</si>
  <si>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</si>
  <si>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</si>
  <si>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</si>
  <si>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</si>
  <si>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</si>
  <si>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</si>
  <si>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</si>
  <si>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</si>
  <si>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</si>
  <si>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</si>
  <si>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</si>
  <si>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</si>
  <si>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</si>
  <si>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</si>
  <si>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</si>
  <si>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</si>
  <si>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</si>
  <si>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</si>
  <si>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</si>
  <si>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</si>
  <si>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</si>
  <si>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</si>
  <si>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</si>
  <si>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</si>
  <si>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</si>
  <si>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</si>
  <si>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</si>
  <si>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</si>
  <si>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</si>
  <si>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</si>
  <si>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</si>
  <si>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</si>
  <si>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</si>
  <si>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</si>
  <si>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</si>
  <si>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</si>
  <si>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</si>
  <si>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</si>
  <si>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</si>
  <si>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</si>
  <si>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</si>
  <si>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</si>
  <si>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</si>
  <si>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</si>
  <si>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</si>
  <si>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</si>
  <si>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</si>
  <si>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</si>
  <si>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</si>
  <si>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</si>
  <si>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</si>
  <si>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</si>
  <si>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</si>
  <si>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</si>
  <si>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</si>
  <si>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</si>
  <si>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</si>
  <si>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</si>
  <si>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</si>
  <si>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</si>
  <si>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</si>
  <si>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</si>
  <si>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</si>
  <si>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</si>
  <si>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</si>
  <si>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</si>
  <si>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</si>
  <si>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</si>
  <si>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</si>
  <si>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</si>
  <si>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</si>
  <si>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</si>
  <si>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</si>
  <si>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</si>
  <si>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</si>
  <si>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</si>
  <si>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</si>
  <si>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</si>
  <si>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</si>
  <si>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</si>
  <si>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</si>
  <si>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</si>
  <si>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</si>
  <si>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</si>
  <si>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</si>
  <si>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</si>
  <si>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PEJUMPERAN</t>
  </si>
  <si>
    <t>CM5-5</t>
  </si>
  <si>
    <t>CM5-8</t>
  </si>
  <si>
    <t>KOORDINAT : -6.867072, 110.621681</t>
  </si>
  <si>
    <t>K3-324F/58A/7</t>
  </si>
  <si>
    <t>C12-200</t>
  </si>
  <si>
    <t>C12-350</t>
  </si>
  <si>
    <t>CC2-1</t>
  </si>
  <si>
    <t>CC8A</t>
  </si>
  <si>
    <t>CG313</t>
  </si>
  <si>
    <t>TRF 200 KVA</t>
  </si>
  <si>
    <t>SYG 15</t>
  </si>
  <si>
    <t>DS KARANGMLATI, KEC DEMAK</t>
  </si>
  <si>
    <t>Trafo 3 Fasa 100 KVA 2 Tiang (G313)</t>
  </si>
  <si>
    <t>Daya 105.000 VA</t>
  </si>
  <si>
    <t>Demak, 11 Januari 2024</t>
  </si>
  <si>
    <t>PLH MANAGER</t>
  </si>
  <si>
    <t>NUGROHO UKI P</t>
  </si>
  <si>
    <t>Manager Perencanaan</t>
  </si>
  <si>
    <t xml:space="preserve">AGR UD SUMBER REJEKI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</si>
</sst>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202124"/>
      <name val="Inherit"/>
    </font>
    <font>
      <sz val="11"/>
      <color rgb="FF00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77" fillId="0" borderId="0" applyNumberFormat="0" applyFill="0" applyBorder="0" applyAlignment="0" applyProtection="0"/>
  </cellStyleXfs>
  <cellXfs count="726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7" fillId="0" borderId="20" xfId="1653" applyFont="1" applyBorder="1" applyAlignment="1">
      <alignment horizontal="center" vertical="center"/>
    </xf>
    <xf numFmtId="0" fontId="157" fillId="0" borderId="21" xfId="1653" applyFont="1" applyBorder="1" applyAlignment="1">
      <alignment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0" xfId="1614" applyNumberFormat="1" applyFont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0" fillId="0" borderId="0" xfId="1614" applyFont="1" applyAlignment="1">
      <alignment horizontal="center" vertic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1" fillId="0" borderId="21" xfId="1614" applyFont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1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77" fillId="33" borderId="0" xfId="2678" applyFill="1"/>
    <xf numFmtId="0" fontId="4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5" fillId="0" borderId="21" xfId="1450" applyFont="1" applyBorder="1" applyAlignment="1">
      <alignment vertical="center" wrapText="1"/>
    </xf>
    <xf numFmtId="0" fontId="157" fillId="48" borderId="21" xfId="1652" applyFont="1" applyFill="1" applyBorder="1" applyAlignment="1">
      <alignment vertical="center" wrapText="1"/>
    </xf>
    <xf numFmtId="0" fontId="115" fillId="0" borderId="20" xfId="1652" applyFont="1" applyBorder="1" applyAlignment="1">
      <alignment horizontal="center" vertical="center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left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 wrapText="1"/>
    </xf>
    <xf numFmtId="0" fontId="178" fillId="0" borderId="0" xfId="0" applyFont="1" applyAlignment="1">
      <alignment horizontal="left" vertical="center" wrapText="1"/>
    </xf>
    <xf numFmtId="0" fontId="179" fillId="0" borderId="0" xfId="0" applyFont="1" applyAlignment="1">
      <alignment vertical="center" wrapText="1"/>
    </xf>
    <xf numFmtId="49" fontId="93" fillId="33" borderId="60" xfId="0" applyNumberFormat="1" applyFont="1" applyFill="1" applyBorder="1" applyAlignment="1">
      <alignment horizontal="left" vertical="center"/>
    </xf>
    <xf numFmtId="0" fontId="1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21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0.98726896031425981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268942</xdr:colOff>
      <xdr:row>37</xdr:row>
      <xdr:rowOff>201705</xdr:rowOff>
    </xdr:from>
    <xdr:to>
      <xdr:col>19</xdr:col>
      <xdr:colOff>564179</xdr:colOff>
      <xdr:row>40</xdr:row>
      <xdr:rowOff>36020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06AC3D-9249-4B1B-8CFC-9582D04A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7854" y="9009529"/>
          <a:ext cx="295237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176893</xdr:colOff>
      <xdr:row>179</xdr:row>
      <xdr:rowOff>13607</xdr:rowOff>
    </xdr:from>
    <xdr:to>
      <xdr:col>10</xdr:col>
      <xdr:colOff>472130</xdr:colOff>
      <xdr:row>181</xdr:row>
      <xdr:rowOff>150480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F15D93-2139-415B-B92A-21CC16E52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1464" y="34412464"/>
          <a:ext cx="295237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178076</xdr:colOff>
      <xdr:row>24</xdr:row>
      <xdr:rowOff>103532</xdr:rowOff>
    </xdr:from>
    <xdr:to>
      <xdr:col>20</xdr:col>
      <xdr:colOff>200057</xdr:colOff>
      <xdr:row>32</xdr:row>
      <xdr:rowOff>79002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248B246-5F74-4CF6-8B09-44DEF71ECB48}"/>
            </a:ext>
          </a:extLst>
        </xdr:cNvPr>
        <xdr:cNvSpPr txBox="1"/>
      </xdr:nvSpPr>
      <xdr:spPr>
        <a:xfrm>
          <a:off x="873815" y="3747880"/>
          <a:ext cx="6498981" cy="115988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177119</xdr:colOff>
      <xdr:row>17</xdr:row>
      <xdr:rowOff>6690</xdr:rowOff>
    </xdr:from>
    <xdr:to>
      <xdr:col>20</xdr:col>
      <xdr:colOff>199100</xdr:colOff>
      <xdr:row>24</xdr:row>
      <xdr:rowOff>103532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4549FD9-14D8-42D4-8F39-0F59270B553E}"/>
            </a:ext>
          </a:extLst>
        </xdr:cNvPr>
        <xdr:cNvSpPr txBox="1"/>
      </xdr:nvSpPr>
      <xdr:spPr>
        <a:xfrm>
          <a:off x="872858" y="2607429"/>
          <a:ext cx="6498981" cy="1140451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57161" y="821996"/>
          <a:ext cx="1491450" cy="1834555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195878</xdr:colOff>
      <xdr:row>18</xdr:row>
      <xdr:rowOff>72379</xdr:rowOff>
    </xdr:from>
    <xdr:to>
      <xdr:col>3</xdr:col>
      <xdr:colOff>205330</xdr:colOff>
      <xdr:row>30</xdr:row>
      <xdr:rowOff>5528</xdr:rowOff>
    </xdr:to>
    <xdr:cxnSp macro="">
      <xdr:nvCxnSpPr>
        <xdr:cNvPr id="298" name="Straight Connector 297">
          <a:extLst>
            <a:ext uri="{FF2B5EF4-FFF2-40B4-BE49-F238E27FC236}">
              <a16:creationId xmlns:a16="http://schemas.microsoft.com/office/drawing/2014/main" id="{411DF9BD-E7F3-455E-8A6C-BA418A10E01C}"/>
            </a:ext>
          </a:extLst>
        </xdr:cNvPr>
        <xdr:cNvCxnSpPr/>
      </xdr:nvCxnSpPr>
      <xdr:spPr>
        <a:xfrm flipV="1">
          <a:off x="891617" y="2822205"/>
          <a:ext cx="9452" cy="171391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477567</xdr:colOff>
      <xdr:row>15</xdr:row>
      <xdr:rowOff>51056</xdr:rowOff>
    </xdr:from>
    <xdr:to>
      <xdr:col>2</xdr:col>
      <xdr:colOff>488320</xdr:colOff>
      <xdr:row>33</xdr:row>
      <xdr:rowOff>90496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 flipH="1">
          <a:off x="676350" y="2353621"/>
          <a:ext cx="10753" cy="271472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35497</xdr:colOff>
      <xdr:row>24</xdr:row>
      <xdr:rowOff>118979</xdr:rowOff>
    </xdr:from>
    <xdr:to>
      <xdr:col>5</xdr:col>
      <xdr:colOff>146015</xdr:colOff>
      <xdr:row>25</xdr:row>
      <xdr:rowOff>82213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1487238" y="3797600"/>
          <a:ext cx="110518" cy="1143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153620</xdr:colOff>
      <xdr:row>24</xdr:row>
      <xdr:rowOff>120800</xdr:rowOff>
    </xdr:from>
    <xdr:to>
      <xdr:col>3</xdr:col>
      <xdr:colOff>264138</xdr:colOff>
      <xdr:row>25</xdr:row>
      <xdr:rowOff>84034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843361" y="3799421"/>
          <a:ext cx="110518" cy="1143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327226</xdr:colOff>
      <xdr:row>23</xdr:row>
      <xdr:rowOff>84100</xdr:rowOff>
    </xdr:from>
    <xdr:to>
      <xdr:col>7</xdr:col>
      <xdr:colOff>77409</xdr:colOff>
      <xdr:row>24</xdr:row>
      <xdr:rowOff>92591</xdr:rowOff>
    </xdr:to>
    <xdr:sp macro="" textlink="">
      <xdr:nvSpPr>
        <xdr:cNvPr id="313" name="Isosceles Triangle 312">
          <a:extLst>
            <a:ext uri="{FF2B5EF4-FFF2-40B4-BE49-F238E27FC236}">
              <a16:creationId xmlns:a16="http://schemas.microsoft.com/office/drawing/2014/main" id="{C5E653B7-DF5D-4AF2-A3C8-B00E86DD96D7}"/>
            </a:ext>
          </a:extLst>
        </xdr:cNvPr>
        <xdr:cNvSpPr/>
      </xdr:nvSpPr>
      <xdr:spPr>
        <a:xfrm>
          <a:off x="2165965" y="3579361"/>
          <a:ext cx="131183" cy="157578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286040</xdr:colOff>
      <xdr:row>18</xdr:row>
      <xdr:rowOff>75179</xdr:rowOff>
    </xdr:from>
    <xdr:to>
      <xdr:col>12</xdr:col>
      <xdr:colOff>250388</xdr:colOff>
      <xdr:row>21</xdr:row>
      <xdr:rowOff>111814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A3203C31-58EE-4D2F-8C14-13D8C9E99CD1}"/>
            </a:ext>
          </a:extLst>
        </xdr:cNvPr>
        <xdr:cNvSpPr txBox="1"/>
      </xdr:nvSpPr>
      <xdr:spPr>
        <a:xfrm>
          <a:off x="2124779" y="2825005"/>
          <a:ext cx="2250348" cy="48389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AGR LISTIPAH</a:t>
          </a:r>
        </a:p>
      </xdr:txBody>
    </xdr:sp>
    <xdr:clientData/>
  </xdr:twoCellAnchor>
  <xdr:twoCellAnchor>
    <xdr:from>
      <xdr:col>16</xdr:col>
      <xdr:colOff>277879</xdr:colOff>
      <xdr:row>19</xdr:row>
      <xdr:rowOff>75182</xdr:rowOff>
    </xdr:from>
    <xdr:to>
      <xdr:col>19</xdr:col>
      <xdr:colOff>294350</xdr:colOff>
      <xdr:row>24</xdr:row>
      <xdr:rowOff>24821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64509B9-B843-42C0-ADDF-987659CA7856}"/>
            </a:ext>
          </a:extLst>
        </xdr:cNvPr>
        <xdr:cNvSpPr txBox="1"/>
      </xdr:nvSpPr>
      <xdr:spPr>
        <a:xfrm>
          <a:off x="5926618" y="2974095"/>
          <a:ext cx="1159471" cy="69507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AGR UD IRZALIANA PUTRA</a:t>
          </a:r>
        </a:p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197 KVA</a:t>
          </a:r>
        </a:p>
      </xdr:txBody>
    </xdr:sp>
    <xdr:clientData/>
  </xdr:twoCellAnchor>
  <xdr:twoCellAnchor>
    <xdr:from>
      <xdr:col>6</xdr:col>
      <xdr:colOff>290210</xdr:colOff>
      <xdr:row>24</xdr:row>
      <xdr:rowOff>122366</xdr:rowOff>
    </xdr:from>
    <xdr:to>
      <xdr:col>7</xdr:col>
      <xdr:colOff>13197</xdr:colOff>
      <xdr:row>25</xdr:row>
      <xdr:rowOff>91335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2122951" y="3800987"/>
          <a:ext cx="103987" cy="1200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24010</xdr:colOff>
      <xdr:row>25</xdr:row>
      <xdr:rowOff>28254</xdr:rowOff>
    </xdr:from>
    <xdr:to>
      <xdr:col>7</xdr:col>
      <xdr:colOff>254377</xdr:colOff>
      <xdr:row>25</xdr:row>
      <xdr:rowOff>28254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759D0889-B960-4CD4-BC6B-35D774EF0743}"/>
            </a:ext>
          </a:extLst>
        </xdr:cNvPr>
        <xdr:cNvCxnSpPr/>
      </xdr:nvCxnSpPr>
      <xdr:spPr>
        <a:xfrm>
          <a:off x="2243749" y="3821689"/>
          <a:ext cx="230367" cy="0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146015</xdr:colOff>
      <xdr:row>25</xdr:row>
      <xdr:rowOff>26053</xdr:rowOff>
    </xdr:from>
    <xdr:to>
      <xdr:col>6</xdr:col>
      <xdr:colOff>290210</xdr:colOff>
      <xdr:row>25</xdr:row>
      <xdr:rowOff>32307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stCxn id="306" idx="6"/>
          <a:endCxn id="320" idx="2"/>
        </xdr:cNvCxnSpPr>
      </xdr:nvCxnSpPr>
      <xdr:spPr>
        <a:xfrm>
          <a:off x="1603754" y="3819488"/>
          <a:ext cx="525195" cy="62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367810</xdr:colOff>
      <xdr:row>23</xdr:row>
      <xdr:rowOff>97592</xdr:rowOff>
    </xdr:from>
    <xdr:to>
      <xdr:col>5</xdr:col>
      <xdr:colOff>46681</xdr:colOff>
      <xdr:row>24</xdr:row>
      <xdr:rowOff>135691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E67DD785-3B6F-4130-A64E-2FF882DC8997}"/>
            </a:ext>
          </a:extLst>
        </xdr:cNvPr>
        <xdr:cNvSpPr txBox="1"/>
      </xdr:nvSpPr>
      <xdr:spPr>
        <a:xfrm>
          <a:off x="1063549" y="3592853"/>
          <a:ext cx="440871" cy="187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35mtr</a:t>
          </a:r>
        </a:p>
      </xdr:txBody>
    </xdr:sp>
    <xdr:clientData/>
  </xdr:twoCellAnchor>
  <xdr:twoCellAnchor>
    <xdr:from>
      <xdr:col>5</xdr:col>
      <xdr:colOff>333252</xdr:colOff>
      <xdr:row>20</xdr:row>
      <xdr:rowOff>15516</xdr:rowOff>
    </xdr:from>
    <xdr:to>
      <xdr:col>6</xdr:col>
      <xdr:colOff>62770</xdr:colOff>
      <xdr:row>20</xdr:row>
      <xdr:rowOff>136587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16B4D46B-929D-44D3-ADC9-D501715A04BC}"/>
            </a:ext>
          </a:extLst>
        </xdr:cNvPr>
        <xdr:cNvGrpSpPr/>
      </xdr:nvGrpSpPr>
      <xdr:grpSpPr>
        <a:xfrm>
          <a:off x="1784993" y="3089792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144EB2CE-9169-4FED-9CCA-33302152BE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C79FD1EB-8BDF-41ED-BF73-CF0764561C16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803D4B3-149D-4AA3-B954-78DFDC99BBD1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168481</xdr:colOff>
      <xdr:row>19</xdr:row>
      <xdr:rowOff>140711</xdr:rowOff>
    </xdr:from>
    <xdr:to>
      <xdr:col>3</xdr:col>
      <xdr:colOff>282896</xdr:colOff>
      <xdr:row>20</xdr:row>
      <xdr:rowOff>112695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024B1F93-70CC-4CA1-AE4A-399E39F96E58}"/>
            </a:ext>
          </a:extLst>
        </xdr:cNvPr>
        <xdr:cNvGrpSpPr/>
      </xdr:nvGrpSpPr>
      <xdr:grpSpPr>
        <a:xfrm>
          <a:off x="858222" y="3063901"/>
          <a:ext cx="114415" cy="1230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id="{06EAF701-5A1A-4DC0-9147-8EA0C8D787A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DBA4A2D1-D0D6-48BC-ADF3-4E2247943DB2}"/>
              </a:ext>
            </a:extLst>
          </xdr:cNvPr>
          <xdr:cNvCxnSpPr>
            <a:stCxn id="129" idx="1"/>
            <a:endCxn id="1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38F5A83B-299D-4AD7-B490-061565B2DFF2}"/>
              </a:ext>
            </a:extLst>
          </xdr:cNvPr>
          <xdr:cNvCxnSpPr>
            <a:stCxn id="129" idx="3"/>
            <a:endCxn id="1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282896</xdr:colOff>
      <xdr:row>20</xdr:row>
      <xdr:rowOff>49770</xdr:rowOff>
    </xdr:from>
    <xdr:to>
      <xdr:col>5</xdr:col>
      <xdr:colOff>333252</xdr:colOff>
      <xdr:row>20</xdr:row>
      <xdr:rowOff>73662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C697E2E5-9C2E-4975-B680-A6A290F216EA}"/>
            </a:ext>
          </a:extLst>
        </xdr:cNvPr>
        <xdr:cNvCxnSpPr>
          <a:stCxn id="129" idx="6"/>
          <a:endCxn id="110" idx="2"/>
        </xdr:cNvCxnSpPr>
      </xdr:nvCxnSpPr>
      <xdr:spPr>
        <a:xfrm>
          <a:off x="978635" y="3097770"/>
          <a:ext cx="812356" cy="2389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282282</xdr:colOff>
      <xdr:row>18</xdr:row>
      <xdr:rowOff>108367</xdr:rowOff>
    </xdr:from>
    <xdr:to>
      <xdr:col>6</xdr:col>
      <xdr:colOff>47820</xdr:colOff>
      <xdr:row>19</xdr:row>
      <xdr:rowOff>108366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229B740-108E-4618-8B6F-DCBCC3C7BD1F}"/>
            </a:ext>
          </a:extLst>
        </xdr:cNvPr>
        <xdr:cNvSpPr/>
      </xdr:nvSpPr>
      <xdr:spPr>
        <a:xfrm>
          <a:off x="1740021" y="2858193"/>
          <a:ext cx="146538" cy="149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161155</xdr:colOff>
      <xdr:row>28</xdr:row>
      <xdr:rowOff>52037</xdr:rowOff>
    </xdr:from>
    <xdr:to>
      <xdr:col>3</xdr:col>
      <xdr:colOff>275570</xdr:colOff>
      <xdr:row>29</xdr:row>
      <xdr:rowOff>11449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5E9523C6-95FC-4A58-84CA-4E754B9A83B4}"/>
            </a:ext>
          </a:extLst>
        </xdr:cNvPr>
        <xdr:cNvGrpSpPr/>
      </xdr:nvGrpSpPr>
      <xdr:grpSpPr>
        <a:xfrm>
          <a:off x="850896" y="4335003"/>
          <a:ext cx="114415" cy="1104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B4FE8999-D825-4F82-8EE0-D59D65213C5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F1CCE90E-A866-4A98-BAA5-9141CB480A67}"/>
              </a:ext>
            </a:extLst>
          </xdr:cNvPr>
          <xdr:cNvCxnSpPr>
            <a:stCxn id="137" idx="1"/>
            <a:endCxn id="1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0461EE03-B26B-43B3-ACD0-396623E2289E}"/>
              </a:ext>
            </a:extLst>
          </xdr:cNvPr>
          <xdr:cNvCxnSpPr>
            <a:stCxn id="137" idx="3"/>
            <a:endCxn id="1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281965</xdr:colOff>
      <xdr:row>24</xdr:row>
      <xdr:rowOff>104919</xdr:rowOff>
    </xdr:from>
    <xdr:to>
      <xdr:col>10</xdr:col>
      <xdr:colOff>330667</xdr:colOff>
      <xdr:row>27</xdr:row>
      <xdr:rowOff>141123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E7A6162-CE03-49DD-9636-DAD3C849A080}"/>
            </a:ext>
          </a:extLst>
        </xdr:cNvPr>
        <xdr:cNvSpPr txBox="1"/>
      </xdr:nvSpPr>
      <xdr:spPr>
        <a:xfrm>
          <a:off x="2501704" y="3749267"/>
          <a:ext cx="1191702" cy="4834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UD SRI REJEKI</a:t>
          </a:r>
        </a:p>
      </xdr:txBody>
    </xdr:sp>
    <xdr:clientData/>
  </xdr:twoCellAnchor>
  <xdr:twoCellAnchor editAs="oneCell">
    <xdr:from>
      <xdr:col>14</xdr:col>
      <xdr:colOff>8282</xdr:colOff>
      <xdr:row>42</xdr:row>
      <xdr:rowOff>76917</xdr:rowOff>
    </xdr:from>
    <xdr:to>
      <xdr:col>21</xdr:col>
      <xdr:colOff>145184</xdr:colOff>
      <xdr:row>53</xdr:row>
      <xdr:rowOff>149974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AF855-3C39-4563-85B7-2FD5D4CF4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021" y="6429678"/>
          <a:ext cx="2803902" cy="1862100"/>
        </a:xfrm>
        <a:prstGeom prst="rect">
          <a:avLst/>
        </a:prstGeom>
      </xdr:spPr>
    </xdr:pic>
    <xdr:clientData/>
  </xdr:twoCellAnchor>
  <xdr:twoCellAnchor>
    <xdr:from>
      <xdr:col>5</xdr:col>
      <xdr:colOff>189900</xdr:colOff>
      <xdr:row>20</xdr:row>
      <xdr:rowOff>863</xdr:rowOff>
    </xdr:from>
    <xdr:to>
      <xdr:col>5</xdr:col>
      <xdr:colOff>300418</xdr:colOff>
      <xdr:row>20</xdr:row>
      <xdr:rowOff>121934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1641641" y="3075139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264138</xdr:colOff>
      <xdr:row>25</xdr:row>
      <xdr:rowOff>26053</xdr:rowOff>
    </xdr:from>
    <xdr:to>
      <xdr:col>5</xdr:col>
      <xdr:colOff>35497</xdr:colOff>
      <xdr:row>25</xdr:row>
      <xdr:rowOff>27874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42CE0DC-CCC2-4F74-93A5-364D4EF479EB}"/>
            </a:ext>
          </a:extLst>
        </xdr:cNvPr>
        <xdr:cNvCxnSpPr>
          <a:stCxn id="310" idx="6"/>
          <a:endCxn id="306" idx="2"/>
        </xdr:cNvCxnSpPr>
      </xdr:nvCxnSpPr>
      <xdr:spPr>
        <a:xfrm flipV="1">
          <a:off x="959877" y="3819488"/>
          <a:ext cx="533359" cy="18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59889</xdr:colOff>
      <xdr:row>21</xdr:row>
      <xdr:rowOff>119142</xdr:rowOff>
    </xdr:from>
    <xdr:to>
      <xdr:col>14</xdr:col>
      <xdr:colOff>294350</xdr:colOff>
      <xdr:row>24</xdr:row>
      <xdr:rowOff>96206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9A0340E-A836-4F7B-8AB3-595D6237ACC9}"/>
            </a:ext>
          </a:extLst>
        </xdr:cNvPr>
        <xdr:cNvSpPr txBox="1"/>
      </xdr:nvSpPr>
      <xdr:spPr>
        <a:xfrm>
          <a:off x="3803628" y="3316229"/>
          <a:ext cx="1377461" cy="4243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100819</xdr:colOff>
      <xdr:row>23</xdr:row>
      <xdr:rowOff>147088</xdr:rowOff>
    </xdr:from>
    <xdr:to>
      <xdr:col>3</xdr:col>
      <xdr:colOff>121552</xdr:colOff>
      <xdr:row>29</xdr:row>
      <xdr:rowOff>111672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64D74AA-96E1-409F-9EC9-4A36A8B520AC}"/>
            </a:ext>
          </a:extLst>
        </xdr:cNvPr>
        <xdr:cNvSpPr txBox="1"/>
      </xdr:nvSpPr>
      <xdr:spPr>
        <a:xfrm>
          <a:off x="297888" y="3674622"/>
          <a:ext cx="513405" cy="8711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K3-324F/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58A/6A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CM5-5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5</xdr:col>
      <xdr:colOff>188906</xdr:colOff>
      <xdr:row>23</xdr:row>
      <xdr:rowOff>100905</xdr:rowOff>
    </xdr:from>
    <xdr:to>
      <xdr:col>6</xdr:col>
      <xdr:colOff>248777</xdr:colOff>
      <xdr:row>24</xdr:row>
      <xdr:rowOff>139004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AA0C83-386A-47A5-A751-9677433072C5}"/>
            </a:ext>
          </a:extLst>
        </xdr:cNvPr>
        <xdr:cNvSpPr txBox="1"/>
      </xdr:nvSpPr>
      <xdr:spPr>
        <a:xfrm>
          <a:off x="1646645" y="3596166"/>
          <a:ext cx="440871" cy="187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35mtr</a:t>
          </a:r>
        </a:p>
      </xdr:txBody>
    </xdr:sp>
    <xdr:clientData/>
  </xdr:twoCellAnchor>
  <xdr:twoCellAnchor>
    <xdr:from>
      <xdr:col>7</xdr:col>
      <xdr:colOff>13379</xdr:colOff>
      <xdr:row>24</xdr:row>
      <xdr:rowOff>121371</xdr:rowOff>
    </xdr:from>
    <xdr:to>
      <xdr:col>7</xdr:col>
      <xdr:colOff>123897</xdr:colOff>
      <xdr:row>25</xdr:row>
      <xdr:rowOff>87619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D5C1EBB-3F82-4A91-A09C-5D6865FCA796}"/>
            </a:ext>
          </a:extLst>
        </xdr:cNvPr>
        <xdr:cNvGrpSpPr/>
      </xdr:nvGrpSpPr>
      <xdr:grpSpPr>
        <a:xfrm>
          <a:off x="2227120" y="3799992"/>
          <a:ext cx="110518" cy="1173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8E1FCE30-83E9-3E3E-F0EA-9D76FDD8ACD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6981DF7-A156-9CE5-B631-00182974D081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7A6FA93A-E526-4146-1627-D3637CCCAED9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78970</xdr:colOff>
      <xdr:row>25</xdr:row>
      <xdr:rowOff>128380</xdr:rowOff>
    </xdr:from>
    <xdr:to>
      <xdr:col>5</xdr:col>
      <xdr:colOff>211375</xdr:colOff>
      <xdr:row>31</xdr:row>
      <xdr:rowOff>20707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AE3EA3-A878-469F-B730-D41A10BBFDF8}"/>
            </a:ext>
          </a:extLst>
        </xdr:cNvPr>
        <xdr:cNvSpPr txBox="1"/>
      </xdr:nvSpPr>
      <xdr:spPr>
        <a:xfrm>
          <a:off x="1149711" y="3958087"/>
          <a:ext cx="513405" cy="7922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K3-324F/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58A/6A/1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65833</xdr:colOff>
      <xdr:row>25</xdr:row>
      <xdr:rowOff>141518</xdr:rowOff>
    </xdr:from>
    <xdr:to>
      <xdr:col>7</xdr:col>
      <xdr:colOff>321880</xdr:colOff>
      <xdr:row>34</xdr:row>
      <xdr:rowOff>98534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78CDB6-4E2B-4363-A20A-139C6540998B}"/>
            </a:ext>
          </a:extLst>
        </xdr:cNvPr>
        <xdr:cNvSpPr txBox="1"/>
      </xdr:nvSpPr>
      <xdr:spPr>
        <a:xfrm>
          <a:off x="1898574" y="3971225"/>
          <a:ext cx="637047" cy="131022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K3-324F/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58A/6A/1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100 KVA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27</xdr:col>
      <xdr:colOff>177362</xdr:colOff>
      <xdr:row>50</xdr:row>
      <xdr:rowOff>203637</xdr:rowOff>
    </xdr:from>
    <xdr:to>
      <xdr:col>27</xdr:col>
      <xdr:colOff>253562</xdr:colOff>
      <xdr:row>52</xdr:row>
      <xdr:rowOff>41565</xdr:rowOff>
    </xdr:to>
    <xdr:sp macro="" textlink="">
      <xdr:nvSpPr>
        <xdr:cNvPr id="119" name="Freeform: Shape 118">
          <a:extLst>
            <a:ext uri="{FF2B5EF4-FFF2-40B4-BE49-F238E27FC236}">
              <a16:creationId xmlns:a16="http://schemas.microsoft.com/office/drawing/2014/main" id="{3D4B4419-2293-443A-BCA5-C565ABF96181}"/>
            </a:ext>
          </a:extLst>
        </xdr:cNvPr>
        <xdr:cNvSpPr/>
      </xdr:nvSpPr>
      <xdr:spPr>
        <a:xfrm>
          <a:off x="10109638" y="7876189"/>
          <a:ext cx="76200" cy="23863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85396</xdr:colOff>
      <xdr:row>52</xdr:row>
      <xdr:rowOff>0</xdr:rowOff>
    </xdr:from>
    <xdr:to>
      <xdr:col>28</xdr:col>
      <xdr:colOff>142546</xdr:colOff>
      <xdr:row>53</xdr:row>
      <xdr:rowOff>18790</xdr:rowOff>
    </xdr:to>
    <xdr:sp macro="" textlink="">
      <xdr:nvSpPr>
        <xdr:cNvPr id="133" name="Freeform: Shape 132">
          <a:extLst>
            <a:ext uri="{FF2B5EF4-FFF2-40B4-BE49-F238E27FC236}">
              <a16:creationId xmlns:a16="http://schemas.microsoft.com/office/drawing/2014/main" id="{AD524392-BAA9-46B3-9E07-B8900DCA26B7}"/>
            </a:ext>
          </a:extLst>
        </xdr:cNvPr>
        <xdr:cNvSpPr/>
      </xdr:nvSpPr>
      <xdr:spPr>
        <a:xfrm>
          <a:off x="10398672" y="8073259"/>
          <a:ext cx="57150" cy="16987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519544</xdr:colOff>
      <xdr:row>8</xdr:row>
      <xdr:rowOff>103909</xdr:rowOff>
    </xdr:from>
    <xdr:to>
      <xdr:col>24</xdr:col>
      <xdr:colOff>329044</xdr:colOff>
      <xdr:row>57</xdr:row>
      <xdr:rowOff>141703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050C8C-5514-4C42-A5E1-2232D082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4044" y="1316182"/>
          <a:ext cx="11291455" cy="7675112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121227</xdr:colOff>
      <xdr:row>38</xdr:row>
      <xdr:rowOff>69273</xdr:rowOff>
    </xdr:from>
    <xdr:to>
      <xdr:col>17</xdr:col>
      <xdr:colOff>17319</xdr:colOff>
      <xdr:row>38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8503227" y="5957455"/>
          <a:ext cx="50222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588819</xdr:colOff>
      <xdr:row>37</xdr:row>
      <xdr:rowOff>86592</xdr:rowOff>
    </xdr:from>
    <xdr:to>
      <xdr:col>17</xdr:col>
      <xdr:colOff>242455</xdr:colOff>
      <xdr:row>39</xdr:row>
      <xdr:rowOff>17319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8970819" y="5818910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261937</xdr:colOff>
      <xdr:row>8</xdr:row>
      <xdr:rowOff>23813</xdr:rowOff>
    </xdr:from>
    <xdr:to>
      <xdr:col>21</xdr:col>
      <xdr:colOff>23812</xdr:colOff>
      <xdr:row>53</xdr:row>
      <xdr:rowOff>2958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56DABE-5588-444D-D289-E2DED113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2062" y="1500188"/>
          <a:ext cx="11263313" cy="748008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6" t="s">
        <v>1134</v>
      </c>
      <c r="C4" s="536"/>
      <c r="D4" s="536"/>
      <c r="E4" s="536"/>
      <c r="F4" s="536"/>
      <c r="G4" s="536"/>
      <c r="H4" s="53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7" t="s">
        <v>0</v>
      </c>
      <c r="C7" s="537" t="s">
        <v>1</v>
      </c>
      <c r="D7" s="538" t="s">
        <v>42</v>
      </c>
      <c r="E7" s="538" t="s">
        <v>43</v>
      </c>
      <c r="F7" s="538" t="s">
        <v>1135</v>
      </c>
      <c r="G7" s="539" t="s">
        <v>41</v>
      </c>
      <c r="H7" s="535" t="s">
        <v>1042</v>
      </c>
      <c r="I7" s="535" t="s">
        <v>1137</v>
      </c>
      <c r="J7" s="535" t="s">
        <v>1026</v>
      </c>
      <c r="K7" s="529" t="s">
        <v>1024</v>
      </c>
      <c r="L7" s="530"/>
    </row>
    <row r="8" spans="1:12" ht="15" customHeight="1">
      <c r="B8" s="537"/>
      <c r="C8" s="537"/>
      <c r="D8" s="538"/>
      <c r="E8" s="538"/>
      <c r="F8" s="538"/>
      <c r="G8" s="539"/>
      <c r="H8" s="535"/>
      <c r="I8" s="535"/>
      <c r="J8" s="535"/>
      <c r="K8" s="531"/>
      <c r="L8" s="532"/>
    </row>
    <row r="9" spans="1:12" ht="15" customHeight="1">
      <c r="B9" s="537"/>
      <c r="C9" s="537"/>
      <c r="D9" s="538"/>
      <c r="E9" s="538"/>
      <c r="F9" s="538"/>
      <c r="G9" s="539"/>
      <c r="H9" s="535"/>
      <c r="I9" s="535"/>
      <c r="J9" s="535"/>
      <c r="K9" s="533"/>
      <c r="L9" s="53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11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300.2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SUMIFS(RAB!$F$14:$F$162,RAB!$C$14:$C$162,C714)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SUMIFS(RAB!$F$14:$F$162,RAB!$C$14:$C$162,C715)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SUMIFS(RAB!$F$14:$F$162,RAB!$C$14:$C$162,C716)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SUMIFS(RAB!$F$14:$F$162,RAB!$C$14:$C$162,C717)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SUMIFS(RAB!$F$14:$F$162,RAB!$C$14:$C$162,C718)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SUMIFS(RAB!$F$14:$F$162,RAB!$C$14:$C$162,C719)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SUMIFS(RAB!$F$14:$F$162,RAB!$C$14:$C$162,C720)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SUMIFS(RAB!$F$14:$F$162,RAB!$C$14:$C$162,C721)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SUMIFS(RAB!$F$14:$F$162,RAB!$C$14:$C$162,C722)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SUMIFS(RAB!$F$14:$F$162,RAB!$C$14:$C$162,C723)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SUMIFS(RAB!$F$14:$F$162,RAB!$C$14:$C$162,C724)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SUMIFS(RAB!$F$14:$F$162,RAB!$C$14:$C$162,C725)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SUMIFS(RAB!$F$14:$F$162,RAB!$C$14:$C$162,C726)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SUMIFS(RAB!$F$14:$F$162,RAB!$C$14:$C$162,C727)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SUMIFS(RAB!$F$14:$F$162,RAB!$C$14:$C$162,C728)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SUMIFS(RAB!$F$14:$F$162,RAB!$C$14:$C$162,C729)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SUMIFS(RAB!$F$14:$F$162,RAB!$C$14:$C$162,C730)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SUMIFS(RAB!$F$14:$F$162,RAB!$C$14:$C$162,C731)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SUMIFS(RAB!$F$14:$F$162,RAB!$C$14:$C$162,C732)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SUMIFS(RAB!$F$14:$F$162,RAB!$C$14:$C$162,C733)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SUMIFS(RAB!$F$14:$F$162,RAB!$C$14:$C$162,C734)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SUMIFS(RAB!$F$14:$F$162,RAB!$C$14:$C$162,C735)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SUMIFS(RAB!$F$14:$F$162,RAB!$C$14:$C$162,C736)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SUMIFS(RAB!$F$14:$F$162,RAB!$C$14:$C$162,C737)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SUMIFS(RAB!$F$14:$F$162,RAB!$C$14:$C$162,C738)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SUMIFS(RAB!$F$14:$F$162,RAB!$C$14:$C$162,C739)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SUMIFS(RAB!$F$14:$F$162,RAB!$C$14:$C$162,C740)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SUMIFS(RAB!$F$14:$F$162,RAB!$C$14:$C$162,C741)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SUMIFS(RAB!$F$14:$F$162,RAB!$C$14:$C$162,C742)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SUMIFS(RAB!$F$14:$F$162,RAB!$C$14:$C$162,C743)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SUMIFS(RAB!$F$14:$F$162,RAB!$C$14:$C$162,C744)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SUMIFS(RAB!$F$14:$F$162,RAB!$C$14:$C$162,C745)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SUMIFS(RAB!$F$14:$F$162,RAB!$C$14:$C$162,C746)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SUMIFS(RAB!$F$14:$F$162,RAB!$C$14:$C$162,C747)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SUMIFS(RAB!$F$14:$F$162,RAB!$C$14:$C$162,C748)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SUMIFS(RAB!$F$14:$F$162,RAB!$C$14:$C$162,C749)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SUMIFS(RAB!$F$14:$F$162,RAB!$C$14:$C$162,C750)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SUMIFS(RAB!$F$14:$F$162,RAB!$C$14:$C$162,C751)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SUMIFS(RAB!$F$14:$F$162,RAB!$C$14:$C$162,C752)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SUMIFS(RAB!$F$14:$F$162,RAB!$C$14:$C$162,C753)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SUMIFS(RAB!$F$14:$F$162,RAB!$C$14:$C$162,C754)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SUMIFS(RAB!$F$14:$F$162,RAB!$C$14:$C$162,C755)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SUMIFS(RAB!$F$14:$F$162,RAB!$C$14:$C$162,C756)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SUMIFS(RAB!$F$14:$F$162,RAB!$C$14:$C$162,C757)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SUMIFS(RAB!$F$14:$F$162,RAB!$C$14:$C$162,C758)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SUMIFS(RAB!$F$14:$F$162,RAB!$C$14:$C$162,C759)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SUMIFS(RAB!$F$14:$F$162,RAB!$C$14:$C$162,C760)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SUMIFS(RAB!$F$14:$F$162,RAB!$C$14:$C$162,C761)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SUMIFS(RAB!$F$14:$F$162,RAB!$C$14:$C$162,C762)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SUMIFS(RAB!$F$14:$F$162,RAB!$C$14:$C$162,C763)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SUMIFS(RAB!$F$14:$F$162,RAB!$C$14:$C$162,C764)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SUMIFS(RAB!$F$14:$F$162,RAB!$C$14:$C$162,C765)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SUMIFS(RAB!$F$14:$F$162,RAB!$C$14:$C$162,C766)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SUMIFS(RAB!$F$14:$F$162,RAB!$C$14:$C$162,C767)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SUMIFS(RAB!$F$14:$F$162,RAB!$C$14:$C$162,C768)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SUMIFS(RAB!$F$14:$F$162,RAB!$C$14:$C$162,C769)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SUMIFS(RAB!$F$14:$F$162,RAB!$C$14:$C$162,C770)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SUMIFS(RAB!$F$14:$F$162,RAB!$C$14:$C$162,C771)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SUMIFS(RAB!$F$14:$F$162,RAB!$C$14:$C$162,C772)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SUMIFS(RAB!$F$14:$F$162,RAB!$C$14:$C$162,C773)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SUMIFS(RAB!$F$14:$F$162,RAB!$C$14:$C$162,C774)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SUMIFS(RAB!$F$14:$F$162,RAB!$C$14:$C$162,C775)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SUMIFS(RAB!$F$14:$F$162,RAB!$C$14:$C$162,C776)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SUMIFS(RAB!$F$14:$F$162,RAB!$C$14:$C$162,C777)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SUMIFS(RAB!$F$14:$F$162,RAB!$C$14:$C$162,C778)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SUMIFS(RAB!$F$14:$F$162,RAB!$C$14:$C$162,C779)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SUMIFS(RAB!$F$14:$F$162,RAB!$C$14:$C$162,C780)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SUMIFS(RAB!$F$14:$F$162,RAB!$C$14:$C$162,C781)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SUMIFS(RAB!$F$14:$F$162,RAB!$C$14:$C$162,C782)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SUMIFS(RAB!$F$14:$F$162,RAB!$C$14:$C$162,C783)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SUMIFS(RAB!$F$14:$F$162,RAB!$C$14:$C$162,C784)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SUMIFS(RAB!$F$14:$F$162,RAB!$C$14:$C$162,C785)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SUMIFS(RAB!$F$14:$F$162,RAB!$C$14:$C$162,C786)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SUMIFS(RAB!$F$14:$F$162,RAB!$C$14:$C$162,C787)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SUMIFS(RAB!$F$14:$F$162,RAB!$C$14:$C$162,C788)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SUMIFS(RAB!$F$14:$F$162,RAB!$C$14:$C$162,C789)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SUMIFS(RAB!$F$14:$F$162,RAB!$C$14:$C$162,C790)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SUMIFS(RAB!$F$14:$F$162,RAB!$C$14:$C$162,C791)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SUMIFS(RAB!$F$14:$F$162,RAB!$C$14:$C$162,C792)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SUMIFS(RAB!$F$14:$F$162,RAB!$C$14:$C$162,C793)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SUMIFS(RAB!$F$14:$F$162,RAB!$C$14:$C$162,C794)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SUMIFS(RAB!$F$14:$F$162,RAB!$C$14:$C$162,C795)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SUMIFS(RAB!$F$14:$F$162,RAB!$C$14:$C$162,C796)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SUMIFS(RAB!$F$14:$F$162,RAB!$C$14:$C$162,C797)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SUMIFS(RAB!$F$14:$F$162,RAB!$C$14:$C$162,C798)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SUMIFS(RAB!$F$14:$F$162,RAB!$C$14:$C$162,C799)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SUMIFS(RAB!$F$14:$F$162,RAB!$C$14:$C$162,C800)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SUMIFS(RAB!$F$14:$F$162,RAB!$C$14:$C$162,C801)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SUMIFS(RAB!$F$14:$F$162,RAB!$C$14:$C$162,C802)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SUMIFS(RAB!$F$14:$F$162,RAB!$C$14:$C$162,C803)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SUMIFS(RAB!$F$14:$F$162,RAB!$C$14:$C$162,C804)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SUMIFS(RAB!$F$14:$F$162,RAB!$C$14:$C$162,C805)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SUMIFS(RAB!$F$14:$F$162,RAB!$C$14:$C$162,C806)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SUMIFS(RAB!$F$14:$F$162,RAB!$C$14:$C$162,C807)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SUMIFS(RAB!$F$14:$F$162,RAB!$C$14:$C$162,C808)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SUMIFS(RAB!$F$14:$F$162,RAB!$C$14:$C$162,C809)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SUMIFS(RAB!$F$14:$F$162,RAB!$C$14:$C$162,C810)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SUMIFS(RAB!$F$14:$F$162,RAB!$C$14:$C$162,C811)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SUMIFS(RAB!$F$14:$F$162,RAB!$C$14:$C$162,C812)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SUMIFS(RAB!$F$14:$F$162,RAB!$C$14:$C$162,C813)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SUMIFS(RAB!$F$14:$F$162,RAB!$C$14:$C$162,C814)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SUMIFS(RAB!$F$14:$F$162,RAB!$C$14:$C$162,C815)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SUMIFS(RAB!$F$14:$F$162,RAB!$C$14:$C$162,C816)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SUMIFS(RAB!$F$14:$F$162,RAB!$C$14:$C$162,C817)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SUMIFS(RAB!$F$14:$F$162,RAB!$C$14:$C$162,C818)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SUMIFS(RAB!$F$14:$F$162,RAB!$C$14:$C$162,C819)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SUMIFS(RAB!$F$14:$F$162,RAB!$C$14:$C$162,C820)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SUMIFS(RAB!$F$14:$F$162,RAB!$C$14:$C$162,C821)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SUMIFS(RAB!$F$14:$F$162,RAB!$C$14:$C$162,C822)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SUMIFS(RAB!$F$14:$F$162,RAB!$C$14:$C$162,C823)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SUMIFS(RAB!$F$14:$F$162,RAB!$C$14:$C$162,C824)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SUMIFS(RAB!$F$14:$F$162,RAB!$C$14:$C$162,C825)</f>
        <v>11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SUMIFS(RAB!$F$14:$F$162,RAB!$C$14:$C$162,C826)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SUMIFS(RAB!$F$14:$F$162,RAB!$C$14:$C$162,C827)</f>
        <v>6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SUMIFS(RAB!$F$14:$F$162,RAB!$C$14:$C$162,C828)</f>
        <v>300.2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SUMIFS(RAB!$F$14:$F$162,RAB!$C$14:$C$162,C829)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SUMIFS(RAB!$F$14:$F$162,RAB!$C$14:$C$162,C830)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SUMIFS(RAB!$F$14:$F$162,RAB!$C$14:$C$162,C831)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SUMIFS(RAB!$F$14:$F$162,RAB!$C$14:$C$162,C832)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SUMIFS(RAB!$F$14:$F$162,RAB!$C$14:$C$162,C833)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SUMIFS(RAB!$F$14:$F$162,RAB!$C$14:$C$162,C834)</f>
        <v>3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SUMIFS(RAB!$F$14:$F$162,RAB!$C$14:$C$162,C835)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SUMIFS(RAB!$F$14:$F$162,RAB!$C$14:$C$162,C836)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SUMIFS(RAB!$F$14:$F$162,RAB!$C$14:$C$162,C837)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SUMIFS(RAB!$F$14:$F$162,RAB!$C$14:$C$162,C838)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SUMIFS(RAB!$F$14:$F$162,RAB!$C$14:$C$162,C839)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SUMIFS(RAB!$F$14:$F$162,RAB!$C$14:$C$162,C840)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SUMIFS(RAB!$F$14:$F$162,RAB!$C$14:$C$162,C841)</f>
        <v>44</v>
      </c>
      <c r="E841" s="26">
        <f t="shared" ca="1" si="34"/>
        <v>1</v>
      </c>
      <c r="F841" s="26">
        <f ca="1">IF(D841=0,0,SUM($E$713:E841))</f>
        <v>10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SUMIFS(RAB!$F$14:$F$162,RAB!$C$14:$C$162,C842)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SUMIFS(RAB!$F$14:$F$162,RAB!$C$14:$C$162,C843)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SUMIFS(RAB!$F$14:$F$162,RAB!$C$14:$C$162,C844)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SUMIFS(RAB!$F$14:$F$162,RAB!$C$14:$C$162,C845)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SUMIFS(RAB!$F$14:$F$162,RAB!$C$14:$C$162,C846)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SUMIFS(RAB!$F$14:$F$162,RAB!$C$14:$C$162,C847)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SUMIFS(RAB!$F$14:$F$162,RAB!$C$14:$C$162,C848)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SUMIFS(RAB!$F$14:$F$162,RAB!$C$14:$C$162,C849)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SUMIFS(RAB!$F$14:$F$162,RAB!$C$14:$C$162,C850)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SUMIFS(RAB!$F$14:$F$162,RAB!$C$14:$C$162,C851)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SUMIFS(RAB!$F$14:$F$162,RAB!$C$14:$C$162,C852)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SUMIFS(RAB!$F$14:$F$162,RAB!$C$14:$C$162,C853)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SUMIFS(RAB!$F$14:$F$162,RAB!$C$14:$C$162,C854)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SUMIFS(RAB!$F$14:$F$162,RAB!$C$14:$C$162,C855)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SUMIFS(RAB!$F$14:$F$162,RAB!$C$14:$C$162,C856)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SUMIFS(RAB!$F$14:$F$162,RAB!$C$14:$C$162,C857)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SUMIFS(RAB!$F$14:$F$162,RAB!$C$14:$C$162,C858)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SUMIFS(RAB!$F$14:$F$162,RAB!$C$14:$C$162,C859)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SUMIFS(RAB!$F$14:$F$162,RAB!$C$14:$C$162,C860)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SUMIFS(RAB!$F$14:$F$162,RAB!$C$14:$C$162,C861)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SUMIFS(RAB!$F$14:$F$162,RAB!$C$14:$C$162,C862)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SUMIFS(RAB!$F$14:$F$162,RAB!$C$14:$C$162,C863)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SUMIFS(RAB!$F$14:$F$162,RAB!$C$14:$C$162,C864)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SUMIFS(RAB!$F$14:$F$162,RAB!$C$14:$C$162,C865)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SUMIFS(RAB!$F$14:$F$162,RAB!$C$14:$C$162,C866)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SUMIFS(RAB!$F$14:$F$162,RAB!$C$14:$C$162,C867)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SUMIFS(RAB!$F$14:$F$162,RAB!$C$14:$C$162,C868)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SUMIFS(RAB!$F$14:$F$162,RAB!$C$14:$C$162,C869)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SUMIFS(RAB!$F$14:$F$162,RAB!$C$14:$C$162,C870)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SUMIFS(RAB!$F$14:$F$162,RAB!$C$14:$C$162,C871)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SUMIFS(RAB!$F$14:$F$162,RAB!$C$14:$C$162,C872)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SUMIFS(RAB!$F$14:$F$162,RAB!$C$14:$C$162,C873)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SUMIFS(RAB!$F$14:$F$162,RAB!$C$14:$C$162,C874)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SUMIFS(RAB!$F$14:$F$162,RAB!$C$14:$C$162,C875)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SUMIFS(RAB!$F$14:$F$162,RAB!$C$14:$C$162,C876)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SUMIFS(RAB!$F$14:$F$162,RAB!$C$14:$C$162,C877)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SUMIFS(RAB!$F$14:$F$162,RAB!$C$14:$C$162,C878)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SUMIFS(RAB!$F$14:$F$162,RAB!$C$14:$C$162,C879)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SUMIFS(RAB!$F$14:$F$162,RAB!$C$14:$C$162,C880)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SUMIFS(RAB!$F$14:$F$162,RAB!$C$14:$C$162,C881)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SUMIFS(RAB!$F$14:$F$162,RAB!$C$14:$C$162,C882)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SUMIFS(RAB!$F$14:$F$162,RAB!$C$14:$C$162,C883)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SUMIFS(RAB!$F$14:$F$162,RAB!$C$14:$C$162,C884)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SUMIFS(RAB!$F$14:$F$162,RAB!$C$14:$C$162,C885)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SUMIFS(RAB!$F$14:$F$162,RAB!$C$14:$C$162,C886)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SUMIFS(RAB!$F$14:$F$162,RAB!$C$14:$C$162,C887)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SUMIFS(RAB!$F$14:$F$162,RAB!$C$14:$C$162,C888)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SUMIFS(RAB!$F$14:$F$162,RAB!$C$14:$C$162,C889)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SUMIFS(RAB!$F$14:$F$162,RAB!$C$14:$C$162,C890)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SUMIFS(RAB!$F$14:$F$162,RAB!$C$14:$C$162,C891)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SUMIFS(RAB!$F$14:$F$162,RAB!$C$14:$C$162,C892)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SUMIFS(RAB!$F$14:$F$162,RAB!$C$14:$C$162,C893)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SUMIFS(RAB!$F$14:$F$162,RAB!$C$14:$C$162,C894)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SUMIFS(RAB!$F$14:$F$162,RAB!$C$14:$C$162,C895)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SUMIFS(RAB!$F$14:$F$162,RAB!$C$14:$C$162,C896)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SUMIFS(RAB!$F$14:$F$162,RAB!$C$14:$C$162,C897)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SUMIFS(RAB!$F$14:$F$162,RAB!$C$14:$C$162,C898)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SUMIFS(RAB!$F$14:$F$162,RAB!$C$14:$C$162,C899)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SUMIFS(RAB!$F$14:$F$162,RAB!$C$14:$C$162,C900)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SUMIFS(RAB!$F$14:$F$162,RAB!$C$14:$C$162,C901)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SUMIFS(RAB!$F$14:$F$162,RAB!$C$14:$C$162,C902)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SUMIFS(RAB!$F$14:$F$162,RAB!$C$14:$C$162,C903)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SUMIFS(RAB!$F$14:$F$162,RAB!$C$14:$C$162,C904)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SUMIFS(RAB!$F$14:$F$162,RAB!$C$14:$C$162,C905)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SUMIFS(RAB!$F$14:$F$162,RAB!$C$14:$C$162,C906)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SUMIFS(RAB!$F$14:$F$162,RAB!$C$14:$C$162,C907)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SUMIFS(RAB!$F$14:$F$162,RAB!$C$14:$C$162,C908)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SUMIFS(RAB!$F$14:$F$162,RAB!$C$14:$C$162,C909)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SUMIFS(RAB!$F$14:$F$162,RAB!$C$14:$C$162,C910)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SUMIFS(RAB!$F$14:$F$162,RAB!$C$14:$C$162,C911)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SUMIFS(RAB!$F$14:$F$162,RAB!$C$14:$C$162,C912)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SUMIFS(RAB!$F$14:$F$162,RAB!$C$14:$C$162,C913)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SUMIFS(RAB!$F$14:$F$162,RAB!$C$14:$C$162,C914)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SUMIFS(RAB!$F$14:$F$162,RAB!$C$14:$C$162,C915)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SUMIFS(RAB!$F$14:$F$162,RAB!$C$14:$C$162,C916)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SUMIFS(RAB!$F$14:$F$162,RAB!$C$14:$C$162,C917)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SUMIFS(RAB!$F$14:$F$162,RAB!$C$14:$C$162,C918)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SUMIFS(RAB!$F$14:$F$162,RAB!$C$14:$C$162,C919)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SUMIFS(RAB!$F$14:$F$162,RAB!$C$14:$C$162,C920)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SUMIFS(RAB!$F$14:$F$162,RAB!$C$14:$C$162,C921)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SUMIFS(RAB!$F$14:$F$162,RAB!$C$14:$C$162,C922)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SUMIFS(RAB!$F$14:$F$162,RAB!$C$14:$C$162,C923)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SUMIFS(RAB!$F$14:$F$162,RAB!$C$14:$C$162,C924)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SUMIFS(RAB!$F$14:$F$162,RAB!$C$14:$C$162,C925)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SUMIFS(RAB!$F$14:$F$162,RAB!$C$14:$C$162,C926)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SUMIFS(RAB!$F$14:$F$162,RAB!$C$14:$C$162,C927)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SUMIFS(RAB!$F$14:$F$162,RAB!$C$14:$C$162,C928)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SUMIFS(RAB!$F$14:$F$162,RAB!$C$14:$C$162,C929)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SUMIFS(RAB!$F$14:$F$162,RAB!$C$14:$C$162,C930)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SUMIFS(RAB!$F$14:$F$162,RAB!$C$14:$C$162,C931)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SUMIFS(RAB!$F$14:$F$162,RAB!$C$14:$C$162,C932)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SUMIFS(RAB!$F$14:$F$162,RAB!$C$14:$C$162,C933)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SUMIFS(RAB!$F$14:$F$162,RAB!$C$14:$C$162,C934)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SUMIFS(RAB!$F$14:$F$162,RAB!$C$14:$C$162,C935)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SUMIFS(RAB!$F$14:$F$162,RAB!$C$14:$C$162,C936)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SUMIFS(RAB!$F$14:$F$162,RAB!$C$14:$C$162,C937)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SUMIFS(RAB!$F$14:$F$162,RAB!$C$14:$C$162,C938)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SUMIFS(RAB!$F$14:$F$162,RAB!$C$14:$C$162,C939)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SUMIFS(RAB!$F$14:$F$162,RAB!$C$14:$C$162,C940)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SUMIFS(RAB!$F$14:$F$162,RAB!$C$14:$C$162,C941)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SUMIFS(RAB!$F$14:$F$162,RAB!$C$14:$C$162,C942)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SUMIFS(RAB!$F$14:$F$162,RAB!$C$14:$C$162,C943)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SUMIFS(RAB!$F$14:$F$162,RAB!$C$14:$C$162,C944)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SUMIFS(RAB!$F$14:$F$162,RAB!$C$14:$C$162,C945)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SUMIFS(RAB!$F$14:$F$162,RAB!$C$14:$C$162,C946)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SUMIFS(RAB!$F$14:$F$162,RAB!$C$14:$C$162,C947)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SUMIFS(RAB!$F$14:$F$162,RAB!$C$14:$C$162,C948)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SUMIFS(RAB!$F$14:$F$162,RAB!$C$14:$C$162,C949)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SUMIFS(RAB!$F$14:$F$162,RAB!$C$14:$C$162,C950)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SUMIFS(RAB!$F$14:$F$162,RAB!$C$14:$C$162,C951)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SUMIFS(RAB!$F$14:$F$162,RAB!$C$14:$C$162,C952)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SUMIFS(RAB!$F$14:$F$162,RAB!$C$14:$C$162,C953)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SUMIFS(RAB!$F$14:$F$162,RAB!$C$14:$C$162,C954)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SUMIFS(RAB!$F$14:$F$162,RAB!$C$14:$C$162,C955)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SUMIFS(RAB!$F$14:$F$162,RAB!$C$14:$C$162,C956)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SUMIFS(RAB!$F$14:$F$162,RAB!$C$14:$C$162,C957)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SUMIFS(RAB!$F$14:$F$162,RAB!$C$14:$C$162,C958)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SUMIFS(RAB!$F$14:$F$162,RAB!$C$14:$C$162,C959)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SUMIFS(RAB!$F$14:$F$162,RAB!$C$14:$C$162,C960)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SUMIFS(RAB!$F$14:$F$162,RAB!$C$14:$C$162,C961)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SUMIFS(RAB!$F$14:$F$162,RAB!$C$14:$C$162,C962)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SUMIFS(RAB!$F$14:$F$162,RAB!$C$14:$C$162,C963)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SUMIFS(RAB!$F$14:$F$162,RAB!$C$14:$C$162,C964)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SUMIFS(RAB!$F$14:$F$162,RAB!$C$14:$C$162,C965)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SUMIFS(RAB!$F$14:$F$162,RAB!$C$14:$C$162,C966)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SUMIFS(RAB!$F$14:$F$162,RAB!$C$14:$C$162,C967)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SUMIFS(RAB!$F$14:$F$162,RAB!$C$14:$C$162,C968)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SUMIFS(RAB!$F$14:$F$162,RAB!$C$14:$C$162,C969)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SUMIFS(RAB!$F$14:$F$162,RAB!$C$14:$C$162,C970)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SUMIFS(RAB!$F$14:$F$162,RAB!$C$14:$C$162,C971)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SUMIFS(RAB!$F$14:$F$162,RAB!$C$14:$C$162,C972)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SUMIFS(RAB!$F$14:$F$162,RAB!$C$14:$C$162,C973)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SUMIFS(RAB!$F$14:$F$162,RAB!$C$14:$C$162,C974)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SUMIFS(RAB!$F$14:$F$162,RAB!$C$14:$C$162,C975)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SUMIFS(RAB!$F$14:$F$162,RAB!$C$14:$C$162,C976)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SUMIFS(RAB!$F$14:$F$162,RAB!$C$14:$C$162,C977)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SUMIFS(RAB!$F$14:$F$162,RAB!$C$14:$C$162,C978)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SUMIFS(RAB!$F$14:$F$162,RAB!$C$14:$C$162,C979)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SUMIFS(RAB!$F$14:$F$162,RAB!$C$14:$C$162,C980)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SUMIFS(RAB!$F$14:$F$162,RAB!$C$14:$C$162,C981)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SUMIFS(RAB!$F$14:$F$162,RAB!$C$14:$C$162,C982)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SUMIFS(RAB!$F$14:$F$162,RAB!$C$14:$C$162,C983)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SUMIFS(RAB!$F$14:$F$162,RAB!$C$14:$C$162,C984)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SUMIFS(RAB!$F$14:$F$162,RAB!$C$14:$C$162,C985)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SUMIFS(RAB!$F$14:$F$162,RAB!$C$14:$C$162,C986)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SUMIFS(RAB!$F$14:$F$162,RAB!$C$14:$C$162,C987)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SUMIFS(RAB!$F$14:$F$162,RAB!$C$14:$C$162,C988)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SUMIFS(RAB!$F$14:$F$162,RAB!$C$14:$C$162,C989)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SUMIFS(RAB!$F$14:$F$162,RAB!$C$14:$C$162,C990)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SUMIFS(RAB!$F$14:$F$162,RAB!$C$14:$C$162,C991)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SUMIFS(RAB!$F$14:$F$162,RAB!$C$14:$C$162,C992)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SUMIFS(RAB!$F$14:$F$162,RAB!$C$14:$C$162,C993)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SUMIFS(RAB!$F$14:$F$162,RAB!$C$14:$C$162,C994)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SUMIFS(RAB!$F$14:$F$162,RAB!$C$14:$C$162,C995)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SUMIFS(RAB!$F$14:$F$162,RAB!$C$14:$C$162,C996)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SUMIFS(RAB!$F$14:$F$162,RAB!$C$14:$C$162,C997)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SUMIFS(RAB!$F$14:$F$162,RAB!$C$14:$C$162,C998)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SUMIFS(RAB!$F$14:$F$162,RAB!$C$14:$C$162,C999)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SUMIFS(RAB!$F$14:$F$162,RAB!$C$14:$C$162,C1000)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SUMIFS(RAB!$F$14:$F$162,RAB!$C$14:$C$162,C1001)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SUMIFS(RAB!$F$14:$F$162,RAB!$C$14:$C$162,C1002)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SUMIFS(RAB!$F$14:$F$162,RAB!$C$14:$C$162,C1003)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SUMIFS(RAB!$F$14:$F$162,RAB!$C$14:$C$162,C1004)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SUMIFS(RAB!$F$14:$F$162,RAB!$C$14:$C$162,C1005)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SUMIFS(RAB!$F$14:$F$162,RAB!$C$14:$C$162,C1006)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SUMIFS(RAB!$F$14:$F$162,RAB!$C$14:$C$162,C1007)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SUMIFS(RAB!$F$14:$F$162,RAB!$C$14:$C$162,C1008)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SUMIFS(RAB!$F$14:$F$162,RAB!$C$14:$C$162,C1009)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SUMIFS(RAB!$F$14:$F$162,RAB!$C$14:$C$162,C1010)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SUMIFS(RAB!$F$14:$F$162,RAB!$C$14:$C$162,C1011)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SUMIFS(RAB!$F$14:$F$162,RAB!$C$14:$C$162,C1012)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SUMIFS(RAB!$F$14:$F$162,RAB!$C$14:$C$162,C1013)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SUMIFS(RAB!$F$14:$F$162,RAB!$C$14:$C$162,C1014)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SUMIFS(RAB!$F$14:$F$162,RAB!$C$14:$C$162,C1015)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SUMIFS(RAB!$F$14:$F$162,RAB!$C$14:$C$162,C1016)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SUMIFS(RAB!$F$14:$F$162,RAB!$C$14:$C$162,C1017)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SUMIFS(RAB!$F$14:$F$162,RAB!$C$14:$C$162,C1018)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SUMIFS(RAB!$F$14:$F$162,RAB!$C$14:$C$162,C1019)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SUMIFS(RAB!$F$14:$F$162,RAB!$C$14:$C$162,C1020)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SUMIFS(RAB!$F$14:$F$162,RAB!$C$14:$C$162,C1021)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SUMIFS(RAB!$F$14:$F$162,RAB!$C$14:$C$162,C1022)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SUMIFS(RAB!$F$14:$F$162,RAB!$C$14:$C$162,C1023)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SUMIFS(RAB!$F$14:$F$162,RAB!$C$14:$C$162,C1024)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SUMIFS(RAB!$F$14:$F$162,RAB!$C$14:$C$162,C1025)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SUMIFS(RAB!$F$14:$F$162,RAB!$C$14:$C$162,C1026)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SUMIFS(RAB!$F$14:$F$162,RAB!$C$14:$C$162,C1027)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SUMIFS(RAB!$F$14:$F$162,RAB!$C$14:$C$162,C1028)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SUMIFS(RAB!$F$14:$F$162,RAB!$C$14:$C$162,C1029)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SUMIFS(RAB!$F$14:$F$162,RAB!$C$14:$C$162,C1030)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SUMIFS(RAB!$F$14:$F$162,RAB!$C$14:$C$162,C1031)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SUMIFS(RAB!$F$14:$F$162,RAB!$C$14:$C$162,C1032)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SUMIFS(RAB!$F$14:$F$162,RAB!$C$14:$C$162,C1033)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SUMIFS(RAB!$F$14:$F$162,RAB!$C$14:$C$162,C1034)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SUMIFS(RAB!$F$14:$F$162,RAB!$C$14:$C$162,C1035)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SUMIFS(RAB!$F$14:$F$162,RAB!$C$14:$C$162,C1036)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SUMIFS(RAB!$F$14:$F$162,RAB!$C$14:$C$162,C1037)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SUMIFS(RAB!$F$14:$F$162,RAB!$C$14:$C$162,C1038)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SUMIFS(RAB!$F$14:$F$162,RAB!$C$14:$C$162,C1039)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SUMIFS(RAB!$F$14:$F$162,RAB!$C$14:$C$162,C1040)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SUMIFS(RAB!$F$14:$F$162,RAB!$C$14:$C$162,C1041)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SUMIFS(RAB!$F$14:$F$162,RAB!$C$14:$C$162,C1042)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SUMIFS(RAB!$F$14:$F$162,RAB!$C$14:$C$162,C1043)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SUMIFS(RAB!$F$14:$F$162,RAB!$C$14:$C$162,C1044)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SUMIFS(RAB!$F$14:$F$162,RAB!$C$14:$C$162,C1045)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SUMIFS(RAB!$F$14:$F$162,RAB!$C$14:$C$162,C1046)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SUMIFS(RAB!$F$14:$F$162,RAB!$C$14:$C$162,C1047)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SUMIFS(RAB!$F$14:$F$162,RAB!$C$14:$C$162,C1048)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SUMIFS(RAB!$F$14:$F$162,RAB!$C$14:$C$162,C1049)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SUMIFS(RAB!$F$14:$F$162,RAB!$C$14:$C$162,C1050)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SUMIFS(RAB!$F$14:$F$162,RAB!$C$14:$C$162,C1051)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SUMIFS(RAB!$F$14:$F$162,RAB!$C$14:$C$162,C1052)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SUMIFS(RAB!$F$14:$F$162,RAB!$C$14:$C$162,C1053)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SUMIFS(RAB!$F$14:$F$162,RAB!$C$14:$C$162,C1054)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SUMIFS(RAB!$F$14:$F$162,RAB!$C$14:$C$162,C1055)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SUMIFS(RAB!$F$14:$F$162,RAB!$C$14:$C$162,C1056)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SUMIFS(RAB!$F$14:$F$162,RAB!$C$14:$C$162,C1057)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SUMIFS(RAB!$F$14:$F$162,RAB!$C$14:$C$162,C1058)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SUMIFS(RAB!$F$14:$F$162,RAB!$C$14:$C$162,C1059)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SUMIFS(RAB!$F$14:$F$162,RAB!$C$14:$C$162,C1060)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SUMIFS(RAB!$F$14:$F$162,RAB!$C$14:$C$162,C1061)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SUMIFS(RAB!$F$14:$F$162,RAB!$C$14:$C$162,C1062)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SUMIFS(RAB!$F$14:$F$162,RAB!$C$14:$C$162,C1063)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SUMIFS(RAB!$F$14:$F$162,RAB!$C$14:$C$162,C1064)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SUMIFS(RAB!$F$14:$F$162,RAB!$C$14:$C$162,C1065)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SUMIFS(RAB!$F$14:$F$162,RAB!$C$14:$C$162,C1066)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SUMIFS(RAB!$F$14:$F$162,RAB!$C$14:$C$162,C1067)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SUMIFS(RAB!$F$14:$F$162,RAB!$C$14:$C$162,C1068)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SUMIFS(RAB!$F$14:$F$162,RAB!$C$14:$C$162,C1069)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SUMIFS(RAB!$F$14:$F$162,RAB!$C$14:$C$162,C1070)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SUMIFS(RAB!$F$14:$F$162,RAB!$C$14:$C$162,C1071)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SUMIFS(RAB!$F$14:$F$162,RAB!$C$14:$C$162,C1072)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SUMIFS(RAB!$F$14:$F$162,RAB!$C$14:$C$162,C1073)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SUMIFS(RAB!$F$14:$F$162,RAB!$C$14:$C$162,C1074)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SUMIFS(RAB!$F$14:$F$162,RAB!$C$14:$C$162,C1075)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SUMIFS(RAB!$F$14:$F$162,RAB!$C$14:$C$162,C1076)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SUMIFS(RAB!$F$14:$F$162,RAB!$C$14:$C$162,C1077)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SUMIFS(RAB!$F$14:$F$162,RAB!$C$14:$C$162,C1078)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SUMIFS(RAB!$F$14:$F$162,RAB!$C$14:$C$162,C1079)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SUMIFS(RAB!$F$14:$F$162,RAB!$C$14:$C$162,C1080)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SUMIFS(RAB!$F$14:$F$162,RAB!$C$14:$C$162,C1081)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SUMIFS(RAB!$F$14:$F$162,RAB!$C$14:$C$162,C1082)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SUMIFS(RAB!$F$14:$F$162,RAB!$C$14:$C$162,C1083)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SUMIFS(RAB!$F$14:$F$162,RAB!$C$14:$C$162,C1084)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SUMIFS(RAB!$F$14:$F$162,RAB!$C$14:$C$162,C1085)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SUMIFS(RAB!$F$14:$F$162,RAB!$C$14:$C$162,C1086)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SUMIFS(RAB!$F$14:$F$162,RAB!$C$14:$C$162,C1087)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SUMIFS(RAB!$F$14:$F$162,RAB!$C$14:$C$162,C1088)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SUMIFS(RAB!$F$14:$F$162,RAB!$C$14:$C$162,C1089)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SUMIFS(RAB!$F$14:$F$162,RAB!$C$14:$C$162,C1090)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SUMIFS(RAB!$F$14:$F$162,RAB!$C$14:$C$162,C1091)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SUMIFS(RAB!$F$14:$F$162,RAB!$C$14:$C$162,C1092)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SUMIFS(RAB!$F$14:$F$162,RAB!$C$14:$C$162,C1093)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SUMIFS(RAB!$F$14:$F$162,RAB!$C$14:$C$162,C1094)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SUMIFS(RAB!$F$14:$F$162,RAB!$C$14:$C$162,C1095)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SUMIFS(RAB!$F$14:$F$162,RAB!$C$14:$C$162,C1096)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SUMIFS(RAB!$F$14:$F$162,RAB!$C$14:$C$162,C1097)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SUMIFS(RAB!$F$14:$F$162,RAB!$C$14:$C$162,C1098)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SUMIFS(RAB!$F$14:$F$162,RAB!$C$14:$C$162,C1099)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SUMIFS(RAB!$F$14:$F$162,RAB!$C$14:$C$162,C1100)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SUMIFS(RAB!$F$14:$F$162,RAB!$C$14:$C$162,C1101)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SUMIFS(RAB!$F$14:$F$162,RAB!$C$14:$C$162,C1102)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SUMIFS(RAB!$F$14:$F$162,RAB!$C$14:$C$162,C1103)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SUMIFS(RAB!$F$14:$F$162,RAB!$C$14:$C$162,C1104)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SUMIFS(RAB!$F$14:$F$162,RAB!$C$14:$C$162,C1105)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SUMIFS(RAB!$F$14:$F$162,RAB!$C$14:$C$162,C1106)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SUMIFS(RAB!$F$14:$F$162,RAB!$C$14:$C$162,C1107)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SUMIFS(RAB!$F$14:$F$162,RAB!$C$14:$C$162,C1108)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SUMIFS(RAB!$F$14:$F$162,RAB!$C$14:$C$162,C1109)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SUMIFS(RAB!$F$14:$F$162,RAB!$C$14:$C$162,C1110)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SUMIFS(RAB!$F$14:$F$162,RAB!$C$14:$C$162,C1111)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SUMIFS(RAB!$F$14:$F$162,RAB!$C$14:$C$162,C1112)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SUMIFS(RAB!$F$14:$F$162,RAB!$C$14:$C$162,C1113)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SUMIFS(RAB!$F$14:$F$162,RAB!$C$14:$C$162,C1114)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SUMIFS(RAB!$F$14:$F$162,RAB!$C$14:$C$162,C1115)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SUMIFS(RAB!$F$14:$F$162,RAB!$C$14:$C$162,C1116)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SUMIFS(RAB!$F$14:$F$162,RAB!$C$14:$C$162,C1117)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SUMIFS(RAB!$F$14:$F$162,RAB!$C$14:$C$162,C1118)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SUMIFS(RAB!$F$14:$F$162,RAB!$C$14:$C$162,C1119)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SUMIFS(RAB!$F$14:$F$162,RAB!$C$14:$C$162,C1120)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SUMIFS(RAB!$F$14:$F$162,RAB!$C$14:$C$162,C1121)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SUMIFS(RAB!$F$14:$F$162,RAB!$C$14:$C$162,C1122)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SUMIFS(RAB!$F$14:$F$162,RAB!$C$14:$C$162,C1123)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SUMIFS(RAB!$F$14:$F$162,RAB!$C$14:$C$162,C1124)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SUMIFS(RAB!$F$14:$F$162,RAB!$C$14:$C$162,C1125)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SUMIFS(RAB!$F$14:$F$162,RAB!$C$14:$C$162,C1126)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SUMIFS(RAB!$F$14:$F$162,RAB!$C$14:$C$162,C1127)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SUMIFS(RAB!$F$14:$F$162,RAB!$C$14:$C$162,C1128)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SUMIFS(RAB!$F$14:$F$162,RAB!$C$14:$C$162,C1129)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SUMIFS(RAB!$F$14:$F$162,RAB!$C$14:$C$162,C1130)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SUMIFS(RAB!$F$14:$F$162,RAB!$C$14:$C$162,C1131)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SUMIFS(RAB!$F$14:$F$162,RAB!$C$14:$C$162,C1132)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SUMIFS(RAB!$F$14:$F$162,RAB!$C$14:$C$162,C1133)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SUMIFS(RAB!$F$14:$F$162,RAB!$C$14:$C$162,C1134)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SUMIFS(RAB!$F$14:$F$162,RAB!$C$14:$C$162,C1135)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SUMIFS(RAB!$F$14:$F$162,RAB!$C$14:$C$162,C1136)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SUMIFS(RAB!$F$14:$F$162,RAB!$C$14:$C$162,C1137)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SUMIFS(RAB!$F$14:$F$162,RAB!$C$14:$C$162,C1138)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SUMIFS(RAB!$F$14:$F$162,RAB!$C$14:$C$162,C1139)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SUMIFS(RAB!$F$14:$F$162,RAB!$C$14:$C$162,C1140)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SUMIFS(RAB!$F$14:$F$162,RAB!$C$14:$C$162,C1141)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SUMIFS(RAB!$F$14:$F$162,RAB!$C$14:$C$162,C1142)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SUMIFS(RAB!$F$14:$F$162,RAB!$C$14:$C$162,C1143)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SUMIFS(RAB!$F$14:$F$162,RAB!$C$14:$C$162,C1144)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SUMIFS(RAB!$F$14:$F$162,RAB!$C$14:$C$162,C1145)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SUMIFS(RAB!$F$14:$F$162,RAB!$C$14:$C$162,C1146)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SUMIFS(RAB!$F$14:$F$162,RAB!$C$14:$C$162,C1147)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SUMIFS(RAB!$F$14:$F$162,RAB!$C$14:$C$162,C1148)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SUMIFS(RAB!$F$14:$F$162,RAB!$C$14:$C$162,C1149)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SUMIFS(RAB!$F$14:$F$162,RAB!$C$14:$C$162,C1150)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SUMIFS(RAB!$F$14:$F$162,RAB!$C$14:$C$162,C1151)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SUMIFS(RAB!$F$14:$F$162,RAB!$C$14:$C$162,C1152)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SUMIFS(RAB!$F$14:$F$162,RAB!$C$14:$C$162,C1153)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SUMIFS(RAB!$F$14:$F$162,RAB!$C$14:$C$162,C1154)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SUMIFS(RAB!$F$14:$F$162,RAB!$C$14:$C$162,C1155)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SUMIFS(RAB!$F$14:$F$162,RAB!$C$14:$C$162,C1156)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SUMIFS(RAB!$F$14:$F$162,RAB!$C$14:$C$162,C1157)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SUMIFS(RAB!$F$14:$F$162,RAB!$C$14:$C$162,C1158)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SUMIFS(RAB!$F$14:$F$162,RAB!$C$14:$C$162,C1159)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SUMIFS(RAB!$F$14:$F$162,RAB!$C$14:$C$162,C1160)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SUMIFS(RAB!$F$14:$F$162,RAB!$C$14:$C$162,C1161)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SUMIFS(RAB!$F$14:$F$162,RAB!$C$14:$C$162,C1162)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SUMIFS(RAB!$F$14:$F$162,RAB!$C$14:$C$162,C1163)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SUMIFS(RAB!$F$14:$F$162,RAB!$C$14:$C$162,C1164)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SUMIFS(RAB!$F$14:$F$162,RAB!$C$14:$C$162,C1165)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SUMIFS(RAB!$F$14:$F$162,RAB!$C$14:$C$162,C1166)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SUMIFS(RAB!$F$14:$F$162,RAB!$C$14:$C$162,C1167)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SUMIFS(RAB!$F$14:$F$162,RAB!$C$14:$C$162,C1168)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SUMIFS(RAB!$F$14:$F$162,RAB!$C$14:$C$162,C1169)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SUMIFS(RAB!$F$14:$F$162,RAB!$C$14:$C$162,C1170)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SUMIFS(RAB!$F$14:$F$162,RAB!$C$14:$C$162,C1171)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SUMIFS(RAB!$F$14:$F$162,RAB!$C$14:$C$162,C1172)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SUMIFS(RAB!$F$14:$F$162,RAB!$C$14:$C$162,C1173)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SUMIFS(RAB!$F$14:$F$162,RAB!$C$14:$C$162,C1174)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SUMIFS(RAB!$F$14:$F$162,RAB!$C$14:$C$162,C1175)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SUMIFS(RAB!$F$14:$F$162,RAB!$C$14:$C$162,C1176)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SUMIFS(RAB!$F$14:$F$162,RAB!$C$14:$C$162,C1177)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SUMIFS(RAB!$F$14:$F$162,RAB!$C$14:$C$162,C1178)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SUMIFS(RAB!$F$14:$F$162,RAB!$C$14:$C$162,C1179)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SUMIFS(RAB!$F$14:$F$162,RAB!$C$14:$C$162,C1180)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SUMIFS(RAB!$F$14:$F$162,RAB!$C$14:$C$162,C1181)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SUMIFS(RAB!$F$14:$F$162,RAB!$C$14:$C$162,C1182)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SUMIFS(RAB!$F$14:$F$162,RAB!$C$14:$C$162,C1183)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SUMIFS(RAB!$F$14:$F$162,RAB!$C$14:$C$162,C1184)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SUMIFS(RAB!$F$14:$F$162,RAB!$C$14:$C$162,C1185)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SUMIFS(RAB!$F$14:$F$162,RAB!$C$14:$C$162,C1186)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SUMIFS(RAB!$F$14:$F$162,RAB!$C$14:$C$162,C1187)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SUMIFS(RAB!$F$14:$F$162,RAB!$C$14:$C$162,C1188)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SUMIFS(RAB!$F$14:$F$162,RAB!$C$14:$C$162,C1189)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SUMIFS(RAB!$F$14:$F$162,RAB!$C$14:$C$162,C1190)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SUMIFS(RAB!$F$14:$F$162,RAB!$C$14:$C$162,C1191)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SUMIFS(RAB!$F$14:$F$162,RAB!$C$14:$C$162,C1192)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SUMIFS(RAB!$F$14:$F$162,RAB!$C$14:$C$162,C1193)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SUMIFS(RAB!$F$14:$F$162,RAB!$C$14:$C$162,C1194)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SUMIFS(RAB!$F$14:$F$162,RAB!$C$14:$C$162,C1195)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SUMIFS(RAB!$F$14:$F$162,RAB!$C$14:$C$162,C1196)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SUMIFS(RAB!$F$14:$F$162,RAB!$C$14:$C$162,C1197)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SUMIFS(RAB!$F$14:$F$162,RAB!$C$14:$C$162,C1198)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SUMIFS(RAB!$F$14:$F$162,RAB!$C$14:$C$162,C1199)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SUMIFS(RAB!$F$14:$F$162,RAB!$C$14:$C$162,C1200)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SUMIFS(RAB!$F$14:$F$162,RAB!$C$14:$C$162,C1201)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SUMIFS(RAB!$F$14:$F$162,RAB!$C$14:$C$162,C1202)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SUMIFS(RAB!$F$14:$F$162,RAB!$C$14:$C$162,C1203)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SUMIFS(RAB!$F$14:$F$162,RAB!$C$14:$C$162,C1204)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SUMIFS(RAB!$F$14:$F$162,RAB!$C$14:$C$162,C1205)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SUMIFS(RAB!$F$14:$F$162,RAB!$C$14:$C$162,C1206)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SUMIFS(RAB!$F$14:$F$162,RAB!$C$14:$C$162,C1207)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SUMIFS(RAB!$F$14:$F$162,RAB!$C$14:$C$162,C1208)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SUMIFS(RAB!$F$14:$F$162,RAB!$C$14:$C$162,C1209)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SUMIFS(RAB!$F$14:$F$162,RAB!$C$14:$C$162,C1210)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SUMIFS(RAB!$F$14:$F$162,RAB!$C$14:$C$162,C1211)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SUMIFS(RAB!$F$14:$F$162,RAB!$C$14:$C$162,C1212)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SUMIFS(RAB!$F$14:$F$162,RAB!$C$14:$C$162,C1213)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SUMIFS(RAB!$F$14:$F$162,RAB!$C$14:$C$162,C1214)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SUMIFS(RAB!$F$14:$F$162,RAB!$C$14:$C$162,C1215)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SUMIFS(RAB!$F$14:$F$162,RAB!$C$14:$C$162,C1216)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SUMIFS(RAB!$F$14:$F$162,RAB!$C$14:$C$162,C1217)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SUMIFS(RAB!$F$14:$F$162,RAB!$C$14:$C$162,C1218)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SUMIFS(RAB!$F$14:$F$162,RAB!$C$14:$C$162,C1219)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SUMIFS(RAB!$F$14:$F$162,RAB!$C$14:$C$162,C1220)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SUMIFS(RAB!$F$14:$F$162,RAB!$C$14:$C$162,C1221)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SUMIFS(RAB!$F$14:$F$162,RAB!$C$14:$C$162,C1222)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SUMIFS(RAB!$F$14:$F$162,RAB!$C$14:$C$162,C1223)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SUMIFS(RAB!$F$14:$F$162,RAB!$C$14:$C$162,C1224)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SUMIFS(RAB!$F$14:$F$162,RAB!$C$14:$C$162,C1225)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SUMIFS(RAB!$F$14:$F$162,RAB!$C$14:$C$162,C1226)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SUMIFS(RAB!$F$14:$F$162,RAB!$C$14:$C$162,C1227)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SUMIFS(RAB!$F$14:$F$162,RAB!$C$14:$C$162,C1228)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SUMIFS(RAB!$F$14:$F$162,RAB!$C$14:$C$162,C1229)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SUMIFS(RAB!$F$14:$F$162,RAB!$C$14:$C$162,C1230)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SUMIFS(RAB!$F$14:$F$162,RAB!$C$14:$C$162,C1231)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SUMIFS(RAB!$F$14:$F$162,RAB!$C$14:$C$162,C1232)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SUMIFS(RAB!$F$14:$F$162,RAB!$C$14:$C$162,C1233)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SUMIFS(RAB!$F$14:$F$162,RAB!$C$14:$C$162,C1234)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SUMIFS(RAB!$F$14:$F$162,RAB!$C$14:$C$162,C1235)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SUMIFS(RAB!$F$14:$F$162,RAB!$C$14:$C$162,C1236)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SUMIFS(RAB!$F$14:$F$162,RAB!$C$14:$C$162,C1237)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SUMIFS(RAB!$F$14:$F$162,RAB!$C$14:$C$162,C1238)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SUMIFS(RAB!$F$14:$F$162,RAB!$C$14:$C$162,C1239)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SUMIFS(RAB!$F$14:$F$162,RAB!$C$14:$C$162,C1240)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SUMIFS(RAB!$F$14:$F$162,RAB!$C$14:$C$162,C1241)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SUMIFS(RAB!$F$14:$F$162,RAB!$C$14:$C$162,C1242)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SUMIFS(RAB!$F$14:$F$162,RAB!$C$14:$C$162,C1243)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SUMIFS(RAB!$F$14:$F$162,RAB!$C$14:$C$162,C1244)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SUMIFS(RAB!$F$14:$F$162,RAB!$C$14:$C$162,C1245)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SUMIFS(RAB!$F$14:$F$162,RAB!$C$14:$C$162,C1246)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SUMIFS(RAB!$F$14:$F$162,RAB!$C$14:$C$162,C1247)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SUMIFS(RAB!$F$14:$F$162,RAB!$C$14:$C$162,C1248)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SUMIFS(RAB!$F$14:$F$162,RAB!$C$14:$C$162,C1249)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SUMIFS(RAB!$F$14:$F$162,RAB!$C$14:$C$162,C1250)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SUMIFS(RAB!$F$14:$F$162,RAB!$C$14:$C$162,C1251)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SUMIFS(RAB!$F$14:$F$162,RAB!$C$14:$C$162,C1252)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SUMIFS(RAB!$F$14:$F$162,RAB!$C$14:$C$162,C1253)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SUMIFS(RAB!$F$14:$F$162,RAB!$C$14:$C$162,C1254)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SUMIFS(RAB!$F$14:$F$162,RAB!$C$14:$C$162,C1255)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SUMIFS(RAB!$F$14:$F$162,RAB!$C$14:$C$162,C1256)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SUMIFS(RAB!$F$14:$F$162,RAB!$C$14:$C$162,C1257)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SUMIFS(RAB!$F$14:$F$162,RAB!$C$14:$C$162,C1258)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SUMIFS(RAB!$F$14:$F$162,RAB!$C$14:$C$162,C1259)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SUMIFS(RAB!$F$14:$F$162,RAB!$C$14:$C$162,C1260)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SUMIFS(RAB!$F$14:$F$162,RAB!$C$14:$C$162,C1261)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SUMIFS(RAB!$F$14:$F$162,RAB!$C$14:$C$162,C1262)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SUMIFS(RAB!$F$14:$F$162,RAB!$C$14:$C$162,C1263)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SUMIFS(RAB!$F$14:$F$162,RAB!$C$14:$C$162,C1264)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SUMIFS(RAB!$F$14:$F$162,RAB!$C$14:$C$162,C1265)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SUMIFS(RAB!$F$14:$F$162,RAB!$C$14:$C$162,C1266)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SUMIFS(RAB!$F$14:$F$162,RAB!$C$14:$C$162,C1267)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SUMIFS(RAB!$F$14:$F$162,RAB!$C$14:$C$162,C1268)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SUMIFS(RAB!$F$14:$F$162,RAB!$C$14:$C$162,C1269)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SUMIFS(RAB!$F$14:$F$162,RAB!$C$14:$C$162,C1270)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SUMIFS(RAB!$F$14:$F$162,RAB!$C$14:$C$162,C1271)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SUMIFS(RAB!$F$14:$F$162,RAB!$C$14:$C$162,C1272)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SUMIFS(RAB!$F$14:$F$162,RAB!$C$14:$C$162,C1273)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SUMIFS(RAB!$F$14:$F$162,RAB!$C$14:$C$162,C1274)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SUMIFS(RAB!$F$14:$F$162,RAB!$C$14:$C$162,C1275)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SUMIFS(RAB!$F$14:$F$162,RAB!$C$14:$C$162,C1276)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SUMIFS(RAB!$F$14:$F$162,RAB!$C$14:$C$162,C1277)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SUMIFS(RAB!$F$14:$F$162,RAB!$C$14:$C$162,C1278)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SUMIFS(RAB!$F$14:$F$162,RAB!$C$14:$C$162,C1279)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SUMIFS(RAB!$F$14:$F$162,RAB!$C$14:$C$162,C1280)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SUMIFS(RAB!$F$14:$F$162,RAB!$C$14:$C$162,C1281)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SUMIFS(RAB!$F$14:$F$162,RAB!$C$14:$C$162,C1282)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SUMIFS(RAB!$F$14:$F$162,RAB!$C$14:$C$162,C1283)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SUMIFS(RAB!$F$14:$F$162,RAB!$C$14:$C$162,C1284)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SUMIFS(RAB!$F$14:$F$162,RAB!$C$14:$C$162,C1285)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SUMIFS(RAB!$F$14:$F$162,RAB!$C$14:$C$162,C1286)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SUMIFS(RAB!$F$14:$F$162,RAB!$C$14:$C$162,C1287)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SUMIFS(RAB!$F$14:$F$162,RAB!$C$14:$C$162,C1288)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SUMIFS(RAB!$F$14:$F$162,RAB!$C$14:$C$162,C1289)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SUMIFS(RAB!$F$14:$F$162,RAB!$C$14:$C$162,C1290)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SUMIFS(RAB!$F$14:$F$162,RAB!$C$14:$C$162,C1291)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SUMIFS(RAB!$F$14:$F$162,RAB!$C$14:$C$162,C1292)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SUMIFS(RAB!$F$14:$F$162,RAB!$C$14:$C$162,C1293)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SUMIFS(RAB!$F$14:$F$162,RAB!$C$14:$C$162,C1294)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SUMIFS(RAB!$F$14:$F$162,RAB!$C$14:$C$162,C1295)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SUMIFS(RAB!$F$14:$F$162,RAB!$C$14:$C$162,C1296)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SUMIFS(RAB!$F$14:$F$162,RAB!$C$14:$C$162,C1297)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SUMIFS(RAB!$F$14:$F$162,RAB!$C$14:$C$162,C1298)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SUMIFS(RAB!$F$14:$F$162,RAB!$C$14:$C$162,C1299)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SUMIFS(RAB!$F$14:$F$162,RAB!$C$14:$C$162,C1300)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SUMIFS(RAB!$F$14:$F$162,RAB!$C$14:$C$162,C1301)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SUMIFS(RAB!$F$14:$F$162,RAB!$C$14:$C$162,C1302)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SUMIFS(RAB!$F$14:$F$162,RAB!$C$14:$C$162,C1303)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SUMIFS(RAB!$F$14:$F$162,RAB!$C$14:$C$162,C1304)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SUMIFS(RAB!$F$14:$F$162,RAB!$C$14:$C$162,C1305)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SUMIFS(RAB!$F$14:$F$162,RAB!$C$14:$C$162,C1306)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SUMIFS(RAB!$F$14:$F$162,RAB!$C$14:$C$162,C1307)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SUMIFS(RAB!$F$14:$F$162,RAB!$C$14:$C$162,C1308)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SUMIFS(RAB!$F$14:$F$162,RAB!$C$14:$C$162,C1309)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SUMIFS(RAB!$F$14:$F$162,RAB!$C$14:$C$162,C1310)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SUMIFS(RAB!$F$14:$F$162,RAB!$C$14:$C$162,C1311)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SUMIFS(RAB!$F$14:$F$162,RAB!$C$14:$C$162,C1312)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SUMIFS(RAB!$F$14:$F$162,RAB!$C$14:$C$162,C1313)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SUMIFS(RAB!$F$14:$F$162,RAB!$C$14:$C$162,C1314)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SUMIFS(RAB!$F$14:$F$162,RAB!$C$14:$C$162,C1315)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SUMIFS(RAB!$F$14:$F$162,RAB!$C$14:$C$162,C1316)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SUMIFS(RAB!$F$14:$F$162,RAB!$C$14:$C$162,C1317)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SUMIFS(RAB!$F$14:$F$162,RAB!$C$14:$C$162,C1318)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SUMIFS(RAB!$F$14:$F$162,RAB!$C$14:$C$162,C1319)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SUMIFS(RAB!$F$14:$F$162,RAB!$C$14:$C$162,C1320)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1127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 xml:space="preserve">AGR UD SUMBER REJEKI 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23748800</v>
      </c>
      <c r="J38" s="55">
        <f ca="1">SUM(J14:J37)</f>
        <v>0</v>
      </c>
      <c r="K38" s="55">
        <f ca="1">SUM(K14:K37)</f>
        <v>23748800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2374880</v>
      </c>
      <c r="J39" s="60">
        <f ca="1">J38*0.1</f>
        <v>0</v>
      </c>
      <c r="K39" s="60">
        <f ca="1">K38*0.1</f>
        <v>2374880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26123680</v>
      </c>
      <c r="J40" s="61">
        <f ca="1">SUM(J38:J39)</f>
        <v>0</v>
      </c>
      <c r="K40" s="61">
        <f ca="1">SUM(K38:K39)</f>
        <v>26123680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SUMIFS(RAB!$F$14:$F$162,RAB!$C$14:$C$162,'REKAP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SUMIFS(RAB!$F$14:$F$162,RAB!$C$14:$C$162,'REKAP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SUMIFS(RAB!$F$14:$F$162,RAB!$C$14:$C$162,'REKAP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SUMIFS(RAB!$F$14:$F$162,RAB!$C$14:$C$162,'REKAP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SUMIFS(RAB!$F$14:$F$162,RAB!$C$14:$C$162,'REKAP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SUMIFS(RAB!$F$14:$F$162,RAB!$C$14:$C$162,'REKAP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SUMIFS(RAB!$F$14:$F$162,RAB!$C$14:$C$162,'REKAP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SUMIFS(RAB!$F$14:$F$162,RAB!$C$14:$C$162,'REKAP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SUMIFS(RAB!$F$14:$F$162,RAB!$C$14:$C$162,'REKAP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SUMIFS(RAB!$F$14:$F$162,RAB!$C$14:$C$162,'REKAP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SUMIFS(RAB!$F$14:$F$162,RAB!$C$14:$C$162,'REKAP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SUMIFS(RAB!$F$14:$F$162,RAB!$C$14:$C$162,'REKAP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SUMIFS(RAB!$F$14:$F$162,RAB!$C$14:$C$162,'REKAP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SUMIFS(RAB!$F$14:$F$162,RAB!$C$14:$C$162,'REKAP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SUMIFS(RAB!$F$14:$F$162,RAB!$C$14:$C$162,'REKAP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SUMIFS(RAB!$F$14:$F$162,RAB!$C$14:$C$162,'REKAP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SUMIFS(RAB!$F$14:$F$162,RAB!$C$14:$C$162,'REKAP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SUMIFS(RAB!$F$14:$F$162,RAB!$C$14:$C$162,'REKAP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SUMIFS(RAB!$F$14:$F$162,RAB!$C$14:$C$162,'REKAP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SUMIFS(RAB!$F$14:$F$162,RAB!$C$14:$C$162,'REKAP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1034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 xml:space="preserve">AGR UD SUMBER REJEKI 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11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1945900</v>
      </c>
      <c r="I21" s="42">
        <f t="shared" ca="1" si="2"/>
        <v>0</v>
      </c>
      <c r="J21" s="42">
        <f t="shared" ca="1" si="3"/>
        <v>0</v>
      </c>
      <c r="K21" s="43">
        <f t="shared" ca="1" si="0"/>
        <v>1945900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1234200</v>
      </c>
      <c r="I22" s="42">
        <f t="shared" ca="1" si="2"/>
        <v>0</v>
      </c>
      <c r="J22" s="42">
        <f t="shared" ca="1" si="3"/>
        <v>0</v>
      </c>
      <c r="K22" s="43">
        <f t="shared" ca="1" si="0"/>
        <v>1234200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300.2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4262840</v>
      </c>
      <c r="I23" s="42">
        <f t="shared" ca="1" si="2"/>
        <v>0</v>
      </c>
      <c r="J23" s="42">
        <f t="shared" ca="1" si="3"/>
        <v>0</v>
      </c>
      <c r="K23" s="43">
        <f t="shared" ca="1" si="0"/>
        <v>4262840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159900</v>
      </c>
      <c r="I24" s="42">
        <f t="shared" ca="1" si="2"/>
        <v>0</v>
      </c>
      <c r="J24" s="42">
        <f t="shared" ca="1" si="3"/>
        <v>0</v>
      </c>
      <c r="K24" s="43">
        <f t="shared" ca="1" si="0"/>
        <v>159900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94700</v>
      </c>
      <c r="H25" s="42">
        <f t="shared" ca="1" si="1"/>
        <v>4166800</v>
      </c>
      <c r="I25" s="42">
        <f t="shared" ca="1" si="2"/>
        <v>0</v>
      </c>
      <c r="J25" s="42">
        <f t="shared" ca="1" si="3"/>
        <v>0</v>
      </c>
      <c r="K25" s="43">
        <f t="shared" ca="1" si="0"/>
        <v>4166800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89052790</v>
      </c>
      <c r="I168" s="55">
        <f ca="1">SUM(I14:I167)</f>
        <v>0</v>
      </c>
      <c r="J168" s="55">
        <f ca="1">SUM(J14:J167)</f>
        <v>0</v>
      </c>
      <c r="K168" s="55">
        <f ca="1">SUM(K14:K167)</f>
        <v>89052790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8905279</v>
      </c>
      <c r="I169" s="60">
        <f ca="1">I168*0.1</f>
        <v>0</v>
      </c>
      <c r="J169" s="60">
        <f ca="1">J168*0.1</f>
        <v>0</v>
      </c>
      <c r="K169" s="60">
        <f ca="1">K168*0.1</f>
        <v>8905279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97958069</v>
      </c>
      <c r="I170" s="78">
        <f ca="1">SUM(I168:I169)</f>
        <v>0</v>
      </c>
      <c r="J170" s="61">
        <f ca="1">SUM(J168:J169)</f>
        <v>0</v>
      </c>
      <c r="K170" s="61">
        <f ca="1">SUM(K168:K169)</f>
        <v>97958069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SUMIFS(RAB!$F$14:$F$162,RAB!$C$14:$C$162,C224)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SUMIFS(RAB!$F$14:$F$162,RAB!$C$14:$C$162,C225)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SUMIFS(RAB!$F$14:$F$162,RAB!$C$14:$C$162,C226)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SUMIFS(RAB!$F$14:$F$162,RAB!$C$14:$C$162,C227)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SUMIFS(RAB!$F$14:$F$162,RAB!$C$14:$C$162,C228)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SUMIFS(RAB!$F$14:$F$162,RAB!$C$14:$C$162,C229)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SUMIFS(RAB!$F$14:$F$162,RAB!$C$14:$C$162,C230)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SUMIFS(RAB!$F$14:$F$162,RAB!$C$14:$C$162,C231)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SUMIFS(RAB!$F$14:$F$162,RAB!$C$14:$C$162,C232)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SUMIFS(RAB!$F$14:$F$162,RAB!$C$14:$C$162,C233)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SUMIFS(RAB!$F$14:$F$162,RAB!$C$14:$C$162,C234)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SUMIFS(RAB!$F$14:$F$162,RAB!$C$14:$C$162,C235)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SUMIFS(RAB!$F$14:$F$162,RAB!$C$14:$C$162,C236)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SUMIFS(RAB!$F$14:$F$162,RAB!$C$14:$C$162,C237)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SUMIFS(RAB!$F$14:$F$162,RAB!$C$14:$C$162,C238)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SUMIFS(RAB!$F$14:$F$162,RAB!$C$14:$C$162,C239)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SUMIFS(RAB!$F$14:$F$162,RAB!$C$14:$C$162,C240)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SUMIFS(RAB!$F$14:$F$162,RAB!$C$14:$C$162,C241)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SUMIFS(RAB!$F$14:$F$162,RAB!$C$14:$C$162,C242)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SUMIFS(RAB!$F$14:$F$162,RAB!$C$14:$C$162,C243)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SUMIFS(RAB!$F$14:$F$162,RAB!$C$14:$C$162,C244)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SUMIFS(RAB!$F$14:$F$162,RAB!$C$14:$C$162,C245)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SUMIFS(RAB!$F$14:$F$162,RAB!$C$14:$C$162,C246)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SUMIFS(RAB!$F$14:$F$162,RAB!$C$14:$C$162,C247)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SUMIFS(RAB!$F$14:$F$162,RAB!$C$14:$C$162,C248)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SUMIFS(RAB!$F$14:$F$162,RAB!$C$14:$C$162,C249)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SUMIFS(RAB!$F$14:$F$162,RAB!$C$14:$C$162,C250)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SUMIFS(RAB!$F$14:$F$162,RAB!$C$14:$C$162,C251)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SUMIFS(RAB!$F$14:$F$162,RAB!$C$14:$C$162,C252)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SUMIFS(RAB!$F$14:$F$162,RAB!$C$14:$C$162,C253)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SUMIFS(RAB!$F$14:$F$162,RAB!$C$14:$C$162,C254)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SUMIFS(RAB!$F$14:$F$162,RAB!$C$14:$C$162,C255)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SUMIFS(RAB!$F$14:$F$162,RAB!$C$14:$C$162,C256)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SUMIFS(RAB!$F$14:$F$162,RAB!$C$14:$C$162,C257)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SUMIFS(RAB!$F$14:$F$162,RAB!$C$14:$C$162,C258)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SUMIFS(RAB!$F$14:$F$162,RAB!$C$14:$C$162,C259)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SUMIFS(RAB!$F$14:$F$162,RAB!$C$14:$C$162,C260)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SUMIFS(RAB!$F$14:$F$162,RAB!$C$14:$C$162,C261)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SUMIFS(RAB!$F$14:$F$162,RAB!$C$14:$C$162,C262)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SUMIFS(RAB!$F$14:$F$162,RAB!$C$14:$C$162,C263)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SUMIFS(RAB!$F$14:$F$162,RAB!$C$14:$C$162,C264)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SUMIFS(RAB!$F$14:$F$162,RAB!$C$14:$C$162,C265)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SUMIFS(RAB!$F$14:$F$162,RAB!$C$14:$C$162,C266)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SUMIFS(RAB!$F$14:$F$162,RAB!$C$14:$C$162,C267)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SUMIFS(RAB!$F$14:$F$162,RAB!$C$14:$C$162,C268)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SUMIFS(RAB!$F$14:$F$162,RAB!$C$14:$C$162,C269)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SUMIFS(RAB!$F$14:$F$162,RAB!$C$14:$C$162,C270)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SUMIFS(RAB!$F$14:$F$162,RAB!$C$14:$C$162,C271)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SUMIFS(RAB!$F$14:$F$162,RAB!$C$14:$C$162,C272)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SUMIFS(RAB!$F$14:$F$162,RAB!$C$14:$C$162,C273)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SUMIFS(RAB!$F$14:$F$162,RAB!$C$14:$C$162,C274)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SUMIFS(RAB!$F$14:$F$162,RAB!$C$14:$C$162,C275)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SUMIFS(RAB!$F$14:$F$162,RAB!$C$14:$C$162,C276)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SUMIFS(RAB!$F$14:$F$162,RAB!$C$14:$C$162,C277)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SUMIFS(RAB!$F$14:$F$162,RAB!$C$14:$C$162,C278)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SUMIFS(RAB!$F$14:$F$162,RAB!$C$14:$C$162,C279)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SUMIFS(RAB!$F$14:$F$162,RAB!$C$14:$C$162,C280)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SUMIFS(RAB!$F$14:$F$162,RAB!$C$14:$C$162,C281)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SUMIFS(RAB!$F$14:$F$162,RAB!$C$14:$C$162,C282)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SUMIFS(RAB!$F$14:$F$162,RAB!$C$14:$C$162,C283)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SUMIFS(RAB!$F$14:$F$162,RAB!$C$14:$C$162,C284)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SUMIFS(RAB!$F$14:$F$162,RAB!$C$14:$C$162,C285)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SUMIFS(RAB!$F$14:$F$162,RAB!$C$14:$C$162,C286)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SUMIFS(RAB!$F$14:$F$162,RAB!$C$14:$C$162,C287)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SUMIFS(RAB!$F$14:$F$162,RAB!$C$14:$C$162,C288)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SUMIFS(RAB!$F$14:$F$162,RAB!$C$14:$C$162,C289)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SUMIFS(RAB!$F$14:$F$162,RAB!$C$14:$C$162,C290)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SUMIFS(RAB!$F$14:$F$162,RAB!$C$14:$C$162,C291)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SUMIFS(RAB!$F$14:$F$162,RAB!$C$14:$C$162,C292)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SUMIFS(RAB!$F$14:$F$162,RAB!$C$14:$C$162,C293)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SUMIFS(RAB!$F$14:$F$162,RAB!$C$14:$C$162,C294)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SUMIFS(RAB!$F$14:$F$162,RAB!$C$14:$C$162,C295)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SUMIFS(RAB!$F$14:$F$162,RAB!$C$14:$C$162,C296)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SUMIFS(RAB!$F$14:$F$162,RAB!$C$14:$C$162,C297)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SUMIFS(RAB!$F$14:$F$162,RAB!$C$14:$C$162,C298)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SUMIFS(RAB!$F$14:$F$162,RAB!$C$14:$C$162,C299)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SUMIFS(RAB!$F$14:$F$162,RAB!$C$14:$C$162,C300)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SUMIFS(RAB!$F$14:$F$162,RAB!$C$14:$C$162,C301)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SUMIFS(RAB!$F$14:$F$162,RAB!$C$14:$C$162,C302)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SUMIFS(RAB!$F$14:$F$162,RAB!$C$14:$C$162,C303)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SUMIFS(RAB!$F$14:$F$162,RAB!$C$14:$C$162,C304)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SUMIFS(RAB!$F$14:$F$162,RAB!$C$14:$C$162,C305)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SUMIFS(RAB!$F$14:$F$162,RAB!$C$14:$C$162,C306)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SUMIFS(RAB!$F$14:$F$162,RAB!$C$14:$C$162,C307)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SUMIFS(RAB!$F$14:$F$162,RAB!$C$14:$C$162,C308)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SUMIFS(RAB!$F$14:$F$162,RAB!$C$14:$C$162,C309)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SUMIFS(RAB!$F$14:$F$162,RAB!$C$14:$C$162,C310)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SUMIFS(RAB!$F$14:$F$162,RAB!$C$14:$C$162,C311)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SUMIFS(RAB!$F$14:$F$162,RAB!$C$14:$C$162,C312)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SUMIFS(RAB!$F$14:$F$162,RAB!$C$14:$C$162,C313)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SUMIFS(RAB!$F$14:$F$162,RAB!$C$14:$C$162,C314)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SUMIFS(RAB!$F$14:$F$162,RAB!$C$14:$C$162,C315)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SUMIFS(RAB!$F$14:$F$162,RAB!$C$14:$C$162,C316)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SUMIFS(RAB!$F$14:$F$162,RAB!$C$14:$C$162,C317)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SUMIFS(RAB!$F$14:$F$162,RAB!$C$14:$C$162,C318)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SUMIFS(RAB!$F$14:$F$162,RAB!$C$14:$C$162,C319)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SUMIFS(RAB!$F$14:$F$162,RAB!$C$14:$C$162,C320)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SUMIFS(RAB!$F$14:$F$162,RAB!$C$14:$C$162,C321)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SUMIFS(RAB!$F$14:$F$162,RAB!$C$14:$C$162,C322)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SUMIFS(RAB!$F$14:$F$162,RAB!$C$14:$C$162,C323)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SUMIFS(RAB!$F$14:$F$162,RAB!$C$14:$C$162,C324)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SUMIFS(RAB!$F$14:$F$162,RAB!$C$14:$C$162,C325)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SUMIFS(RAB!$F$14:$F$162,RAB!$C$14:$C$162,C326)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SUMIFS(RAB!$F$14:$F$162,RAB!$C$14:$C$162,C327)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SUMIFS(RAB!$F$14:$F$162,RAB!$C$14:$C$162,C328)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SUMIFS(RAB!$F$14:$F$162,RAB!$C$14:$C$162,C329)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SUMIFS(RAB!$F$14:$F$162,RAB!$C$14:$C$162,C330)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SUMIFS(RAB!$F$14:$F$162,RAB!$C$14:$C$162,C331)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SUMIFS(RAB!$F$14:$F$162,RAB!$C$14:$C$162,C332)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SUMIFS(RAB!$F$14:$F$162,RAB!$C$14:$C$162,C333)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SUMIFS(RAB!$F$14:$F$162,RAB!$C$14:$C$162,C334)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SUMIFS(RAB!$F$14:$F$162,RAB!$C$14:$C$162,C335)</f>
        <v>11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SUMIFS(RAB!$F$14:$F$162,RAB!$C$14:$C$162,C336)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SUMIFS(RAB!$F$14:$F$162,RAB!$C$14:$C$162,C337)</f>
        <v>6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SUMIFS(RAB!$F$14:$F$162,RAB!$C$14:$C$162,C338)</f>
        <v>300.2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SUMIFS(RAB!$F$14:$F$162,RAB!$C$14:$C$162,C339)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SUMIFS(RAB!$F$14:$F$162,RAB!$C$14:$C$162,C340)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SUMIFS(RAB!$F$14:$F$162,RAB!$C$14:$C$162,C341)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SUMIFS(RAB!$F$14:$F$162,RAB!$C$14:$C$162,C342)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SUMIFS(RAB!$F$14:$F$162,RAB!$C$14:$C$162,C343)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SUMIFS(RAB!$F$14:$F$162,RAB!$C$14:$C$162,C344)</f>
        <v>3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SUMIFS(RAB!$F$14:$F$162,RAB!$C$14:$C$162,C345)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SUMIFS(RAB!$F$14:$F$162,RAB!$C$14:$C$162,C346)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SUMIFS(RAB!$F$14:$F$162,RAB!$C$14:$C$162,C347)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SUMIFS(RAB!$F$14:$F$162,RAB!$C$14:$C$162,C348)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SUMIFS(RAB!$F$14:$F$162,RAB!$C$14:$C$162,C349)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SUMIFS(RAB!$F$14:$F$162,RAB!$C$14:$C$162,C350)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SUMIFS(RAB!$F$14:$F$162,RAB!$C$14:$C$162,C351)</f>
        <v>44</v>
      </c>
      <c r="E351" s="24">
        <f t="shared" ca="1" si="22"/>
        <v>1</v>
      </c>
      <c r="F351" s="24">
        <f ca="1">IF(D351=0,0,SUM($E$223:E351))</f>
        <v>10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SUMIFS(RAB!$F$14:$F$162,RAB!$C$14:$C$162,C352)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SUMIFS(RAB!$F$14:$F$162,RAB!$C$14:$C$162,C353)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SUMIFS(RAB!$F$14:$F$162,RAB!$C$14:$C$162,C354)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SUMIFS(RAB!$F$14:$F$162,RAB!$C$14:$C$162,C355)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SUMIFS(RAB!$F$14:$F$162,RAB!$C$14:$C$162,C356)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SUMIFS(RAB!$F$14:$F$162,RAB!$C$14:$C$162,C357)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SUMIFS(RAB!$F$14:$F$162,RAB!$C$14:$C$162,C358)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SUMIFS(RAB!$F$14:$F$162,RAB!$C$14:$C$162,C359)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SUMIFS(RAB!$F$14:$F$162,RAB!$C$14:$C$162,C360)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SUMIFS(RAB!$F$14:$F$162,RAB!$C$14:$C$162,C361)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SUMIFS(RAB!$F$14:$F$162,RAB!$C$14:$C$162,C362)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SUMIFS(RAB!$F$14:$F$162,RAB!$C$14:$C$162,C363)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SUMIFS(RAB!$F$14:$F$162,RAB!$C$14:$C$162,C364)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SUMIFS(RAB!$F$14:$F$162,RAB!$C$14:$C$162,C365)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SUMIFS(RAB!$F$14:$F$162,RAB!$C$14:$C$162,C366)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SUMIFS(RAB!$F$14:$F$162,RAB!$C$14:$C$162,C367)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SUMIFS(RAB!$F$14:$F$162,RAB!$C$14:$C$162,C368)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SUMIFS(RAB!$F$14:$F$162,RAB!$C$14:$C$162,C369)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SUMIFS(RAB!$F$14:$F$162,RAB!$C$14:$C$162,C370)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SUMIFS(RAB!$F$14:$F$162,RAB!$C$14:$C$162,C371)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SUMIFS(RAB!$F$14:$F$162,RAB!$C$14:$C$162,C372)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SUMIFS(RAB!$F$14:$F$162,RAB!$C$14:$C$162,C373)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8" activePane="bottomRight" state="frozen"/>
      <selection activeCell="D209" sqref="D209"/>
      <selection pane="topRight" activeCell="D209" sqref="D209"/>
      <selection pane="bottomLeft" activeCell="D209" sqref="D209"/>
      <selection pane="bottomRight" activeCell="H131" sqref="H1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8" t="s">
        <v>41</v>
      </c>
      <c r="C2" s="56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9" t="s">
        <v>23</v>
      </c>
      <c r="C4" s="570" t="s">
        <v>1012</v>
      </c>
      <c r="D4" s="570" t="s">
        <v>42</v>
      </c>
      <c r="E4" s="569" t="s">
        <v>43</v>
      </c>
      <c r="F4" s="108" t="s">
        <v>1609</v>
      </c>
      <c r="G4" s="108" t="s">
        <v>1608</v>
      </c>
      <c r="H4" s="56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9"/>
      <c r="C5" s="570"/>
      <c r="D5" s="570"/>
      <c r="E5" s="569"/>
      <c r="F5" s="93"/>
      <c r="G5" s="93"/>
      <c r="H5" s="56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2">
        <v>2740</v>
      </c>
      <c r="G1433" s="49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H19" sqref="H1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5" t="s">
        <v>1454</v>
      </c>
      <c r="C2" s="575"/>
      <c r="D2" s="575"/>
      <c r="E2" s="57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0" t="s">
        <v>1535</v>
      </c>
      <c r="C4" s="581"/>
      <c r="D4" s="581"/>
      <c r="E4" s="582"/>
      <c r="F4" s="446"/>
      <c r="G4" s="446"/>
      <c r="H4" s="447"/>
      <c r="I4" s="607" t="s">
        <v>1536</v>
      </c>
      <c r="J4" s="608"/>
      <c r="K4" s="608"/>
      <c r="L4" s="609"/>
    </row>
    <row r="5" spans="1:12" ht="34.5" customHeight="1">
      <c r="A5" s="204"/>
      <c r="B5" s="449" t="s">
        <v>1379</v>
      </c>
      <c r="C5" s="277" t="s">
        <v>9</v>
      </c>
      <c r="D5" s="576" t="str">
        <f>DATA!D14</f>
        <v xml:space="preserve">AGR UD SUMBER REJEKI </v>
      </c>
      <c r="E5" s="577"/>
      <c r="F5" s="208"/>
      <c r="G5" s="208"/>
      <c r="I5" s="450" t="s">
        <v>1379</v>
      </c>
      <c r="J5" s="277" t="s">
        <v>9</v>
      </c>
      <c r="K5" s="610" t="str">
        <f>D5</f>
        <v xml:space="preserve">AGR UD SUMBER REJEKI </v>
      </c>
      <c r="L5" s="611"/>
    </row>
    <row r="6" spans="1:12" ht="31.5" customHeight="1">
      <c r="A6" s="204"/>
      <c r="B6" s="449" t="s">
        <v>1532</v>
      </c>
      <c r="C6" s="277" t="s">
        <v>9</v>
      </c>
      <c r="D6" s="585">
        <f>DATA!D17*1000</f>
        <v>0</v>
      </c>
      <c r="E6" s="586"/>
      <c r="F6" s="208"/>
      <c r="G6" s="208"/>
      <c r="I6" s="450" t="s">
        <v>1533</v>
      </c>
      <c r="J6" s="277" t="s">
        <v>9</v>
      </c>
      <c r="K6" s="612">
        <f>DATA!D20*1000</f>
        <v>105000</v>
      </c>
      <c r="L6" s="613"/>
    </row>
    <row r="7" spans="1:12" ht="30.75" customHeight="1">
      <c r="A7" s="204"/>
      <c r="B7" s="449" t="s">
        <v>1441</v>
      </c>
      <c r="C7" s="277" t="s">
        <v>9</v>
      </c>
      <c r="D7" s="583">
        <f>DATA!D18</f>
        <v>1</v>
      </c>
      <c r="E7" s="584"/>
      <c r="F7" s="448" t="s">
        <v>1453</v>
      </c>
      <c r="I7" s="450" t="s">
        <v>1441</v>
      </c>
      <c r="J7" s="277" t="s">
        <v>9</v>
      </c>
      <c r="K7" s="614">
        <f>DATA!D21</f>
        <v>3</v>
      </c>
      <c r="L7" s="615"/>
    </row>
    <row r="8" spans="1:12" ht="51" customHeight="1">
      <c r="A8" s="204"/>
      <c r="B8" s="449" t="s">
        <v>1442</v>
      </c>
      <c r="C8" s="277" t="s">
        <v>9</v>
      </c>
      <c r="D8" s="583">
        <f>DATA!D19</f>
        <v>220</v>
      </c>
      <c r="E8" s="584"/>
      <c r="F8" s="448" t="s">
        <v>1453</v>
      </c>
      <c r="G8" s="443">
        <v>220</v>
      </c>
      <c r="I8" s="450" t="s">
        <v>1442</v>
      </c>
      <c r="J8" s="277" t="s">
        <v>9</v>
      </c>
      <c r="K8" s="614">
        <f>DATA!D22</f>
        <v>380</v>
      </c>
      <c r="L8" s="615"/>
    </row>
    <row r="9" spans="1:12" ht="30" customHeight="1" thickBot="1">
      <c r="A9" s="204"/>
      <c r="B9" s="455" t="s">
        <v>1544</v>
      </c>
      <c r="C9" s="445" t="s">
        <v>9</v>
      </c>
      <c r="D9" s="578">
        <f>IF(D7=1,D6/(380/3^0.5),(D6/(380*3^0.5)))</f>
        <v>0</v>
      </c>
      <c r="E9" s="579"/>
      <c r="F9" s="207"/>
      <c r="G9" s="444">
        <v>380</v>
      </c>
      <c r="I9" s="456" t="s">
        <v>1544</v>
      </c>
      <c r="J9" s="445" t="s">
        <v>9</v>
      </c>
      <c r="K9" s="616">
        <f>IF(K7=1,K6/(380/3^0.5),(K6/(380*3^0.5)))</f>
        <v>159.53099543397556</v>
      </c>
      <c r="L9" s="617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587" t="s">
        <v>1635</v>
      </c>
      <c r="E12" s="588"/>
      <c r="F12" s="208"/>
      <c r="G12" s="208"/>
      <c r="I12" s="472" t="s">
        <v>1537</v>
      </c>
      <c r="J12" s="473" t="s">
        <v>9</v>
      </c>
      <c r="K12" s="587" t="s">
        <v>1635</v>
      </c>
      <c r="L12" s="588"/>
    </row>
    <row r="13" spans="1:12" ht="31.5" customHeight="1">
      <c r="A13" s="204"/>
      <c r="B13" s="480" t="s">
        <v>1380</v>
      </c>
      <c r="C13" s="460" t="s">
        <v>9</v>
      </c>
      <c r="D13" s="591" t="s">
        <v>1642</v>
      </c>
      <c r="E13" s="592"/>
      <c r="F13" s="208"/>
      <c r="G13" s="208"/>
      <c r="I13" s="474" t="s">
        <v>1380</v>
      </c>
      <c r="J13" s="460" t="s">
        <v>9</v>
      </c>
      <c r="K13" s="591" t="s">
        <v>1642</v>
      </c>
      <c r="L13" s="592"/>
    </row>
    <row r="14" spans="1:12" ht="30.75" customHeight="1">
      <c r="A14" s="204"/>
      <c r="B14" s="480" t="s">
        <v>1538</v>
      </c>
      <c r="C14" s="460" t="s">
        <v>9</v>
      </c>
      <c r="D14" s="599">
        <v>200</v>
      </c>
      <c r="E14" s="600"/>
      <c r="F14" s="448" t="s">
        <v>1453</v>
      </c>
      <c r="G14" s="452">
        <v>50</v>
      </c>
      <c r="I14" s="474" t="s">
        <v>1538</v>
      </c>
      <c r="J14" s="460" t="s">
        <v>9</v>
      </c>
      <c r="K14" s="601">
        <v>200</v>
      </c>
      <c r="L14" s="602"/>
    </row>
    <row r="15" spans="1:12" ht="57" customHeight="1">
      <c r="A15" s="204"/>
      <c r="B15" s="480" t="s">
        <v>1441</v>
      </c>
      <c r="C15" s="460" t="s">
        <v>9</v>
      </c>
      <c r="D15" s="466">
        <v>3</v>
      </c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3</v>
      </c>
      <c r="L15" s="475"/>
    </row>
    <row r="16" spans="1:12" ht="44.25" customHeight="1">
      <c r="A16" s="204"/>
      <c r="B16" s="480" t="s">
        <v>1548</v>
      </c>
      <c r="C16" s="460"/>
      <c r="D16" s="603">
        <v>300</v>
      </c>
      <c r="E16" s="604"/>
      <c r="F16" s="448"/>
      <c r="G16" s="452">
        <v>160</v>
      </c>
      <c r="I16" s="474" t="s">
        <v>1540</v>
      </c>
      <c r="J16" s="460" t="s">
        <v>9</v>
      </c>
      <c r="K16" s="605">
        <f>K9</f>
        <v>159.53099543397556</v>
      </c>
      <c r="L16" s="606"/>
    </row>
    <row r="17" spans="1:12" ht="34.5" customHeight="1">
      <c r="A17" s="204"/>
      <c r="B17" s="480" t="s">
        <v>1541</v>
      </c>
      <c r="C17" s="460" t="s">
        <v>9</v>
      </c>
      <c r="D17" s="593">
        <f>IF(D15=1,D14/(20/3^0.5),(D14/(20*3^0.5)))</f>
        <v>5.7735026918962582</v>
      </c>
      <c r="E17" s="594"/>
      <c r="F17" s="448" t="s">
        <v>1453</v>
      </c>
      <c r="G17" s="453">
        <v>200</v>
      </c>
      <c r="I17" s="474" t="s">
        <v>1541</v>
      </c>
      <c r="J17" s="460" t="s">
        <v>9</v>
      </c>
      <c r="K17" s="597">
        <f>IF(K15=1,K14/(20/3^0.5),(K14/(20*3^0.5)))</f>
        <v>5.7735026918962582</v>
      </c>
      <c r="L17" s="598"/>
    </row>
    <row r="18" spans="1:12" ht="34.5" customHeight="1">
      <c r="A18" s="204"/>
      <c r="B18" s="480" t="s">
        <v>1542</v>
      </c>
      <c r="C18" s="460" t="s">
        <v>9</v>
      </c>
      <c r="D18" s="593">
        <f>IF(D15=1,D14/(380/3^0.5),(D14/(380*3^0.5)))*1000</f>
        <v>303.86856273138204</v>
      </c>
      <c r="E18" s="594"/>
      <c r="F18" s="448" t="s">
        <v>1453</v>
      </c>
      <c r="G18" s="453">
        <v>250</v>
      </c>
      <c r="I18" s="474" t="s">
        <v>1542</v>
      </c>
      <c r="J18" s="460" t="s">
        <v>9</v>
      </c>
      <c r="K18" s="597">
        <f>IF(K15=1,K14/(380/3^0.5),(K14/(380*3^0.5)))*1000</f>
        <v>303.86856273138204</v>
      </c>
      <c r="L18" s="598"/>
    </row>
    <row r="19" spans="1:12" ht="30" customHeight="1">
      <c r="A19" s="204"/>
      <c r="B19" s="481" t="s">
        <v>1534</v>
      </c>
      <c r="C19" s="459" t="s">
        <v>9</v>
      </c>
      <c r="D19" s="593">
        <f>IF(D15=1,D14/(380/3^0.5),(D14/(380*3^0.5)))</f>
        <v>0.30386856273138202</v>
      </c>
      <c r="E19" s="594"/>
      <c r="F19" s="207"/>
      <c r="G19" s="444"/>
      <c r="I19" s="476" t="s">
        <v>1534</v>
      </c>
      <c r="J19" s="459" t="s">
        <v>9</v>
      </c>
      <c r="K19" s="597">
        <f>IF(K15=1,K14/(380/3^0.5),(K14/(380*3^0.5)))</f>
        <v>0.30386856273138202</v>
      </c>
      <c r="L19" s="598"/>
    </row>
    <row r="20" spans="1:12" ht="30" customHeight="1" thickBot="1">
      <c r="A20" s="204"/>
      <c r="B20" s="482" t="s">
        <v>1543</v>
      </c>
      <c r="C20" s="478" t="s">
        <v>9</v>
      </c>
      <c r="D20" s="589">
        <f>D16/D18</f>
        <v>0.98726896031425981</v>
      </c>
      <c r="E20" s="590"/>
      <c r="F20" s="207"/>
      <c r="G20" s="444"/>
      <c r="I20" s="477" t="s">
        <v>1534</v>
      </c>
      <c r="J20" s="478" t="s">
        <v>9</v>
      </c>
      <c r="K20" s="595">
        <f>K16/K18</f>
        <v>0.52500000000000002</v>
      </c>
      <c r="L20" s="596"/>
    </row>
    <row r="21" spans="1:12" ht="9.75" customHeight="1">
      <c r="A21" s="204"/>
      <c r="B21" s="467" t="s">
        <v>1543</v>
      </c>
      <c r="C21" s="468" t="s">
        <v>9</v>
      </c>
      <c r="D21" s="574">
        <v>1</v>
      </c>
      <c r="E21" s="574"/>
      <c r="F21" s="469"/>
      <c r="G21" s="470"/>
      <c r="H21" s="471"/>
      <c r="I21" s="467" t="s">
        <v>1534</v>
      </c>
      <c r="J21" s="468" t="s">
        <v>9</v>
      </c>
      <c r="K21" s="574">
        <v>1</v>
      </c>
      <c r="L21" s="574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71"/>
      <c r="C24" s="572"/>
      <c r="D24" s="572"/>
      <c r="E24" s="573"/>
      <c r="I24" s="571"/>
      <c r="J24" s="572"/>
      <c r="K24" s="572"/>
      <c r="L24" s="573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5" zoomScale="85" zoomScaleNormal="85" workbookViewId="0">
      <selection activeCell="D14" sqref="D14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8"/>
      <c r="C1" s="618"/>
      <c r="D1" s="61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5">
        <v>1084.1250458865841</v>
      </c>
      <c r="F5" s="490" t="s">
        <v>1610</v>
      </c>
      <c r="K5" s="48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RAB!K168</f>
        <v>155461496.69175002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3109229.9338350003</v>
      </c>
    </row>
    <row r="12" spans="2:11" ht="9" customHeight="1">
      <c r="B12" s="619"/>
      <c r="C12" s="619"/>
      <c r="D12" s="619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1650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1616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105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G12" sqref="G12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0" t="s">
        <v>1357</v>
      </c>
      <c r="C3" s="620"/>
      <c r="D3" s="620"/>
      <c r="E3" s="620"/>
      <c r="F3" s="305" t="str">
        <f>DATA!D14</f>
        <v xml:space="preserve">AGR UD SUMBER REJEKI 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1" t="s">
        <v>1349</v>
      </c>
      <c r="C5" s="621" t="s">
        <v>1358</v>
      </c>
      <c r="D5" s="622" t="s">
        <v>1359</v>
      </c>
      <c r="E5" s="622" t="s">
        <v>1360</v>
      </c>
      <c r="F5" s="621" t="s">
        <v>1361</v>
      </c>
      <c r="G5" s="621"/>
      <c r="H5" s="621"/>
      <c r="I5" s="621"/>
      <c r="J5" s="621"/>
      <c r="K5" s="621" t="s">
        <v>1362</v>
      </c>
      <c r="L5" s="621"/>
      <c r="M5" s="307"/>
      <c r="N5" s="625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23" t="s">
        <v>1367</v>
      </c>
      <c r="U5" s="310"/>
    </row>
    <row r="6" spans="1:21" ht="20.100000000000001" customHeight="1">
      <c r="B6" s="621"/>
      <c r="C6" s="621"/>
      <c r="D6" s="621"/>
      <c r="E6" s="62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6"/>
      <c r="O6" s="621"/>
      <c r="P6" s="621"/>
      <c r="Q6" s="621"/>
      <c r="R6" s="308"/>
      <c r="S6" s="309"/>
      <c r="T6" s="621"/>
      <c r="U6" s="312"/>
    </row>
    <row r="7" spans="1:21" ht="20.100000000000001" customHeight="1">
      <c r="A7" s="313">
        <v>0</v>
      </c>
      <c r="B7" s="314">
        <v>2023</v>
      </c>
      <c r="C7" s="483">
        <f>DATA!D8*DATA!D26*1</f>
        <v>4200</v>
      </c>
      <c r="D7" s="316">
        <f>C7*4/24</f>
        <v>700</v>
      </c>
      <c r="E7" s="316">
        <f>C7-D7</f>
        <v>3500</v>
      </c>
      <c r="F7" s="317">
        <f ca="1">DATA!D10/1000000</f>
        <v>155.46149669175003</v>
      </c>
      <c r="G7" s="318">
        <f ca="1">DATA!$D$11/1000000</f>
        <v>3.1092299338350005</v>
      </c>
      <c r="H7" s="318">
        <f>C7*DATA!$D$5/1000000</f>
        <v>4.5533251927236531</v>
      </c>
      <c r="I7" s="318">
        <f>(C7*DATA!$D$5*DATA!$D$7)/1000000</f>
        <v>0.1024498168362822</v>
      </c>
      <c r="J7" s="316">
        <f ca="1">SUM(F7:I7)</f>
        <v>163.22650163514496</v>
      </c>
      <c r="K7" s="319">
        <f>DATA!D9/1000000</f>
        <v>81.375</v>
      </c>
      <c r="L7" s="316">
        <f>((D7*DATA!$D$23)/1000000)+((E7*DATA!$D$24)/1000000)</f>
        <v>6.0677399999999997</v>
      </c>
      <c r="M7" s="316">
        <f>K7+L7</f>
        <v>87.442740000000001</v>
      </c>
      <c r="N7" s="316">
        <f ca="1">M7-J7</f>
        <v>-75.783761635144955</v>
      </c>
      <c r="O7" s="314">
        <v>1</v>
      </c>
      <c r="P7" s="316">
        <f ca="1">O7*N7</f>
        <v>-75.783761635144955</v>
      </c>
      <c r="Q7" s="316">
        <f ca="1">P7</f>
        <v>-75.783761635144955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3.1092299338350005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58.978530048554227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13.834349951445766</v>
      </c>
      <c r="O8" s="315">
        <f>1/(1+'[93]Asumsi I'!$C$3)^(KKF!A8)</f>
        <v>0.89285714285714279</v>
      </c>
      <c r="P8" s="316">
        <f ca="1">O8*N8</f>
        <v>12.352098170933719</v>
      </c>
      <c r="Q8" s="316">
        <f ca="1">Q7+P8</f>
        <v>-63.43166346421124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3.1092299338350005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58.978530048554227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13.834349951445766</v>
      </c>
      <c r="O9" s="322">
        <f>1/(1+'[93]Asumsi I'!$C$3)^(KKF!A9)</f>
        <v>0.79719387755102034</v>
      </c>
      <c r="P9" s="316">
        <f t="shared" ref="P9:P32" ca="1" si="7">O9*N9</f>
        <v>11.028659081190821</v>
      </c>
      <c r="Q9" s="316">
        <f ca="1">Q8+P9</f>
        <v>-52.403004383020416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3.1092299338350005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58.978530048554227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13.834349951445766</v>
      </c>
      <c r="O10" s="315">
        <f>1/(1+'[93]Asumsi I'!$C$3)^(KKF!A10)</f>
        <v>0.71178024781341087</v>
      </c>
      <c r="P10" s="316">
        <f t="shared" ca="1" si="7"/>
        <v>9.8470170367775154</v>
      </c>
      <c r="Q10" s="316">
        <f t="shared" ref="Q10:Q30" ca="1" si="9">Q9+P10</f>
        <v>-42.555987346242901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3.1092299338350005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58.978530048554227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13.834349951445766</v>
      </c>
      <c r="O11" s="315">
        <f>1/(1+'[93]Asumsi I'!$C$3)^(KKF!A11)</f>
        <v>0.63551807840483121</v>
      </c>
      <c r="P11" s="316">
        <f t="shared" ca="1" si="7"/>
        <v>8.7919794971227834</v>
      </c>
      <c r="Q11" s="316">
        <f t="shared" ca="1" si="9"/>
        <v>-33.764007849120119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3.1092299338350005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58.978530048554227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13.834349951445766</v>
      </c>
      <c r="O12" s="315">
        <f>1/(1+'[93]Asumsi I'!$C$3)^(KKF!A12)</f>
        <v>0.56742685571859919</v>
      </c>
      <c r="P12" s="316">
        <f t="shared" ca="1" si="7"/>
        <v>7.8499816938596263</v>
      </c>
      <c r="Q12" s="316">
        <f t="shared" ca="1" si="9"/>
        <v>-25.914026155260494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3.1092299338350005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58.978530048554227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13.834349951445766</v>
      </c>
      <c r="O13" s="315">
        <f>1/(1+'[93]Asumsi I'!$C$3)^(KKF!A13)</f>
        <v>0.50663112117732068</v>
      </c>
      <c r="P13" s="316">
        <f t="shared" ca="1" si="7"/>
        <v>7.0089122266603807</v>
      </c>
      <c r="Q13" s="316">
        <f t="shared" ca="1" si="9"/>
        <v>-18.905113928600112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3.1092299338350005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58.978530048554227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13.834349951445766</v>
      </c>
      <c r="O14" s="315">
        <f>1/(1+'[93]Asumsi I'!$C$3)^(KKF!A14)</f>
        <v>0.45234921533689343</v>
      </c>
      <c r="P14" s="316">
        <f t="shared" ca="1" si="7"/>
        <v>6.2579573452324819</v>
      </c>
      <c r="Q14" s="316">
        <f t="shared" ca="1" si="9"/>
        <v>-12.64715658336763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3.1092299338350005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58.978530048554227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13.834349951445766</v>
      </c>
      <c r="O15" s="315">
        <f>1/(1+'[93]Asumsi I'!$C$3)^(KKF!A15)</f>
        <v>0.4038832279793691</v>
      </c>
      <c r="P15" s="316">
        <f t="shared" ca="1" si="7"/>
        <v>5.587461915386144</v>
      </c>
      <c r="Q15" s="316">
        <f t="shared" ca="1" si="9"/>
        <v>-7.0596946679814865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3.1092299338350005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58.978530048554227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13.834349951445766</v>
      </c>
      <c r="O16" s="315">
        <f>1/(1+'[93]Asumsi I'!$C$3)^(KKF!A16)</f>
        <v>0.36061002498157957</v>
      </c>
      <c r="P16" s="316">
        <f t="shared" ca="1" si="7"/>
        <v>4.9888052815947717</v>
      </c>
      <c r="Q16" s="316">
        <f t="shared" ca="1" si="9"/>
        <v>-2.0708893863867148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3.1092299338350005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58.978530048554227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13.834349951445766</v>
      </c>
      <c r="O17" s="315">
        <f>1/(1+'[93]Asumsi I'!$C$3)^(KKF!A17)</f>
        <v>0.32197323659069599</v>
      </c>
      <c r="P17" s="316">
        <f t="shared" ca="1" si="7"/>
        <v>4.4542904299953312</v>
      </c>
      <c r="Q17" s="316">
        <f t="shared" ca="1" si="9"/>
        <v>2.3834010436086164</v>
      </c>
      <c r="S17" s="304" t="str">
        <f t="shared" ca="1" si="3"/>
        <v/>
      </c>
      <c r="T17" s="320">
        <f t="shared" ca="1" si="10"/>
        <v>9.8277186096944487</v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3.1092299338350005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58.978530048554227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13.834349951445766</v>
      </c>
      <c r="O18" s="315">
        <f>1/(1+'[93]Asumsi I'!$C$3)^(KKF!A18)</f>
        <v>0.28747610409883567</v>
      </c>
      <c r="P18" s="316">
        <f t="shared" ca="1" si="7"/>
        <v>3.9770450267815454</v>
      </c>
      <c r="Q18" s="316">
        <f t="shared" ca="1" si="9"/>
        <v>6.3604460703901617</v>
      </c>
      <c r="S18" s="304" t="str">
        <f t="shared" ca="1" si="3"/>
        <v/>
      </c>
      <c r="T18" s="320">
        <f t="shared" ca="1" si="10"/>
        <v>10.540242505595613</v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3.1092299338350005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58.978530048554227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13.834349951445766</v>
      </c>
      <c r="O19" s="315">
        <f>1/(1+'[93]Asumsi I'!$C$3)^(KKF!A19)</f>
        <v>0.25667509294538904</v>
      </c>
      <c r="P19" s="316">
        <f t="shared" ca="1" si="7"/>
        <v>3.5509330596263804</v>
      </c>
      <c r="Q19" s="316">
        <f t="shared" ca="1" si="9"/>
        <v>9.9113791300165417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3.1092299338350005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58.978530048554227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13.834349951445766</v>
      </c>
      <c r="O20" s="315">
        <f>1/(1+'[93]Asumsi I'!$C$3)^(KKF!A20)</f>
        <v>0.22917419012981158</v>
      </c>
      <c r="P20" s="316">
        <f t="shared" ca="1" si="7"/>
        <v>3.1704759460949816</v>
      </c>
      <c r="Q20" s="316">
        <f t="shared" ca="1" si="9"/>
        <v>13.081855076111523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3.1092299338350005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58.978530048554227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13.834349951445766</v>
      </c>
      <c r="O21" s="315">
        <f>1/(1+'[93]Asumsi I'!$C$3)^(KKF!A21)</f>
        <v>0.20461981261590317</v>
      </c>
      <c r="P21" s="316">
        <f t="shared" ca="1" si="7"/>
        <v>2.8307820947276618</v>
      </c>
      <c r="Q21" s="316">
        <f t="shared" ca="1" si="9"/>
        <v>15.912637170839185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3.1092299338350005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58.978530048554227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13.834349951445766</v>
      </c>
      <c r="O22" s="315">
        <f>1/(1+'[93]Asumsi I'!$C$3)^(KKF!A22)</f>
        <v>0.18269626126419927</v>
      </c>
      <c r="P22" s="316">
        <f t="shared" ca="1" si="7"/>
        <v>2.5274840131496981</v>
      </c>
      <c r="Q22" s="316">
        <f t="shared" ca="1" si="9"/>
        <v>18.440121183988882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3.1092299338350005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58.978530048554227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13.834349951445766</v>
      </c>
      <c r="O23" s="315">
        <f>1/(1+'[93]Asumsi I'!$C$3)^(KKF!A23)</f>
        <v>0.16312166184303503</v>
      </c>
      <c r="P23" s="316">
        <f t="shared" ca="1" si="7"/>
        <v>2.2566821545979443</v>
      </c>
      <c r="Q23" s="316">
        <f t="shared" ca="1" si="9"/>
        <v>20.696803338586825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3.1092299338350005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58.978530048554227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13.834349951445766</v>
      </c>
      <c r="O24" s="315">
        <f>1/(1+'[93]Asumsi I'!$C$3)^(KKF!A24)</f>
        <v>0.14564434093128129</v>
      </c>
      <c r="P24" s="316">
        <f t="shared" ca="1" si="7"/>
        <v>2.014894780891022</v>
      </c>
      <c r="Q24" s="316">
        <f t="shared" ca="1" si="9"/>
        <v>22.711698119477848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3.1092299338350005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58.978530048554227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13.834349951445766</v>
      </c>
      <c r="O25" s="315">
        <f>1/(1+'[93]Asumsi I'!$C$3)^(KKF!A25)</f>
        <v>0.13003959011721541</v>
      </c>
      <c r="P25" s="316">
        <f t="shared" ca="1" si="7"/>
        <v>1.7990131972241263</v>
      </c>
      <c r="Q25" s="316">
        <f t="shared" ca="1" si="9"/>
        <v>24.510711316701975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3.1092299338350005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58.978530048554227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13.834349951445766</v>
      </c>
      <c r="O26" s="315">
        <f>1/(1+'[93]Asumsi I'!$C$3)^(KKF!A26)</f>
        <v>0.1161067768903709</v>
      </c>
      <c r="P26" s="316">
        <f t="shared" ca="1" si="7"/>
        <v>1.606261783235827</v>
      </c>
      <c r="Q26" s="316">
        <f t="shared" ca="1" si="9"/>
        <v>26.116973099937802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3.1092299338350005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58.978530048554227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13.834349951445766</v>
      </c>
      <c r="O27" s="315">
        <f>1/(1+'[93]Asumsi I'!$C$3)^(KKF!A27)</f>
        <v>0.1036667650806883</v>
      </c>
      <c r="P27" s="316">
        <f t="shared" ca="1" si="7"/>
        <v>1.4341623064605598</v>
      </c>
      <c r="Q27" s="316">
        <f t="shared" ca="1" si="9"/>
        <v>27.551135406398362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3.1092299338350005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58.978530048554227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13.834349951445766</v>
      </c>
      <c r="O28" s="315">
        <f>1/(1+'[93]Asumsi I'!$C$3)^(KKF!A28)</f>
        <v>9.2559611679185971E-2</v>
      </c>
      <c r="P28" s="316">
        <f t="shared" ca="1" si="7"/>
        <v>1.2805020593397853</v>
      </c>
      <c r="Q28" s="316">
        <f t="shared" ca="1" si="9"/>
        <v>28.831637465738147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3.1092299338350005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58.978530048554227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13.834349951445766</v>
      </c>
      <c r="O29" s="315">
        <f>1/(1+'[93]Asumsi I'!$C$3)^(KKF!A29)</f>
        <v>8.2642510427844609E-2</v>
      </c>
      <c r="P29" s="316">
        <f t="shared" ca="1" si="7"/>
        <v>1.1433054101248084</v>
      </c>
      <c r="Q29" s="316">
        <f t="shared" ca="1" si="9"/>
        <v>29.974942875862954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3.1092299338350005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58.978530048554227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13.834349951445766</v>
      </c>
      <c r="O30" s="315">
        <f>1/(1+'[93]Asumsi I'!$C$3)^(KKF!A30)</f>
        <v>7.3787955739146982E-2</v>
      </c>
      <c r="P30" s="316">
        <f t="shared" ca="1" si="7"/>
        <v>1.0208084018971504</v>
      </c>
      <c r="Q30" s="316">
        <f t="shared" ca="1" si="9"/>
        <v>30.995751277760103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3.1092299338350005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58.978530048554227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13.834349951445766</v>
      </c>
      <c r="O31" s="315">
        <f>1/(1+'[93]Asumsi I'!$C$3)^(KKF!A31)</f>
        <v>6.5882103338524081E-2</v>
      </c>
      <c r="P31" s="316">
        <f t="shared" ca="1" si="7"/>
        <v>0.91143607312245556</v>
      </c>
      <c r="Q31" s="316">
        <f ca="1">Q30+P31</f>
        <v>31.907187350882559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3.1092299338350005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58.978530048554227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13.834349951445766</v>
      </c>
      <c r="O32" s="315">
        <f>1/(1+'[93]Asumsi I'!$C$3)^(KKF!A32)</f>
        <v>5.8823306552253637E-2</v>
      </c>
      <c r="P32" s="316">
        <f t="shared" ca="1" si="7"/>
        <v>0.81378220814504953</v>
      </c>
      <c r="Q32" s="316">
        <f ca="1">Q31+P32</f>
        <v>32.720969559027608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4" t="s">
        <v>1374</v>
      </c>
      <c r="G33" s="624"/>
      <c r="H33" s="624"/>
      <c r="I33" s="324"/>
      <c r="J33" s="325">
        <f ca="1">SUM(J7:J32)</f>
        <v>1637.6897528490001</v>
      </c>
      <c r="K33" s="624" t="s">
        <v>1375</v>
      </c>
      <c r="L33" s="624"/>
      <c r="M33" s="325">
        <f>SUM(M7:M32)</f>
        <v>1907.7647399999992</v>
      </c>
      <c r="N33" s="323"/>
      <c r="O33" s="323"/>
      <c r="P33" s="326"/>
      <c r="Q33" s="326"/>
      <c r="S33" s="304">
        <f ca="1">COUNTIF(S7:S32,"a")</f>
        <v>10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11.798639054817814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10.183980557645031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1.1649121799053601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29.215151391988915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0.17961341427053346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83"/>
  <sheetViews>
    <sheetView showGridLines="0" zoomScale="70" zoomScaleNormal="70" zoomScaleSheetLayoutView="70" workbookViewId="0">
      <pane ySplit="13" topLeftCell="A122" activePane="bottomLeft" state="frozen"/>
      <selection activeCell="H1093" sqref="H1093"/>
      <selection pane="bottomLeft" activeCell="I123" sqref="I12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7" t="s">
        <v>1036</v>
      </c>
      <c r="P3" s="627"/>
      <c r="Q3" s="346"/>
      <c r="T3" s="344"/>
      <c r="U3" s="345" t="s">
        <v>1041</v>
      </c>
      <c r="V3" s="344"/>
    </row>
    <row r="4" spans="1:22" ht="18.75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4" t="str">
        <f>DATA!D14</f>
        <v xml:space="preserve">AGR UD SUMBER REJEKI </v>
      </c>
      <c r="H6" s="644"/>
      <c r="I6" s="644"/>
      <c r="J6" s="644"/>
      <c r="K6" s="64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0" t="s">
        <v>0</v>
      </c>
      <c r="C11" s="632" t="s">
        <v>1</v>
      </c>
      <c r="D11" s="635" t="s">
        <v>42</v>
      </c>
      <c r="E11" s="635" t="s">
        <v>43</v>
      </c>
      <c r="F11" s="635" t="s">
        <v>2</v>
      </c>
      <c r="G11" s="637" t="s">
        <v>41</v>
      </c>
      <c r="H11" s="635" t="s">
        <v>3</v>
      </c>
      <c r="I11" s="635"/>
      <c r="J11" s="635"/>
      <c r="K11" s="654"/>
      <c r="O11" s="351"/>
      <c r="P11" s="352"/>
      <c r="Q11" s="351"/>
      <c r="S11" s="353"/>
      <c r="T11" s="354"/>
      <c r="U11" s="354"/>
      <c r="V11" s="354"/>
    </row>
    <row r="12" spans="1:22">
      <c r="B12" s="631"/>
      <c r="C12" s="633"/>
      <c r="D12" s="636"/>
      <c r="E12" s="636"/>
      <c r="F12" s="636"/>
      <c r="G12" s="638"/>
      <c r="H12" s="640" t="s">
        <v>46</v>
      </c>
      <c r="I12" s="640" t="s">
        <v>5</v>
      </c>
      <c r="J12" s="636" t="s">
        <v>47</v>
      </c>
      <c r="K12" s="655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1"/>
      <c r="C13" s="634"/>
      <c r="D13" s="636"/>
      <c r="E13" s="636"/>
      <c r="F13" s="636"/>
      <c r="G13" s="639"/>
      <c r="H13" s="641"/>
      <c r="I13" s="641"/>
      <c r="J13" s="636"/>
      <c r="K13" s="655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5" ca="1" si="8">IF(OR(D16="MDU",D16="MDU-KD"),(IF($O$3="RAB NON MDU","PLN KD",G16*F16)),0)</f>
        <v>0</v>
      </c>
      <c r="I16" s="361">
        <f t="shared" ref="I16:I35" ca="1" si="9">IF(D16="HDW",G16*F16,0)</f>
        <v>0</v>
      </c>
      <c r="J16" s="361">
        <f t="shared" ref="J16:J35" ca="1" si="10">IF(D16="JASA",G16*F16,0)</f>
        <v>0</v>
      </c>
      <c r="K16" s="362">
        <f t="shared" ref="K16:K35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8"/>
        <v>0</v>
      </c>
      <c r="I17" s="361">
        <f t="shared" ca="1" si="9"/>
        <v>11600000</v>
      </c>
      <c r="J17" s="361">
        <f t="shared" ca="1" si="10"/>
        <v>0</v>
      </c>
      <c r="K17" s="362">
        <f t="shared" ca="1" si="11"/>
        <v>11600000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6">
        <v>2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ca="1" si="8"/>
        <v>0</v>
      </c>
      <c r="I18" s="361">
        <f t="shared" ca="1" si="9"/>
        <v>12148800</v>
      </c>
      <c r="J18" s="361">
        <f t="shared" ca="1" si="10"/>
        <v>0</v>
      </c>
      <c r="K18" s="362">
        <f t="shared" ca="1" si="11"/>
        <v>12148800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4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6">
        <f>F17+F18</f>
        <v>4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40266.666666666672</v>
      </c>
      <c r="K19" s="362">
        <f t="shared" ca="1" si="11"/>
        <v>40266.666666666672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5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6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1456</v>
      </c>
      <c r="C22" s="372" t="s">
        <v>1621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7" t="s">
        <v>1035</v>
      </c>
      <c r="C24" s="508" t="s">
        <v>1617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3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7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3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8"/>
        <v>530700</v>
      </c>
      <c r="I25" s="361">
        <f t="shared" ca="1" si="9"/>
        <v>0</v>
      </c>
      <c r="J25" s="361">
        <f t="shared" ca="1" si="10"/>
        <v>0</v>
      </c>
      <c r="K25" s="362">
        <f t="shared" ca="1" si="11"/>
        <v>530700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7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F24*2</f>
        <v>6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8"/>
        <v>1061400</v>
      </c>
      <c r="I26" s="361">
        <f t="shared" ca="1" si="9"/>
        <v>0</v>
      </c>
      <c r="J26" s="361">
        <f t="shared" ca="1" si="10"/>
        <v>0</v>
      </c>
      <c r="K26" s="362">
        <f t="shared" ca="1" si="11"/>
        <v>1061400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7">
        <v>3</v>
      </c>
      <c r="C27" s="508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F24*3</f>
        <v>9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8"/>
        <v>0</v>
      </c>
      <c r="I27" s="361">
        <f t="shared" ca="1" si="9"/>
        <v>238500</v>
      </c>
      <c r="J27" s="361">
        <f t="shared" ca="1" si="10"/>
        <v>0</v>
      </c>
      <c r="K27" s="362">
        <f t="shared" ca="1" si="11"/>
        <v>238500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7">
        <v>4</v>
      </c>
      <c r="C28" s="508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F24*2</f>
        <v>6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8"/>
        <v>0</v>
      </c>
      <c r="I28" s="361">
        <f t="shared" ca="1" si="9"/>
        <v>47628</v>
      </c>
      <c r="J28" s="361">
        <f t="shared" ca="1" si="10"/>
        <v>0</v>
      </c>
      <c r="K28" s="362">
        <f t="shared" ca="1" si="11"/>
        <v>47628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7">
        <v>5</v>
      </c>
      <c r="C29" s="508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F24*1</f>
        <v>3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8"/>
        <v>0</v>
      </c>
      <c r="I29" s="361">
        <f t="shared" ca="1" si="9"/>
        <v>100800</v>
      </c>
      <c r="J29" s="361">
        <f t="shared" ca="1" si="10"/>
        <v>0</v>
      </c>
      <c r="K29" s="362">
        <f t="shared" ca="1" si="11"/>
        <v>100800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7">
        <v>6</v>
      </c>
      <c r="C30" s="508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F24*2</f>
        <v>6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8"/>
        <v>0</v>
      </c>
      <c r="I30" s="361">
        <f t="shared" ca="1" si="9"/>
        <v>270000</v>
      </c>
      <c r="J30" s="361">
        <f t="shared" ca="1" si="10"/>
        <v>0</v>
      </c>
      <c r="K30" s="362">
        <f t="shared" ca="1" si="11"/>
        <v>270000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7">
        <v>7</v>
      </c>
      <c r="C31" s="508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F24*1</f>
        <v>3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8"/>
        <v>0</v>
      </c>
      <c r="I31" s="361">
        <f t="shared" ca="1" si="9"/>
        <v>285000</v>
      </c>
      <c r="J31" s="361">
        <f t="shared" ca="1" si="10"/>
        <v>0</v>
      </c>
      <c r="K31" s="362">
        <f t="shared" ca="1" si="11"/>
        <v>285000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7">
        <v>8</v>
      </c>
      <c r="C32" s="508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F24*1</f>
        <v>3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8"/>
        <v>0</v>
      </c>
      <c r="I32" s="361">
        <f t="shared" ca="1" si="9"/>
        <v>1141500</v>
      </c>
      <c r="J32" s="361">
        <f t="shared" ca="1" si="10"/>
        <v>0</v>
      </c>
      <c r="K32" s="362">
        <f t="shared" ca="1" si="11"/>
        <v>1141500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7">
        <v>9</v>
      </c>
      <c r="C33" s="508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F24*4</f>
        <v>12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8"/>
        <v>0</v>
      </c>
      <c r="I33" s="361">
        <f t="shared" ca="1" si="9"/>
        <v>136800</v>
      </c>
      <c r="J33" s="361">
        <f t="shared" ca="1" si="10"/>
        <v>0</v>
      </c>
      <c r="K33" s="362">
        <f t="shared" ca="1" si="11"/>
        <v>136800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7">
        <v>10</v>
      </c>
      <c r="C34" s="508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F24*1</f>
        <v>3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8"/>
        <v>0</v>
      </c>
      <c r="I34" s="361">
        <f t="shared" ca="1" si="9"/>
        <v>173070</v>
      </c>
      <c r="J34" s="361">
        <f t="shared" ca="1" si="10"/>
        <v>0</v>
      </c>
      <c r="K34" s="362">
        <f t="shared" ca="1" si="11"/>
        <v>173070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7">
        <v>11</v>
      </c>
      <c r="C35" s="508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F24*1</f>
        <v>3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8"/>
        <v>0</v>
      </c>
      <c r="I35" s="361">
        <f t="shared" ca="1" si="9"/>
        <v>84000</v>
      </c>
      <c r="J35" s="361">
        <f t="shared" ca="1" si="10"/>
        <v>0</v>
      </c>
      <c r="K35" s="362">
        <f t="shared" ca="1" si="11"/>
        <v>84000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7">
        <v>12</v>
      </c>
      <c r="C36" s="508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84">
        <f>6.2*F24</f>
        <v>18.600000000000001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ref="H36:H39" ca="1" si="12">IF(OR(D36="MDU",D36="MDU-KD"),(IF($O$3="RAB NON MDU","PLN KD",G36*F36)),0)</f>
        <v>0</v>
      </c>
      <c r="I36" s="361">
        <f t="shared" ref="I36:I39" ca="1" si="13">IF(D36="HDW",G36*F36,0)</f>
        <v>159030</v>
      </c>
      <c r="J36" s="361">
        <f t="shared" ref="J36:J39" ca="1" si="14">IF(D36="JASA",G36*F36,0)</f>
        <v>0</v>
      </c>
      <c r="K36" s="362">
        <f t="shared" ref="K36:K39" ca="1" si="15">SUM(H36:J36)</f>
        <v>159030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7">
        <v>13</v>
      </c>
      <c r="C37" s="508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4">
        <f>F24*5</f>
        <v>15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2"/>
        <v>0</v>
      </c>
      <c r="I37" s="361">
        <f t="shared" ca="1" si="13"/>
        <v>37500</v>
      </c>
      <c r="J37" s="361">
        <f t="shared" ca="1" si="14"/>
        <v>0</v>
      </c>
      <c r="K37" s="362">
        <f t="shared" ca="1" si="15"/>
        <v>37500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7">
        <v>14</v>
      </c>
      <c r="C38" s="508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84">
        <f>F24*1</f>
        <v>3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333000</v>
      </c>
      <c r="K38" s="362">
        <f t="shared" ca="1" si="15"/>
        <v>333000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1"/>
      <c r="C39" s="502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84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7" t="s">
        <v>1035</v>
      </c>
      <c r="C40" s="508" t="s">
        <v>1618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6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51" ca="1" si="16">IF(OR(D40="MDU",D40="MDU-KD"),(IF($O$3="RAB NON MDU","PLN KD",G40*F40)),0)</f>
        <v>0</v>
      </c>
      <c r="I40" s="361">
        <f t="shared" ref="I40:I51" ca="1" si="17">IF(D40="HDW",G40*F40,0)</f>
        <v>0</v>
      </c>
      <c r="J40" s="361">
        <f t="shared" ref="J40:J51" ca="1" si="18">IF(D40="JASA",G40*F40,0)</f>
        <v>0</v>
      </c>
      <c r="K40" s="362">
        <f t="shared" ref="K40:K51" ca="1" si="19">SUM(H40:J40)</f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7">
        <v>1</v>
      </c>
      <c r="C41" s="109" t="s">
        <v>1566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06">
        <f>F40*3</f>
        <v>6</v>
      </c>
      <c r="G41" s="360">
        <f ca="1">IF(ISERROR(OFFSET('HARGA SATUAN'!$I$6,MATCH(RAB!C41,'HARGA SATUAN'!$C$7:$C$1492,0),0)),0,OFFSET('HARGA SATUAN'!$I$6,MATCH(RAB!C41,'HARGA SATUAN'!$C$7:$C$1492,0),0))</f>
        <v>205700</v>
      </c>
      <c r="H41" s="361">
        <f t="shared" ca="1" si="16"/>
        <v>1234200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1234200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7">
        <v>2</v>
      </c>
      <c r="C42" s="508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06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7">
        <v>3</v>
      </c>
      <c r="C43" s="508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6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7">
        <v>4</v>
      </c>
      <c r="C44" s="508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6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7">
        <v>5</v>
      </c>
      <c r="C45" s="508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6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7">
        <v>6</v>
      </c>
      <c r="C46" s="508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7">
        <v>7</v>
      </c>
      <c r="C47" s="508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6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7">
        <v>8</v>
      </c>
      <c r="C48" s="508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6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7">
        <v>9</v>
      </c>
      <c r="C49" s="508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6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7">
        <v>10</v>
      </c>
      <c r="C50" s="508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6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7">
        <v>11</v>
      </c>
      <c r="C51" s="508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6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7">
        <v>12</v>
      </c>
      <c r="C52" s="508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6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59" ca="1" si="20">IF(OR(D52="MDU",D52="MDU-KD"),(IF($O$3="RAB NON MDU","PLN KD",G52*F52)),0)</f>
        <v>0</v>
      </c>
      <c r="I52" s="361">
        <f t="shared" ref="I52:I59" ca="1" si="21">IF(D52="HDW",G52*F52,0)</f>
        <v>143616</v>
      </c>
      <c r="J52" s="361">
        <f t="shared" ref="J52:J59" ca="1" si="22">IF(D52="JASA",G52*F52,0)</f>
        <v>0</v>
      </c>
      <c r="K52" s="362">
        <f t="shared" ref="K52:K59" ca="1" si="23">SUM(H52:J52)</f>
        <v>143616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7">
        <v>13</v>
      </c>
      <c r="C53" s="508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6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7">
        <v>14</v>
      </c>
      <c r="C54" s="508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6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7">
        <v>15</v>
      </c>
      <c r="C55" s="508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6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7">
        <v>16</v>
      </c>
      <c r="C56" s="508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6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7">
        <v>17</v>
      </c>
      <c r="C57" s="508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6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65" customFormat="1">
      <c r="A58" s="336"/>
      <c r="B58" s="507">
        <v>18</v>
      </c>
      <c r="C58" s="508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6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373"/>
      <c r="C59" s="374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84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07" t="s">
        <v>1035</v>
      </c>
      <c r="C60" s="508" t="s">
        <v>1619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484">
        <v>3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70" ca="1" si="24">IF(OR(D60="MDU",D60="MDU-KD"),(IF($O$3="RAB NON MDU","PLN KD",G60*F60)),0)</f>
        <v>0</v>
      </c>
      <c r="I60" s="361">
        <f t="shared" ref="I60:I70" ca="1" si="25">IF(D60="HDW",G60*F60,0)</f>
        <v>0</v>
      </c>
      <c r="J60" s="361">
        <f t="shared" ref="J60:J70" ca="1" si="26">IF(D60="JASA",G60*F60,0)</f>
        <v>0</v>
      </c>
      <c r="K60" s="362">
        <f t="shared" ref="K60:K70" ca="1" si="27">SUM(H60:J60)</f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07">
        <v>1</v>
      </c>
      <c r="C61" s="508" t="s">
        <v>30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84">
        <f>F60*1</f>
        <v>3</v>
      </c>
      <c r="G61" s="360">
        <f ca="1">IF(ISERROR(OFFSET('HARGA SATUAN'!$I$6,MATCH(RAB!C61,'HARGA SATUAN'!$C$7:$C$1492,0),0)),0,OFFSET('HARGA SATUAN'!$I$6,MATCH(RAB!C61,'HARGA SATUAN'!$C$7:$C$1492,0),0))</f>
        <v>47459</v>
      </c>
      <c r="H61" s="361">
        <f t="shared" ca="1" si="24"/>
        <v>0</v>
      </c>
      <c r="I61" s="361">
        <f t="shared" ca="1" si="25"/>
        <v>142377</v>
      </c>
      <c r="J61" s="361">
        <f t="shared" ca="1" si="26"/>
        <v>0</v>
      </c>
      <c r="K61" s="362">
        <f t="shared" ca="1" si="27"/>
        <v>142377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07">
        <v>2</v>
      </c>
      <c r="C62" s="508" t="s">
        <v>32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484">
        <f>F60*0.8</f>
        <v>2.4000000000000004</v>
      </c>
      <c r="G62" s="360">
        <f ca="1">IF(ISERROR(OFFSET('HARGA SATUAN'!$I$6,MATCH(RAB!C62,'HARGA SATUAN'!$C$7:$C$1492,0),0)),0,OFFSET('HARGA SATUAN'!$I$6,MATCH(RAB!C62,'HARGA SATUAN'!$C$7:$C$1492,0),0))</f>
        <v>30000</v>
      </c>
      <c r="H62" s="361">
        <f t="shared" ca="1" si="24"/>
        <v>0</v>
      </c>
      <c r="I62" s="361">
        <f t="shared" ca="1" si="25"/>
        <v>72000.000000000015</v>
      </c>
      <c r="J62" s="361">
        <f t="shared" ca="1" si="26"/>
        <v>0</v>
      </c>
      <c r="K62" s="362">
        <f t="shared" ca="1" si="27"/>
        <v>72000.000000000015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07">
        <v>3</v>
      </c>
      <c r="C63" s="508" t="s">
        <v>33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84">
        <f>F60*1</f>
        <v>3</v>
      </c>
      <c r="G63" s="360">
        <f ca="1">IF(ISERROR(OFFSET('HARGA SATUAN'!$I$6,MATCH(RAB!C63,'HARGA SATUAN'!$C$7:$C$1492,0),0)),0,OFFSET('HARGA SATUAN'!$I$6,MATCH(RAB!C63,'HARGA SATUAN'!$C$7:$C$1492,0),0))</f>
        <v>9500</v>
      </c>
      <c r="H63" s="361">
        <f t="shared" ca="1" si="24"/>
        <v>0</v>
      </c>
      <c r="I63" s="361">
        <f t="shared" ca="1" si="25"/>
        <v>28500</v>
      </c>
      <c r="J63" s="361">
        <f t="shared" ca="1" si="26"/>
        <v>0</v>
      </c>
      <c r="K63" s="362">
        <f t="shared" ca="1" si="27"/>
        <v>28500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507">
        <v>4</v>
      </c>
      <c r="C64" s="508" t="s">
        <v>737</v>
      </c>
      <c r="D64" s="358" t="str">
        <f ca="1">IF(ISERROR(OFFSET('HARGA SATUAN'!$D$6,MATCH(RAB!C64,'HARGA SATUAN'!$C$7:$C$1492,0),0)),"",OFFSET('HARGA SATUAN'!$D$6,MATCH(RAB!C64,'HARGA SATUAN'!$C$7:$C$1492,0),0))</f>
        <v>JASA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484">
        <f>F60*1</f>
        <v>3</v>
      </c>
      <c r="G64" s="360">
        <f ca="1">IF(ISERROR(OFFSET('HARGA SATUAN'!$I$6,MATCH(RAB!C64,'HARGA SATUAN'!$C$7:$C$1492,0),0)),0,OFFSET('HARGA SATUAN'!$I$6,MATCH(RAB!C64,'HARGA SATUAN'!$C$7:$C$1492,0),0))</f>
        <v>16200</v>
      </c>
      <c r="H64" s="361">
        <f t="shared" ca="1" si="24"/>
        <v>0</v>
      </c>
      <c r="I64" s="361">
        <f t="shared" ca="1" si="25"/>
        <v>0</v>
      </c>
      <c r="J64" s="361">
        <f t="shared" ca="1" si="26"/>
        <v>48600</v>
      </c>
      <c r="K64" s="362">
        <f t="shared" ca="1" si="27"/>
        <v>48600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373"/>
      <c r="C65" s="374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484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4"/>
        <v>0</v>
      </c>
      <c r="I65" s="361">
        <f t="shared" ca="1" si="25"/>
        <v>0</v>
      </c>
      <c r="J65" s="361">
        <f t="shared" ca="1" si="26"/>
        <v>0</v>
      </c>
      <c r="K65" s="362">
        <f t="shared" ca="1" si="27"/>
        <v>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373"/>
      <c r="C66" s="510" t="s">
        <v>1620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484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4"/>
        <v>0</v>
      </c>
      <c r="I66" s="361">
        <f t="shared" ca="1" si="25"/>
        <v>0</v>
      </c>
      <c r="J66" s="361">
        <f t="shared" ca="1" si="26"/>
        <v>0</v>
      </c>
      <c r="K66" s="362">
        <f t="shared" ca="1" si="27"/>
        <v>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373">
        <v>1</v>
      </c>
      <c r="C67" s="109" t="s">
        <v>65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484">
        <f>((70*4)+((70*4)*4%))</f>
        <v>291.2</v>
      </c>
      <c r="G67" s="360">
        <f ca="1">IF(ISERROR(OFFSET('HARGA SATUAN'!$I$6,MATCH(RAB!C67,'HARGA SATUAN'!$C$7:$C$1492,0),0)),0,OFFSET('HARGA SATUAN'!$I$6,MATCH(RAB!C67,'HARGA SATUAN'!$C$7:$C$1492,0),0))</f>
        <v>14200</v>
      </c>
      <c r="H67" s="361">
        <f t="shared" ca="1" si="24"/>
        <v>4135040</v>
      </c>
      <c r="I67" s="361">
        <f t="shared" ca="1" si="25"/>
        <v>0</v>
      </c>
      <c r="J67" s="361">
        <f t="shared" ca="1" si="26"/>
        <v>0</v>
      </c>
      <c r="K67" s="362">
        <f t="shared" ca="1" si="27"/>
        <v>4135040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373">
        <v>2</v>
      </c>
      <c r="C68" s="109" t="s">
        <v>301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Per 50 m</v>
      </c>
      <c r="F68" s="484">
        <f>F67/200</f>
        <v>1.456</v>
      </c>
      <c r="G68" s="360">
        <f ca="1">IF(ISERROR(OFFSET('HARGA SATUAN'!$I$6,MATCH(RAB!C68,'HARGA SATUAN'!$C$7:$C$1492,0),0)),0,OFFSET('HARGA SATUAN'!$I$6,MATCH(RAB!C68,'HARGA SATUAN'!$C$7:$C$1492,0),0))</f>
        <v>300100</v>
      </c>
      <c r="H68" s="361">
        <f t="shared" ca="1" si="24"/>
        <v>0</v>
      </c>
      <c r="I68" s="361">
        <f t="shared" ca="1" si="25"/>
        <v>0</v>
      </c>
      <c r="J68" s="361">
        <f t="shared" ca="1" si="26"/>
        <v>436945.6</v>
      </c>
      <c r="K68" s="362">
        <f t="shared" ca="1" si="27"/>
        <v>436945.6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373">
        <v>3</v>
      </c>
      <c r="C69" s="109" t="s">
        <v>1157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484">
        <v>4</v>
      </c>
      <c r="G69" s="360">
        <f ca="1">IF(ISERROR(OFFSET('HARGA SATUAN'!$I$6,MATCH(RAB!C69,'HARGA SATUAN'!$C$7:$C$1492,0),0)),0,OFFSET('HARGA SATUAN'!$I$6,MATCH(RAB!C69,'HARGA SATUAN'!$C$7:$C$1492,0),0))</f>
        <v>36500</v>
      </c>
      <c r="H69" s="361">
        <f t="shared" ca="1" si="24"/>
        <v>0</v>
      </c>
      <c r="I69" s="361">
        <f t="shared" ca="1" si="25"/>
        <v>146000</v>
      </c>
      <c r="J69" s="361">
        <f t="shared" ca="1" si="26"/>
        <v>0</v>
      </c>
      <c r="K69" s="362">
        <f t="shared" ca="1" si="27"/>
        <v>146000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373">
        <v>4</v>
      </c>
      <c r="C70" s="197" t="s">
        <v>1099</v>
      </c>
      <c r="D70" s="358" t="str">
        <f ca="1">IF(ISERROR(OFFSET('HARGA SATUAN'!$D$6,MATCH(RAB!C70,'HARGA SATUAN'!$C$7:$C$1492,0),0)),"",OFFSET('HARGA SATUAN'!$D$6,MATCH(RAB!C70,'HARGA SATUAN'!$C$7:$C$1492,0),0))</f>
        <v>JASA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484">
        <v>4</v>
      </c>
      <c r="G70" s="360">
        <f ca="1">IF(ISERROR(OFFSET('HARGA SATUAN'!$I$6,MATCH(RAB!C70,'HARGA SATUAN'!$C$7:$C$1492,0),0)),0,OFFSET('HARGA SATUAN'!$I$6,MATCH(RAB!C70,'HARGA SATUAN'!$C$7:$C$1492,0),0))</f>
        <v>13770</v>
      </c>
      <c r="H70" s="361">
        <f t="shared" ca="1" si="24"/>
        <v>0</v>
      </c>
      <c r="I70" s="361">
        <f t="shared" ca="1" si="25"/>
        <v>0</v>
      </c>
      <c r="J70" s="361">
        <f t="shared" ca="1" si="26"/>
        <v>55080</v>
      </c>
      <c r="K70" s="362">
        <f t="shared" ca="1" si="27"/>
        <v>55080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373"/>
      <c r="C71" s="374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84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92" ca="1" si="28">IF(OR(D71="MDU",D71="MDU-KD"),(IF($O$3="RAB NON MDU","PLN KD",G71*F71)),0)</f>
        <v>0</v>
      </c>
      <c r="I71" s="361">
        <f t="shared" ref="I71:I92" ca="1" si="29">IF(D71="HDW",G71*F71,0)</f>
        <v>0</v>
      </c>
      <c r="J71" s="361">
        <f t="shared" ref="J71:J92" ca="1" si="30">IF(D71="JASA",G71*F71,0)</f>
        <v>0</v>
      </c>
      <c r="K71" s="362">
        <f t="shared" ref="K71:K92" ca="1" si="31">SUM(H71:J71)</f>
        <v>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373"/>
      <c r="C72" s="510" t="s">
        <v>1627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484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8"/>
        <v>0</v>
      </c>
      <c r="I72" s="361">
        <f t="shared" ca="1" si="29"/>
        <v>0</v>
      </c>
      <c r="J72" s="361">
        <f t="shared" ca="1" si="30"/>
        <v>0</v>
      </c>
      <c r="K72" s="362">
        <f t="shared" ca="1" si="31"/>
        <v>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373"/>
      <c r="C73" s="374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484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8"/>
        <v>0</v>
      </c>
      <c r="I73" s="361">
        <f t="shared" ca="1" si="29"/>
        <v>0</v>
      </c>
      <c r="J73" s="361">
        <f t="shared" ca="1" si="30"/>
        <v>0</v>
      </c>
      <c r="K73" s="362">
        <f t="shared" ca="1" si="31"/>
        <v>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507" t="s">
        <v>1035</v>
      </c>
      <c r="C74" s="508" t="s">
        <v>1628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484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28"/>
        <v>0</v>
      </c>
      <c r="I74" s="361">
        <f t="shared" ca="1" si="29"/>
        <v>0</v>
      </c>
      <c r="J74" s="361">
        <f t="shared" ca="1" si="30"/>
        <v>0</v>
      </c>
      <c r="K74" s="362">
        <f t="shared" ca="1" si="31"/>
        <v>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507">
        <v>1</v>
      </c>
      <c r="C75" s="508" t="s">
        <v>28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84">
        <f>F74*1</f>
        <v>1</v>
      </c>
      <c r="G75" s="360">
        <f ca="1">IF(ISERROR(OFFSET('HARGA SATUAN'!$I$6,MATCH(RAB!C75,'HARGA SATUAN'!$C$7:$C$1492,0),0)),0,OFFSET('HARGA SATUAN'!$I$6,MATCH(RAB!C75,'HARGA SATUAN'!$C$7:$C$1492,0),0))</f>
        <v>26500</v>
      </c>
      <c r="H75" s="361">
        <f t="shared" ca="1" si="28"/>
        <v>0</v>
      </c>
      <c r="I75" s="361">
        <f t="shared" ca="1" si="29"/>
        <v>26500</v>
      </c>
      <c r="J75" s="361">
        <f t="shared" ca="1" si="30"/>
        <v>0</v>
      </c>
      <c r="K75" s="362">
        <f t="shared" ca="1" si="31"/>
        <v>26500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507">
        <v>2</v>
      </c>
      <c r="C76" s="508" t="s">
        <v>203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84">
        <f>F74*1</f>
        <v>1</v>
      </c>
      <c r="G76" s="360">
        <f ca="1">IF(ISERROR(OFFSET('HARGA SATUAN'!$I$6,MATCH(RAB!C76,'HARGA SATUAN'!$C$7:$C$1492,0),0)),0,OFFSET('HARGA SATUAN'!$I$6,MATCH(RAB!C76,'HARGA SATUAN'!$C$7:$C$1492,0),0))</f>
        <v>12500</v>
      </c>
      <c r="H76" s="361">
        <f t="shared" ca="1" si="28"/>
        <v>0</v>
      </c>
      <c r="I76" s="361">
        <f t="shared" ca="1" si="29"/>
        <v>12500</v>
      </c>
      <c r="J76" s="361">
        <f t="shared" ca="1" si="30"/>
        <v>0</v>
      </c>
      <c r="K76" s="362">
        <f t="shared" ca="1" si="31"/>
        <v>12500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507">
        <v>3</v>
      </c>
      <c r="C77" s="508" t="s">
        <v>206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484">
        <f>F74*12</f>
        <v>12</v>
      </c>
      <c r="G77" s="360">
        <f ca="1">IF(ISERROR(OFFSET('HARGA SATUAN'!$I$6,MATCH(RAB!C77,'HARGA SATUAN'!$C$7:$C$1492,0),0)),0,OFFSET('HARGA SATUAN'!$I$6,MATCH(RAB!C77,'HARGA SATUAN'!$C$7:$C$1492,0),0))</f>
        <v>39204</v>
      </c>
      <c r="H77" s="361">
        <f t="shared" ca="1" si="28"/>
        <v>0</v>
      </c>
      <c r="I77" s="361">
        <f t="shared" ca="1" si="29"/>
        <v>470448</v>
      </c>
      <c r="J77" s="361">
        <f t="shared" ca="1" si="30"/>
        <v>0</v>
      </c>
      <c r="K77" s="362">
        <f t="shared" ca="1" si="31"/>
        <v>470448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507">
        <v>4</v>
      </c>
      <c r="C78" s="508" t="s">
        <v>287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84">
        <f>F74*2</f>
        <v>2</v>
      </c>
      <c r="G78" s="360">
        <f ca="1">IF(ISERROR(OFFSET('HARGA SATUAN'!$I$6,MATCH(RAB!C78,'HARGA SATUAN'!$C$7:$C$1492,0),0)),0,OFFSET('HARGA SATUAN'!$I$6,MATCH(RAB!C78,'HARGA SATUAN'!$C$7:$C$1492,0),0))</f>
        <v>40000</v>
      </c>
      <c r="H78" s="361">
        <f t="shared" ca="1" si="28"/>
        <v>0</v>
      </c>
      <c r="I78" s="361">
        <f t="shared" ca="1" si="29"/>
        <v>80000</v>
      </c>
      <c r="J78" s="361">
        <f t="shared" ca="1" si="30"/>
        <v>0</v>
      </c>
      <c r="K78" s="362">
        <f t="shared" ca="1" si="31"/>
        <v>80000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507">
        <v>5</v>
      </c>
      <c r="C79" s="508" t="s">
        <v>26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84">
        <f>F74*1</f>
        <v>1</v>
      </c>
      <c r="G79" s="360">
        <f ca="1">IF(ISERROR(OFFSET('HARGA SATUAN'!$I$6,MATCH(RAB!C79,'HARGA SATUAN'!$C$7:$C$1492,0),0)),0,OFFSET('HARGA SATUAN'!$I$6,MATCH(RAB!C79,'HARGA SATUAN'!$C$7:$C$1492,0),0))</f>
        <v>2500</v>
      </c>
      <c r="H79" s="361">
        <f t="shared" ca="1" si="28"/>
        <v>0</v>
      </c>
      <c r="I79" s="361">
        <f t="shared" ca="1" si="29"/>
        <v>2500</v>
      </c>
      <c r="J79" s="361">
        <f t="shared" ca="1" si="30"/>
        <v>0</v>
      </c>
      <c r="K79" s="362">
        <f t="shared" ca="1" si="31"/>
        <v>2500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507">
        <v>6</v>
      </c>
      <c r="C80" s="508" t="s">
        <v>760</v>
      </c>
      <c r="D80" s="358" t="str">
        <f ca="1">IF(ISERROR(OFFSET('HARGA SATUAN'!$D$6,MATCH(RAB!C80,'HARGA SATUAN'!$C$7:$C$1492,0),0)),"",OFFSET('HARGA SATUAN'!$D$6,MATCH(RAB!C80,'HARGA SATUAN'!$C$7:$C$1492,0),0))</f>
        <v>JASA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484">
        <f>F74*1</f>
        <v>1</v>
      </c>
      <c r="G80" s="360">
        <f ca="1">IF(ISERROR(OFFSET('HARGA SATUAN'!$I$6,MATCH(RAB!C80,'HARGA SATUAN'!$C$7:$C$1492,0),0)),0,OFFSET('HARGA SATUAN'!$I$6,MATCH(RAB!C80,'HARGA SATUAN'!$C$7:$C$1492,0),0))</f>
        <v>36600</v>
      </c>
      <c r="H80" s="361">
        <f t="shared" ca="1" si="28"/>
        <v>0</v>
      </c>
      <c r="I80" s="361">
        <f t="shared" ca="1" si="29"/>
        <v>0</v>
      </c>
      <c r="J80" s="361">
        <f t="shared" ca="1" si="30"/>
        <v>36600</v>
      </c>
      <c r="K80" s="362">
        <f t="shared" ca="1" si="31"/>
        <v>36600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373"/>
      <c r="C81" s="374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484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8"/>
        <v>0</v>
      </c>
      <c r="I81" s="361">
        <f t="shared" ca="1" si="29"/>
        <v>0</v>
      </c>
      <c r="J81" s="361">
        <f t="shared" ca="1" si="30"/>
        <v>0</v>
      </c>
      <c r="K81" s="362">
        <f t="shared" ca="1" si="31"/>
        <v>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507" t="s">
        <v>1035</v>
      </c>
      <c r="C82" s="508" t="s">
        <v>1629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484">
        <v>1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28"/>
        <v>0</v>
      </c>
      <c r="I82" s="361">
        <f t="shared" ca="1" si="29"/>
        <v>0</v>
      </c>
      <c r="J82" s="361">
        <f t="shared" ca="1" si="30"/>
        <v>0</v>
      </c>
      <c r="K82" s="362">
        <f t="shared" ca="1" si="31"/>
        <v>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516">
        <v>1</v>
      </c>
      <c r="C83" s="517" t="s">
        <v>597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84">
        <f>F82*1</f>
        <v>1</v>
      </c>
      <c r="G83" s="360">
        <f ca="1">IF(ISERROR(OFFSET('HARGA SATUAN'!$I$6,MATCH(RAB!C83,'HARGA SATUAN'!$C$7:$C$1492,0),0)),0,OFFSET('HARGA SATUAN'!$I$6,MATCH(RAB!C83,'HARGA SATUAN'!$C$7:$C$1492,0),0))</f>
        <v>120900</v>
      </c>
      <c r="H83" s="361">
        <f t="shared" ca="1" si="28"/>
        <v>0</v>
      </c>
      <c r="I83" s="361">
        <f t="shared" ca="1" si="29"/>
        <v>120900</v>
      </c>
      <c r="J83" s="361">
        <f t="shared" ca="1" si="30"/>
        <v>0</v>
      </c>
      <c r="K83" s="362">
        <f t="shared" ca="1" si="31"/>
        <v>120900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11">
        <v>2</v>
      </c>
      <c r="C84" s="514" t="s">
        <v>261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84">
        <f>F82*1</f>
        <v>1</v>
      </c>
      <c r="G84" s="360">
        <f ca="1">IF(ISERROR(OFFSET('HARGA SATUAN'!$I$6,MATCH(RAB!C84,'HARGA SATUAN'!$C$7:$C$1492,0),0)),0,OFFSET('HARGA SATUAN'!$I$6,MATCH(RAB!C84,'HARGA SATUAN'!$C$7:$C$1492,0),0))</f>
        <v>135800</v>
      </c>
      <c r="H84" s="361">
        <f t="shared" ca="1" si="28"/>
        <v>0</v>
      </c>
      <c r="I84" s="361">
        <f t="shared" ca="1" si="29"/>
        <v>135800</v>
      </c>
      <c r="J84" s="361">
        <f t="shared" ca="1" si="30"/>
        <v>0</v>
      </c>
      <c r="K84" s="362">
        <f t="shared" ca="1" si="31"/>
        <v>135800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11">
        <v>3</v>
      </c>
      <c r="C85" s="509" t="s">
        <v>214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6">
        <f>F82*1</f>
        <v>1</v>
      </c>
      <c r="G85" s="360">
        <f ca="1">IF(ISERROR(OFFSET('HARGA SATUAN'!$I$6,MATCH(RAB!C85,'HARGA SATUAN'!$C$7:$C$1492,0),0)),0,OFFSET('HARGA SATUAN'!$I$6,MATCH(RAB!C85,'HARGA SATUAN'!$C$7:$C$1492,0),0))</f>
        <v>4500</v>
      </c>
      <c r="H85" s="361">
        <f t="shared" ca="1" si="28"/>
        <v>0</v>
      </c>
      <c r="I85" s="361">
        <f t="shared" ca="1" si="29"/>
        <v>4500</v>
      </c>
      <c r="J85" s="361">
        <f t="shared" ca="1" si="30"/>
        <v>0</v>
      </c>
      <c r="K85" s="362">
        <f t="shared" ca="1" si="31"/>
        <v>4500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07">
        <v>4</v>
      </c>
      <c r="C86" s="508" t="s">
        <v>768</v>
      </c>
      <c r="D86" s="358" t="str">
        <f ca="1">IF(ISERROR(OFFSET('HARGA SATUAN'!$D$6,MATCH(RAB!C86,'HARGA SATUAN'!$C$7:$C$1492,0),0)),"",OFFSET('HARGA SATUAN'!$D$6,MATCH(RAB!C86,'HARGA SATUAN'!$C$7:$C$1492,0),0))</f>
        <v>JASA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484">
        <f>F82*1</f>
        <v>1</v>
      </c>
      <c r="G86" s="360">
        <f ca="1">IF(ISERROR(OFFSET('HARGA SATUAN'!$I$6,MATCH(RAB!C86,'HARGA SATUAN'!$C$7:$C$1492,0),0)),0,OFFSET('HARGA SATUAN'!$I$6,MATCH(RAB!C86,'HARGA SATUAN'!$C$7:$C$1492,0),0))</f>
        <v>55500</v>
      </c>
      <c r="H86" s="361">
        <f t="shared" ca="1" si="28"/>
        <v>0</v>
      </c>
      <c r="I86" s="361">
        <f t="shared" ca="1" si="29"/>
        <v>0</v>
      </c>
      <c r="J86" s="361">
        <f t="shared" ca="1" si="30"/>
        <v>55500</v>
      </c>
      <c r="K86" s="362">
        <f t="shared" ca="1" si="31"/>
        <v>55500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07"/>
      <c r="C87" s="508"/>
      <c r="D87" s="358"/>
      <c r="E87" s="359"/>
      <c r="F87" s="484"/>
      <c r="G87" s="360"/>
      <c r="H87" s="361"/>
      <c r="I87" s="361"/>
      <c r="J87" s="361"/>
      <c r="K87" s="362"/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07" t="s">
        <v>1035</v>
      </c>
      <c r="C88" s="508" t="s">
        <v>1630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484">
        <v>1</v>
      </c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28"/>
        <v>0</v>
      </c>
      <c r="I88" s="361">
        <f t="shared" ca="1" si="29"/>
        <v>0</v>
      </c>
      <c r="J88" s="361">
        <f t="shared" ca="1" si="30"/>
        <v>0</v>
      </c>
      <c r="K88" s="362">
        <f t="shared" ca="1" si="31"/>
        <v>0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507">
        <v>1</v>
      </c>
      <c r="C89" s="508" t="s">
        <v>30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84">
        <f>F88*1</f>
        <v>1</v>
      </c>
      <c r="G89" s="360">
        <f ca="1">IF(ISERROR(OFFSET('HARGA SATUAN'!$I$6,MATCH(RAB!C89,'HARGA SATUAN'!$C$7:$C$1492,0),0)),0,OFFSET('HARGA SATUAN'!$I$6,MATCH(RAB!C89,'HARGA SATUAN'!$C$7:$C$1492,0),0))</f>
        <v>47459</v>
      </c>
      <c r="H89" s="361">
        <f t="shared" ca="1" si="28"/>
        <v>0</v>
      </c>
      <c r="I89" s="361">
        <f t="shared" ca="1" si="29"/>
        <v>47459</v>
      </c>
      <c r="J89" s="361">
        <f t="shared" ca="1" si="30"/>
        <v>0</v>
      </c>
      <c r="K89" s="362">
        <f t="shared" ca="1" si="31"/>
        <v>47459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507">
        <v>2</v>
      </c>
      <c r="C90" s="508" t="s">
        <v>32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Mtr</v>
      </c>
      <c r="F90" s="484">
        <f>F88*1</f>
        <v>1</v>
      </c>
      <c r="G90" s="360">
        <f ca="1">IF(ISERROR(OFFSET('HARGA SATUAN'!$I$6,MATCH(RAB!C90,'HARGA SATUAN'!$C$7:$C$1492,0),0)),0,OFFSET('HARGA SATUAN'!$I$6,MATCH(RAB!C90,'HARGA SATUAN'!$C$7:$C$1492,0),0))</f>
        <v>30000</v>
      </c>
      <c r="H90" s="361">
        <f t="shared" ca="1" si="28"/>
        <v>0</v>
      </c>
      <c r="I90" s="361">
        <f t="shared" ca="1" si="29"/>
        <v>30000</v>
      </c>
      <c r="J90" s="361">
        <f t="shared" ca="1" si="30"/>
        <v>0</v>
      </c>
      <c r="K90" s="362">
        <f t="shared" ca="1" si="31"/>
        <v>30000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507">
        <v>3</v>
      </c>
      <c r="C91" s="508" t="s">
        <v>33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484">
        <f>F88*1</f>
        <v>1</v>
      </c>
      <c r="G91" s="360">
        <f ca="1">IF(ISERROR(OFFSET('HARGA SATUAN'!$I$6,MATCH(RAB!C91,'HARGA SATUAN'!$C$7:$C$1492,0),0)),0,OFFSET('HARGA SATUAN'!$I$6,MATCH(RAB!C91,'HARGA SATUAN'!$C$7:$C$1492,0),0))</f>
        <v>9500</v>
      </c>
      <c r="H91" s="361">
        <f t="shared" ca="1" si="28"/>
        <v>0</v>
      </c>
      <c r="I91" s="361">
        <f t="shared" ca="1" si="29"/>
        <v>9500</v>
      </c>
      <c r="J91" s="361">
        <f t="shared" ca="1" si="30"/>
        <v>0</v>
      </c>
      <c r="K91" s="362">
        <f t="shared" ca="1" si="31"/>
        <v>9500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507">
        <v>4</v>
      </c>
      <c r="C92" s="508" t="s">
        <v>738</v>
      </c>
      <c r="D92" s="358" t="str">
        <f ca="1">IF(ISERROR(OFFSET('HARGA SATUAN'!$D$6,MATCH(RAB!C92,'HARGA SATUAN'!$C$7:$C$1492,0),0)),"",OFFSET('HARGA SATUAN'!$D$6,MATCH(RAB!C92,'HARGA SATUAN'!$C$7:$C$1492,0),0))</f>
        <v>JASA</v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484">
        <f>F88*1</f>
        <v>1</v>
      </c>
      <c r="G92" s="360">
        <f ca="1">IF(ISERROR(OFFSET('HARGA SATUAN'!$I$6,MATCH(RAB!C92,'HARGA SATUAN'!$C$7:$C$1492,0),0)),0,OFFSET('HARGA SATUAN'!$I$6,MATCH(RAB!C92,'HARGA SATUAN'!$C$7:$C$1492,0),0))</f>
        <v>21200</v>
      </c>
      <c r="H92" s="361">
        <f t="shared" ca="1" si="28"/>
        <v>0</v>
      </c>
      <c r="I92" s="361">
        <f t="shared" ca="1" si="29"/>
        <v>0</v>
      </c>
      <c r="J92" s="361">
        <f t="shared" ca="1" si="30"/>
        <v>21200</v>
      </c>
      <c r="K92" s="362">
        <f t="shared" ca="1" si="31"/>
        <v>21200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507"/>
      <c r="C93" s="508"/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484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ref="H93:H104" ca="1" si="32">IF(OR(D93="MDU",D93="MDU-KD"),(IF($O$3="RAB NON MDU","PLN KD",G93*F93)),0)</f>
        <v>0</v>
      </c>
      <c r="I93" s="361">
        <f t="shared" ref="I93:I104" ca="1" si="33">IF(D93="HDW",G93*F93,0)</f>
        <v>0</v>
      </c>
      <c r="J93" s="361">
        <f t="shared" ref="J93:J104" ca="1" si="34">IF(D93="JASA",G93*F93,0)</f>
        <v>0</v>
      </c>
      <c r="K93" s="362">
        <f t="shared" ref="K93:K104" ca="1" si="35">SUM(H93:J93)</f>
        <v>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507"/>
      <c r="C94" s="510" t="s">
        <v>1631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484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32"/>
        <v>0</v>
      </c>
      <c r="I94" s="361">
        <f t="shared" ca="1" si="33"/>
        <v>0</v>
      </c>
      <c r="J94" s="361">
        <f t="shared" ca="1" si="34"/>
        <v>0</v>
      </c>
      <c r="K94" s="362">
        <f t="shared" ca="1" si="35"/>
        <v>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507"/>
      <c r="C95" s="508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484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32"/>
        <v>0</v>
      </c>
      <c r="I95" s="361">
        <f t="shared" ca="1" si="33"/>
        <v>0</v>
      </c>
      <c r="J95" s="361">
        <f t="shared" ca="1" si="34"/>
        <v>0</v>
      </c>
      <c r="K95" s="362">
        <f t="shared" ca="1" si="35"/>
        <v>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520" t="s">
        <v>1035</v>
      </c>
      <c r="C96" s="521" t="s">
        <v>1632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>Unit</v>
      </c>
      <c r="F96" s="522">
        <v>2</v>
      </c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32"/>
        <v>0</v>
      </c>
      <c r="I96" s="361">
        <f t="shared" ca="1" si="33"/>
        <v>0</v>
      </c>
      <c r="J96" s="361">
        <f t="shared" ca="1" si="34"/>
        <v>0</v>
      </c>
      <c r="K96" s="362">
        <f t="shared" ca="1" si="35"/>
        <v>0</v>
      </c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520">
        <v>1</v>
      </c>
      <c r="C97" s="109" t="s">
        <v>1129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22">
        <f>F96*1</f>
        <v>2</v>
      </c>
      <c r="G97" s="360">
        <f ca="1">IF(ISERROR(OFFSET('HARGA SATUAN'!$I$6,MATCH(RAB!C97,'HARGA SATUAN'!$C$7:$C$1492,0),0)),0,OFFSET('HARGA SATUAN'!$I$6,MATCH(RAB!C97,'HARGA SATUAN'!$C$7:$C$1492,0),0))</f>
        <v>176900</v>
      </c>
      <c r="H97" s="361">
        <f t="shared" ca="1" si="32"/>
        <v>353800</v>
      </c>
      <c r="I97" s="361">
        <f t="shared" ca="1" si="33"/>
        <v>0</v>
      </c>
      <c r="J97" s="361">
        <f t="shared" ca="1" si="34"/>
        <v>0</v>
      </c>
      <c r="K97" s="362">
        <f t="shared" ca="1" si="35"/>
        <v>353800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520">
        <v>2</v>
      </c>
      <c r="C98" s="521" t="s">
        <v>26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22">
        <f>F96*2</f>
        <v>4</v>
      </c>
      <c r="G98" s="360">
        <f ca="1">IF(ISERROR(OFFSET('HARGA SATUAN'!$I$6,MATCH(RAB!C98,'HARGA SATUAN'!$C$7:$C$1492,0),0)),0,OFFSET('HARGA SATUAN'!$I$6,MATCH(RAB!C98,'HARGA SATUAN'!$C$7:$C$1492,0),0))</f>
        <v>2500</v>
      </c>
      <c r="H98" s="361">
        <f t="shared" ca="1" si="32"/>
        <v>0</v>
      </c>
      <c r="I98" s="361">
        <f t="shared" ca="1" si="33"/>
        <v>10000</v>
      </c>
      <c r="J98" s="361">
        <f t="shared" ca="1" si="34"/>
        <v>0</v>
      </c>
      <c r="K98" s="362">
        <f t="shared" ca="1" si="35"/>
        <v>10000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520">
        <v>3</v>
      </c>
      <c r="C99" s="521" t="s">
        <v>38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Mtr</v>
      </c>
      <c r="F99" s="522">
        <f>F97*1.8</f>
        <v>3.6</v>
      </c>
      <c r="G99" s="360">
        <f ca="1">IF(ISERROR(OFFSET('HARGA SATUAN'!$I$6,MATCH(RAB!C99,'HARGA SATUAN'!$C$7:$C$1492,0),0)),0,OFFSET('HARGA SATUAN'!$I$6,MATCH(RAB!C99,'HARGA SATUAN'!$C$7:$C$1492,0),0))</f>
        <v>8550</v>
      </c>
      <c r="H99" s="361">
        <f t="shared" ca="1" si="32"/>
        <v>0</v>
      </c>
      <c r="I99" s="361">
        <f t="shared" ca="1" si="33"/>
        <v>30780</v>
      </c>
      <c r="J99" s="361">
        <f t="shared" ca="1" si="34"/>
        <v>0</v>
      </c>
      <c r="K99" s="362">
        <f t="shared" ca="1" si="35"/>
        <v>30780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520">
        <v>4</v>
      </c>
      <c r="C100" s="521" t="s">
        <v>744</v>
      </c>
      <c r="D100" s="358" t="str">
        <f ca="1">IF(ISERROR(OFFSET('HARGA SATUAN'!$D$6,MATCH(RAB!C100,'HARGA SATUAN'!$C$7:$C$1492,0),0)),"",OFFSET('HARGA SATUAN'!$D$6,MATCH(RAB!C100,'HARGA SATUAN'!$C$7:$C$1492,0),0))</f>
        <v>JASA</v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522">
        <f>F96*1</f>
        <v>2</v>
      </c>
      <c r="G100" s="360">
        <f ca="1">IF(ISERROR(OFFSET('HARGA SATUAN'!$I$6,MATCH(RAB!C100,'HARGA SATUAN'!$C$7:$C$1492,0),0)),0,OFFSET('HARGA SATUAN'!$I$6,MATCH(RAB!C100,'HARGA SATUAN'!$C$7:$C$1492,0),0))</f>
        <v>31200</v>
      </c>
      <c r="H100" s="361">
        <f t="shared" ca="1" si="32"/>
        <v>0</v>
      </c>
      <c r="I100" s="361">
        <f t="shared" ca="1" si="33"/>
        <v>0</v>
      </c>
      <c r="J100" s="361">
        <f t="shared" ca="1" si="34"/>
        <v>62400</v>
      </c>
      <c r="K100" s="362">
        <f t="shared" ca="1" si="35"/>
        <v>62400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507"/>
      <c r="C101" s="508"/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484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32"/>
        <v>0</v>
      </c>
      <c r="I101" s="361">
        <f t="shared" ca="1" si="33"/>
        <v>0</v>
      </c>
      <c r="J101" s="361">
        <f t="shared" ca="1" si="34"/>
        <v>0</v>
      </c>
      <c r="K101" s="362">
        <f t="shared" ca="1" si="35"/>
        <v>0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373" t="s">
        <v>1549</v>
      </c>
      <c r="C102" s="374" t="s">
        <v>1615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84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32"/>
        <v>0</v>
      </c>
      <c r="I102" s="361">
        <f t="shared" ca="1" si="33"/>
        <v>0</v>
      </c>
      <c r="J102" s="361">
        <f t="shared" ca="1" si="34"/>
        <v>0</v>
      </c>
      <c r="K102" s="362">
        <f t="shared" ca="1" si="35"/>
        <v>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373"/>
      <c r="C103" s="374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84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32"/>
        <v>0</v>
      </c>
      <c r="I103" s="361">
        <f t="shared" ca="1" si="33"/>
        <v>0</v>
      </c>
      <c r="J103" s="361">
        <f t="shared" ca="1" si="34"/>
        <v>0</v>
      </c>
      <c r="K103" s="362">
        <f t="shared" ca="1" si="35"/>
        <v>0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518" t="s">
        <v>1035</v>
      </c>
      <c r="C104" s="526" t="s">
        <v>1644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>Unit</v>
      </c>
      <c r="F104" s="484">
        <v>1</v>
      </c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32"/>
        <v>0</v>
      </c>
      <c r="I104" s="361">
        <f t="shared" ca="1" si="33"/>
        <v>0</v>
      </c>
      <c r="J104" s="361">
        <f t="shared" ca="1" si="34"/>
        <v>0</v>
      </c>
      <c r="K104" s="362">
        <f t="shared" ca="1" si="35"/>
        <v>0</v>
      </c>
      <c r="L104" s="342"/>
      <c r="M104" s="342"/>
      <c r="N104" s="369"/>
      <c r="O104" s="344"/>
      <c r="P104" s="344"/>
      <c r="Q104" s="344"/>
      <c r="R104" s="344"/>
      <c r="S104" s="344"/>
      <c r="T104" s="403"/>
      <c r="U104" s="403"/>
      <c r="V104" s="403"/>
    </row>
    <row r="105" spans="1:22" s="365" customFormat="1">
      <c r="A105" s="336"/>
      <c r="B105" s="518">
        <v>1</v>
      </c>
      <c r="C105" s="109" t="s">
        <v>1147</v>
      </c>
      <c r="D105" s="358" t="str">
        <f ca="1">IF(ISERROR(OFFSET('HARGA SATUAN'!$D$6,MATCH(RAB!C105,'HARGA SATUAN'!$C$7:$C$1492,0),0)),"",OFFSET('HARGA SATUAN'!$D$6,MATCH(RAB!C105,'HARGA SATUAN'!$C$7:$C$1492,0),0))</f>
        <v>MDU-KD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84">
        <f>F104*1</f>
        <v>1</v>
      </c>
      <c r="G105" s="360">
        <f ca="1">IF(ISERROR(OFFSET('HARGA SATUAN'!$I$6,MATCH(RAB!C105,'HARGA SATUAN'!$C$7:$C$1492,0),0)),0,OFFSET('HARGA SATUAN'!$I$6,MATCH(RAB!C105,'HARGA SATUAN'!$C$7:$C$1492,0),0))</f>
        <v>56838600</v>
      </c>
      <c r="H105" s="361">
        <f t="shared" ref="H105:H162" ca="1" si="36">IF(OR(D105="MDU",D105="MDU-KD"),(IF($O$3="RAB NON MDU","PLN KD",G105*F105)),0)</f>
        <v>56838600</v>
      </c>
      <c r="I105" s="361">
        <f t="shared" ref="I105:I162" ca="1" si="37">IF(D105="HDW",G105*F105,0)</f>
        <v>0</v>
      </c>
      <c r="J105" s="361">
        <f t="shared" ref="J105:J162" ca="1" si="38">IF(D105="JASA",G105*F105,0)</f>
        <v>0</v>
      </c>
      <c r="K105" s="362">
        <f t="shared" ref="K105:K162" ca="1" si="39">SUM(H105:J105)</f>
        <v>56838600</v>
      </c>
      <c r="L105" s="342"/>
      <c r="M105" s="342"/>
      <c r="N105" s="369"/>
      <c r="O105" s="344"/>
      <c r="P105" s="344"/>
      <c r="Q105" s="344"/>
      <c r="R105" s="344"/>
      <c r="S105" s="344"/>
      <c r="T105" s="399"/>
      <c r="U105" s="399"/>
      <c r="V105" s="399"/>
    </row>
    <row r="106" spans="1:22" s="365" customFormat="1">
      <c r="A106" s="336"/>
      <c r="B106" s="511">
        <v>2</v>
      </c>
      <c r="C106" s="512" t="s">
        <v>1622</v>
      </c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/>
      </c>
      <c r="F106" s="513"/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36"/>
        <v>0</v>
      </c>
      <c r="I106" s="361">
        <f t="shared" ca="1" si="37"/>
        <v>0</v>
      </c>
      <c r="J106" s="361">
        <f t="shared" ca="1" si="38"/>
        <v>0</v>
      </c>
      <c r="K106" s="362">
        <f t="shared" ca="1" si="39"/>
        <v>0</v>
      </c>
      <c r="L106" s="342"/>
      <c r="M106" s="342"/>
      <c r="N106" s="369"/>
      <c r="O106" s="344"/>
      <c r="P106" s="344"/>
      <c r="Q106" s="344"/>
      <c r="R106" s="344"/>
      <c r="S106" s="344"/>
      <c r="T106" s="399"/>
      <c r="U106" s="399"/>
      <c r="V106" s="399"/>
    </row>
    <row r="107" spans="1:22" s="365" customFormat="1">
      <c r="A107" s="336"/>
      <c r="B107" s="518"/>
      <c r="C107" s="512" t="s">
        <v>65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Mtr</v>
      </c>
      <c r="F107" s="484">
        <f>F104*(3*3)</f>
        <v>9</v>
      </c>
      <c r="G107" s="360">
        <f ca="1">IF(ISERROR(OFFSET('HARGA SATUAN'!$I$6,MATCH(RAB!C107,'HARGA SATUAN'!$C$7:$C$1492,0),0)),0,OFFSET('HARGA SATUAN'!$I$6,MATCH(RAB!C107,'HARGA SATUAN'!$C$7:$C$1492,0),0))</f>
        <v>14200</v>
      </c>
      <c r="H107" s="361">
        <f t="shared" ca="1" si="36"/>
        <v>127800</v>
      </c>
      <c r="I107" s="361">
        <f t="shared" ca="1" si="37"/>
        <v>0</v>
      </c>
      <c r="J107" s="361">
        <f t="shared" ca="1" si="38"/>
        <v>0</v>
      </c>
      <c r="K107" s="362">
        <f t="shared" ca="1" si="39"/>
        <v>127800</v>
      </c>
      <c r="L107" s="342"/>
      <c r="M107" s="342"/>
      <c r="N107" s="369"/>
      <c r="O107" s="344"/>
      <c r="P107" s="344"/>
      <c r="Q107" s="344"/>
      <c r="R107" s="344"/>
      <c r="S107" s="344"/>
      <c r="T107" s="403"/>
      <c r="U107" s="403"/>
      <c r="V107" s="403"/>
    </row>
    <row r="108" spans="1:22" s="365" customFormat="1">
      <c r="A108" s="336"/>
      <c r="B108" s="518"/>
      <c r="C108" s="109" t="s">
        <v>1402</v>
      </c>
      <c r="D108" s="358" t="str">
        <f ca="1">IF(ISERROR(OFFSET('HARGA SATUAN'!$D$6,MATCH(RAB!C108,'HARGA SATUAN'!$C$7:$C$1492,0),0)),"",OFFSET('HARGA SATUAN'!$D$6,MATCH(RAB!C108,'HARGA SATUAN'!$C$7:$C$1492,0),0))</f>
        <v>MDU-KD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484">
        <f>F104*3</f>
        <v>3</v>
      </c>
      <c r="G108" s="360">
        <f ca="1">IF(ISERROR(OFFSET('HARGA SATUAN'!$I$6,MATCH(RAB!C108,'HARGA SATUAN'!$C$7:$C$1492,0),0)),0,OFFSET('HARGA SATUAN'!$I$6,MATCH(RAB!C108,'HARGA SATUAN'!$C$7:$C$1492,0),0))</f>
        <v>53300</v>
      </c>
      <c r="H108" s="361">
        <f t="shared" ca="1" si="36"/>
        <v>159900</v>
      </c>
      <c r="I108" s="361">
        <f t="shared" ca="1" si="37"/>
        <v>0</v>
      </c>
      <c r="J108" s="361">
        <f t="shared" ca="1" si="38"/>
        <v>0</v>
      </c>
      <c r="K108" s="362">
        <f t="shared" ca="1" si="39"/>
        <v>159900</v>
      </c>
      <c r="L108" s="406" t="e">
        <f ca="1">PROPER([94]!terbilang(K168))</f>
        <v>#NAME?</v>
      </c>
      <c r="M108" s="406"/>
      <c r="N108" s="369"/>
      <c r="O108" s="344"/>
      <c r="P108" s="344"/>
      <c r="Q108" s="344"/>
    </row>
    <row r="109" spans="1:22">
      <c r="B109" s="518">
        <v>3</v>
      </c>
      <c r="C109" s="109" t="s">
        <v>559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84">
        <f>F104*3</f>
        <v>3</v>
      </c>
      <c r="G109" s="360">
        <f ca="1">IF(ISERROR(OFFSET('HARGA SATUAN'!$I$6,MATCH(RAB!C109,'HARGA SATUAN'!$C$7:$C$1492,0),0)),0,OFFSET('HARGA SATUAN'!$I$6,MATCH(RAB!C109,'HARGA SATUAN'!$C$7:$C$1492,0),0))</f>
        <v>725900</v>
      </c>
      <c r="H109" s="361">
        <f t="shared" ca="1" si="36"/>
        <v>2177700</v>
      </c>
      <c r="I109" s="361">
        <f t="shared" ca="1" si="37"/>
        <v>0</v>
      </c>
      <c r="J109" s="361">
        <f t="shared" ca="1" si="38"/>
        <v>0</v>
      </c>
      <c r="K109" s="362">
        <f t="shared" ca="1" si="39"/>
        <v>2177700</v>
      </c>
    </row>
    <row r="110" spans="1:22">
      <c r="B110" s="518">
        <v>4</v>
      </c>
      <c r="C110" s="519" t="s">
        <v>535</v>
      </c>
      <c r="D110" s="358" t="str">
        <f ca="1">IF(ISERROR(OFFSET('HARGA SATUAN'!$D$6,MATCH(RAB!C110,'HARGA SATUAN'!$C$7:$C$1492,0),0)),"",OFFSET('HARGA SATUAN'!$D$6,MATCH(RAB!C110,'HARGA SATUAN'!$C$7:$C$1492,0),0))</f>
        <v>MDU-KD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484">
        <f>F104*3</f>
        <v>3</v>
      </c>
      <c r="G110" s="360">
        <f ca="1">IF(ISERROR(OFFSET('HARGA SATUAN'!$I$6,MATCH(RAB!C110,'HARGA SATUAN'!$C$7:$C$1492,0),0)),0,OFFSET('HARGA SATUAN'!$I$6,MATCH(RAB!C110,'HARGA SATUAN'!$C$7:$C$1492,0),0))</f>
        <v>848250</v>
      </c>
      <c r="H110" s="361">
        <f t="shared" ca="1" si="36"/>
        <v>2544750</v>
      </c>
      <c r="I110" s="361">
        <f t="shared" ca="1" si="37"/>
        <v>0</v>
      </c>
      <c r="J110" s="361">
        <f t="shared" ca="1" si="38"/>
        <v>0</v>
      </c>
      <c r="K110" s="362">
        <f t="shared" ca="1" si="39"/>
        <v>2544750</v>
      </c>
    </row>
    <row r="111" spans="1:22">
      <c r="B111" s="518">
        <v>5</v>
      </c>
      <c r="C111" s="519" t="s">
        <v>55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484">
        <f>F104*3</f>
        <v>3</v>
      </c>
      <c r="G111" s="360">
        <f ca="1">IF(ISERROR(OFFSET('HARGA SATUAN'!$I$6,MATCH(RAB!C111,'HARGA SATUAN'!$C$7:$C$1492,0),0)),0,OFFSET('HARGA SATUAN'!$I$6,MATCH(RAB!C111,'HARGA SATUAN'!$C$7:$C$1492,0),0))</f>
        <v>18000</v>
      </c>
      <c r="H111" s="361">
        <f t="shared" ca="1" si="36"/>
        <v>0</v>
      </c>
      <c r="I111" s="361">
        <f t="shared" ca="1" si="37"/>
        <v>54000</v>
      </c>
      <c r="J111" s="361">
        <f t="shared" ca="1" si="38"/>
        <v>0</v>
      </c>
      <c r="K111" s="362">
        <f t="shared" ca="1" si="39"/>
        <v>54000</v>
      </c>
    </row>
    <row r="112" spans="1:22">
      <c r="B112" s="518">
        <v>6</v>
      </c>
      <c r="C112" s="109" t="s">
        <v>1578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484">
        <f>F104*13</f>
        <v>13</v>
      </c>
      <c r="G112" s="360">
        <f ca="1">IF(ISERROR(OFFSET('HARGA SATUAN'!$I$6,MATCH(RAB!C112,'HARGA SATUAN'!$C$7:$C$1492,0),0)),0,OFFSET('HARGA SATUAN'!$I$6,MATCH(RAB!C112,'HARGA SATUAN'!$C$7:$C$1492,0),0))</f>
        <v>73300</v>
      </c>
      <c r="H112" s="361">
        <f t="shared" ca="1" si="36"/>
        <v>0</v>
      </c>
      <c r="I112" s="361">
        <f t="shared" ca="1" si="37"/>
        <v>952900</v>
      </c>
      <c r="J112" s="361">
        <f t="shared" ca="1" si="38"/>
        <v>0</v>
      </c>
      <c r="K112" s="362">
        <f t="shared" ca="1" si="39"/>
        <v>952900</v>
      </c>
    </row>
    <row r="113" spans="2:11">
      <c r="B113" s="518">
        <v>7</v>
      </c>
      <c r="C113" s="519" t="s">
        <v>163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484">
        <f>F104*28</f>
        <v>28</v>
      </c>
      <c r="G113" s="360">
        <f ca="1">IF(ISERROR(OFFSET('HARGA SATUAN'!$I$6,MATCH(RAB!C113,'HARGA SATUAN'!$C$7:$C$1492,0),0)),0,OFFSET('HARGA SATUAN'!$I$6,MATCH(RAB!C113,'HARGA SATUAN'!$C$7:$C$1492,0),0))</f>
        <v>7938</v>
      </c>
      <c r="H113" s="361">
        <f t="shared" ca="1" si="36"/>
        <v>0</v>
      </c>
      <c r="I113" s="361">
        <f t="shared" ca="1" si="37"/>
        <v>222264</v>
      </c>
      <c r="J113" s="361">
        <f t="shared" ca="1" si="38"/>
        <v>0</v>
      </c>
      <c r="K113" s="362">
        <f t="shared" ca="1" si="39"/>
        <v>222264</v>
      </c>
    </row>
    <row r="114" spans="2:11">
      <c r="B114" s="518">
        <v>8</v>
      </c>
      <c r="C114" s="519" t="s">
        <v>176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484">
        <f>F104*2</f>
        <v>2</v>
      </c>
      <c r="G114" s="360">
        <f ca="1">IF(ISERROR(OFFSET('HARGA SATUAN'!$I$6,MATCH(RAB!C114,'HARGA SATUAN'!$C$7:$C$1492,0),0)),0,OFFSET('HARGA SATUAN'!$I$6,MATCH(RAB!C114,'HARGA SATUAN'!$C$7:$C$1492,0),0))</f>
        <v>404600</v>
      </c>
      <c r="H114" s="361">
        <f t="shared" ca="1" si="36"/>
        <v>0</v>
      </c>
      <c r="I114" s="361">
        <f t="shared" ca="1" si="37"/>
        <v>809200</v>
      </c>
      <c r="J114" s="361">
        <f t="shared" ca="1" si="38"/>
        <v>0</v>
      </c>
      <c r="K114" s="362">
        <f t="shared" ca="1" si="39"/>
        <v>809200</v>
      </c>
    </row>
    <row r="115" spans="2:11">
      <c r="B115" s="518">
        <v>9</v>
      </c>
      <c r="C115" s="519" t="s">
        <v>184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84">
        <f>F104*3</f>
        <v>3</v>
      </c>
      <c r="G115" s="360">
        <f ca="1">IF(ISERROR(OFFSET('HARGA SATUAN'!$I$6,MATCH(RAB!C115,'HARGA SATUAN'!$C$7:$C$1492,0),0)),0,OFFSET('HARGA SATUAN'!$I$6,MATCH(RAB!C115,'HARGA SATUAN'!$C$7:$C$1492,0),0))</f>
        <v>15900</v>
      </c>
      <c r="H115" s="361">
        <f t="shared" ca="1" si="36"/>
        <v>0</v>
      </c>
      <c r="I115" s="361">
        <f t="shared" ca="1" si="37"/>
        <v>47700</v>
      </c>
      <c r="J115" s="361">
        <f t="shared" ca="1" si="38"/>
        <v>0</v>
      </c>
      <c r="K115" s="362">
        <f t="shared" ca="1" si="39"/>
        <v>47700</v>
      </c>
    </row>
    <row r="116" spans="2:11">
      <c r="B116" s="518">
        <v>10</v>
      </c>
      <c r="C116" s="519" t="s">
        <v>593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84">
        <f>F104*5</f>
        <v>5</v>
      </c>
      <c r="G116" s="360">
        <f ca="1">IF(ISERROR(OFFSET('HARGA SATUAN'!$I$6,MATCH(RAB!C116,'HARGA SATUAN'!$C$7:$C$1492,0),0)),0,OFFSET('HARGA SATUAN'!$I$6,MATCH(RAB!C116,'HARGA SATUAN'!$C$7:$C$1492,0),0))</f>
        <v>380500</v>
      </c>
      <c r="H116" s="361">
        <f t="shared" ca="1" si="36"/>
        <v>0</v>
      </c>
      <c r="I116" s="361">
        <f t="shared" ca="1" si="37"/>
        <v>1902500</v>
      </c>
      <c r="J116" s="361">
        <f t="shared" ca="1" si="38"/>
        <v>0</v>
      </c>
      <c r="K116" s="362">
        <f t="shared" ca="1" si="39"/>
        <v>1902500</v>
      </c>
    </row>
    <row r="117" spans="2:11">
      <c r="B117" s="518">
        <v>11</v>
      </c>
      <c r="C117" s="519" t="s">
        <v>594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484">
        <f>F104*4</f>
        <v>4</v>
      </c>
      <c r="G117" s="360">
        <f ca="1">IF(ISERROR(OFFSET('HARGA SATUAN'!$I$6,MATCH(RAB!C117,'HARGA SATUAN'!$C$7:$C$1492,0),0)),0,OFFSET('HARGA SATUAN'!$I$6,MATCH(RAB!C117,'HARGA SATUAN'!$C$7:$C$1492,0),0))</f>
        <v>559200</v>
      </c>
      <c r="H117" s="361">
        <f t="shared" ca="1" si="36"/>
        <v>0</v>
      </c>
      <c r="I117" s="361">
        <f t="shared" ca="1" si="37"/>
        <v>2236800</v>
      </c>
      <c r="J117" s="361">
        <f t="shared" ca="1" si="38"/>
        <v>0</v>
      </c>
      <c r="K117" s="362">
        <f t="shared" ca="1" si="39"/>
        <v>2236800</v>
      </c>
    </row>
    <row r="118" spans="2:11">
      <c r="B118" s="518">
        <v>12</v>
      </c>
      <c r="C118" s="519" t="s">
        <v>208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84">
        <f>F104*3</f>
        <v>3</v>
      </c>
      <c r="G118" s="360">
        <f ca="1">IF(ISERROR(OFFSET('HARGA SATUAN'!$I$6,MATCH(RAB!C118,'HARGA SATUAN'!$C$7:$C$1492,0),0)),0,OFFSET('HARGA SATUAN'!$I$6,MATCH(RAB!C118,'HARGA SATUAN'!$C$7:$C$1492,0),0))</f>
        <v>173400</v>
      </c>
      <c r="H118" s="361">
        <f t="shared" ca="1" si="36"/>
        <v>0</v>
      </c>
      <c r="I118" s="361">
        <f t="shared" ca="1" si="37"/>
        <v>520200</v>
      </c>
      <c r="J118" s="361">
        <f t="shared" ca="1" si="38"/>
        <v>0</v>
      </c>
      <c r="K118" s="362">
        <f t="shared" ca="1" si="39"/>
        <v>520200</v>
      </c>
    </row>
    <row r="119" spans="2:11">
      <c r="B119" s="518">
        <v>13</v>
      </c>
      <c r="C119" s="519" t="s">
        <v>247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484">
        <f>F104*2</f>
        <v>2</v>
      </c>
      <c r="G119" s="360">
        <f ca="1">IF(ISERROR(OFFSET('HARGA SATUAN'!$I$6,MATCH(RAB!C119,'HARGA SATUAN'!$C$7:$C$1492,0),0)),0,OFFSET('HARGA SATUAN'!$I$6,MATCH(RAB!C119,'HARGA SATUAN'!$C$7:$C$1492,0),0))</f>
        <v>57690</v>
      </c>
      <c r="H119" s="361">
        <f t="shared" ca="1" si="36"/>
        <v>0</v>
      </c>
      <c r="I119" s="361">
        <f t="shared" ca="1" si="37"/>
        <v>115380</v>
      </c>
      <c r="J119" s="361">
        <f t="shared" ca="1" si="38"/>
        <v>0</v>
      </c>
      <c r="K119" s="362">
        <f t="shared" ca="1" si="39"/>
        <v>115380</v>
      </c>
    </row>
    <row r="120" spans="2:11">
      <c r="B120" s="518">
        <v>14</v>
      </c>
      <c r="C120" s="519" t="s">
        <v>248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484">
        <f>F104*2</f>
        <v>2</v>
      </c>
      <c r="G120" s="360">
        <f ca="1">IF(ISERROR(OFFSET('HARGA SATUAN'!$I$6,MATCH(RAB!C120,'HARGA SATUAN'!$C$7:$C$1492,0),0)),0,OFFSET('HARGA SATUAN'!$I$6,MATCH(RAB!C120,'HARGA SATUAN'!$C$7:$C$1492,0),0))</f>
        <v>60300</v>
      </c>
      <c r="H120" s="361">
        <f t="shared" ca="1" si="36"/>
        <v>0</v>
      </c>
      <c r="I120" s="361">
        <f t="shared" ca="1" si="37"/>
        <v>120600</v>
      </c>
      <c r="J120" s="361">
        <f t="shared" ca="1" si="38"/>
        <v>0</v>
      </c>
      <c r="K120" s="362">
        <f t="shared" ca="1" si="39"/>
        <v>120600</v>
      </c>
    </row>
    <row r="121" spans="2:11">
      <c r="B121" s="518">
        <v>15</v>
      </c>
      <c r="C121" s="519" t="s">
        <v>267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484">
        <f>F104*4</f>
        <v>4</v>
      </c>
      <c r="G121" s="360">
        <f ca="1">IF(ISERROR(OFFSET('HARGA SATUAN'!$I$6,MATCH(RAB!C121,'HARGA SATUAN'!$C$7:$C$1492,0),0)),0,OFFSET('HARGA SATUAN'!$I$6,MATCH(RAB!C121,'HARGA SATUAN'!$C$7:$C$1492,0),0))</f>
        <v>129000</v>
      </c>
      <c r="H121" s="361">
        <f t="shared" ca="1" si="36"/>
        <v>0</v>
      </c>
      <c r="I121" s="361">
        <f t="shared" ca="1" si="37"/>
        <v>516000</v>
      </c>
      <c r="J121" s="361">
        <f t="shared" ca="1" si="38"/>
        <v>0</v>
      </c>
      <c r="K121" s="362">
        <f t="shared" ca="1" si="39"/>
        <v>516000</v>
      </c>
    </row>
    <row r="122" spans="2:11">
      <c r="B122" s="518">
        <v>16</v>
      </c>
      <c r="C122" s="519" t="s">
        <v>786</v>
      </c>
      <c r="D122" s="358" t="str">
        <f ca="1">IF(ISERROR(OFFSET('HARGA SATUAN'!$D$6,MATCH(RAB!C122,'HARGA SATUAN'!$C$7:$C$1492,0),0)),"",OFFSET('HARGA SATUAN'!$D$6,MATCH(RAB!C122,'HARGA SATUAN'!$C$7:$C$1492,0),0))</f>
        <v>JASA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484">
        <f>F104*1</f>
        <v>1</v>
      </c>
      <c r="G122" s="360">
        <f ca="1">IF(ISERROR(OFFSET('HARGA SATUAN'!$I$6,MATCH(RAB!C122,'HARGA SATUAN'!$C$7:$C$1492,0),0)),0,OFFSET('HARGA SATUAN'!$I$6,MATCH(RAB!C122,'HARGA SATUAN'!$C$7:$C$1492,0),0))</f>
        <v>3686500</v>
      </c>
      <c r="H122" s="361">
        <f t="shared" ca="1" si="36"/>
        <v>0</v>
      </c>
      <c r="I122" s="361">
        <f t="shared" ca="1" si="37"/>
        <v>0</v>
      </c>
      <c r="J122" s="361">
        <f t="shared" ca="1" si="38"/>
        <v>3686500</v>
      </c>
      <c r="K122" s="362">
        <f t="shared" ca="1" si="39"/>
        <v>3686500</v>
      </c>
    </row>
    <row r="123" spans="2:11">
      <c r="B123" s="504"/>
      <c r="C123" s="109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484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36"/>
        <v>0</v>
      </c>
      <c r="I123" s="361">
        <f t="shared" ca="1" si="37"/>
        <v>0</v>
      </c>
      <c r="J123" s="361">
        <f t="shared" ca="1" si="38"/>
        <v>0</v>
      </c>
      <c r="K123" s="362">
        <f t="shared" ca="1" si="39"/>
        <v>0</v>
      </c>
    </row>
    <row r="124" spans="2:11">
      <c r="B124" s="511" t="s">
        <v>1035</v>
      </c>
      <c r="C124" s="514" t="s">
        <v>1623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484">
        <v>2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ca="1" si="36"/>
        <v>0</v>
      </c>
      <c r="I124" s="361">
        <f t="shared" ca="1" si="37"/>
        <v>0</v>
      </c>
      <c r="J124" s="361">
        <f t="shared" ca="1" si="38"/>
        <v>0</v>
      </c>
      <c r="K124" s="362">
        <f t="shared" ca="1" si="39"/>
        <v>0</v>
      </c>
    </row>
    <row r="125" spans="2:11">
      <c r="B125" s="511">
        <v>1</v>
      </c>
      <c r="C125" s="509" t="s">
        <v>29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84">
        <f>F124*1</f>
        <v>2</v>
      </c>
      <c r="G125" s="360">
        <f ca="1">IF(ISERROR(OFFSET('HARGA SATUAN'!$I$6,MATCH(RAB!C125,'HARGA SATUAN'!$C$7:$C$1492,0),0)),0,OFFSET('HARGA SATUAN'!$I$6,MATCH(RAB!C125,'HARGA SATUAN'!$C$7:$C$1492,0),0))</f>
        <v>185200</v>
      </c>
      <c r="H125" s="361">
        <f t="shared" ca="1" si="36"/>
        <v>0</v>
      </c>
      <c r="I125" s="361">
        <f t="shared" ca="1" si="37"/>
        <v>370400</v>
      </c>
      <c r="J125" s="361">
        <f t="shared" ca="1" si="38"/>
        <v>0</v>
      </c>
      <c r="K125" s="362">
        <f t="shared" ca="1" si="39"/>
        <v>370400</v>
      </c>
    </row>
    <row r="126" spans="2:11">
      <c r="B126" s="507">
        <v>2</v>
      </c>
      <c r="C126" s="508" t="s">
        <v>30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484">
        <f>F124*1</f>
        <v>2</v>
      </c>
      <c r="G126" s="360">
        <f ca="1">IF(ISERROR(OFFSET('HARGA SATUAN'!$I$6,MATCH(RAB!C126,'HARGA SATUAN'!$C$7:$C$1492,0),0)),0,OFFSET('HARGA SATUAN'!$I$6,MATCH(RAB!C126,'HARGA SATUAN'!$C$7:$C$1492,0),0))</f>
        <v>47459</v>
      </c>
      <c r="H126" s="361">
        <f t="shared" ca="1" si="36"/>
        <v>0</v>
      </c>
      <c r="I126" s="361">
        <f t="shared" ca="1" si="37"/>
        <v>94918</v>
      </c>
      <c r="J126" s="361">
        <f t="shared" ca="1" si="38"/>
        <v>0</v>
      </c>
      <c r="K126" s="362">
        <f t="shared" ca="1" si="39"/>
        <v>94918</v>
      </c>
    </row>
    <row r="127" spans="2:11">
      <c r="B127" s="507">
        <v>3</v>
      </c>
      <c r="C127" s="508" t="s">
        <v>31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484">
        <f>F124*1</f>
        <v>2</v>
      </c>
      <c r="G127" s="360">
        <f ca="1">IF(ISERROR(OFFSET('HARGA SATUAN'!$I$6,MATCH(RAB!C127,'HARGA SATUAN'!$C$7:$C$1492,0),0)),0,OFFSET('HARGA SATUAN'!$I$6,MATCH(RAB!C127,'HARGA SATUAN'!$C$7:$C$1492,0),0))</f>
        <v>4880</v>
      </c>
      <c r="H127" s="361">
        <f t="shared" ca="1" si="36"/>
        <v>0</v>
      </c>
      <c r="I127" s="361">
        <f t="shared" ca="1" si="37"/>
        <v>9760</v>
      </c>
      <c r="J127" s="361">
        <f t="shared" ca="1" si="38"/>
        <v>0</v>
      </c>
      <c r="K127" s="362">
        <f t="shared" ca="1" si="39"/>
        <v>9760</v>
      </c>
    </row>
    <row r="128" spans="2:11">
      <c r="B128" s="507">
        <v>4</v>
      </c>
      <c r="C128" s="508" t="s">
        <v>32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Mtr</v>
      </c>
      <c r="F128" s="484">
        <f>F124*10</f>
        <v>20</v>
      </c>
      <c r="G128" s="360">
        <f ca="1">IF(ISERROR(OFFSET('HARGA SATUAN'!$I$6,MATCH(RAB!C128,'HARGA SATUAN'!$C$7:$C$1492,0),0)),0,OFFSET('HARGA SATUAN'!$I$6,MATCH(RAB!C128,'HARGA SATUAN'!$C$7:$C$1492,0),0))</f>
        <v>30000</v>
      </c>
      <c r="H128" s="361">
        <f t="shared" ca="1" si="36"/>
        <v>0</v>
      </c>
      <c r="I128" s="361">
        <f t="shared" ca="1" si="37"/>
        <v>600000</v>
      </c>
      <c r="J128" s="361">
        <f t="shared" ca="1" si="38"/>
        <v>0</v>
      </c>
      <c r="K128" s="362">
        <f t="shared" ca="1" si="39"/>
        <v>600000</v>
      </c>
    </row>
    <row r="129" spans="2:11">
      <c r="B129" s="507">
        <v>5</v>
      </c>
      <c r="C129" s="508" t="s">
        <v>33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484">
        <f>F124*2</f>
        <v>4</v>
      </c>
      <c r="G129" s="360">
        <f ca="1">IF(ISERROR(OFFSET('HARGA SATUAN'!$I$6,MATCH(RAB!C129,'HARGA SATUAN'!$C$7:$C$1492,0),0)),0,OFFSET('HARGA SATUAN'!$I$6,MATCH(RAB!C129,'HARGA SATUAN'!$C$7:$C$1492,0),0))</f>
        <v>9500</v>
      </c>
      <c r="H129" s="361">
        <f t="shared" ca="1" si="36"/>
        <v>0</v>
      </c>
      <c r="I129" s="361">
        <f t="shared" ca="1" si="37"/>
        <v>38000</v>
      </c>
      <c r="J129" s="361">
        <f t="shared" ca="1" si="38"/>
        <v>0</v>
      </c>
      <c r="K129" s="362">
        <f t="shared" ca="1" si="39"/>
        <v>38000</v>
      </c>
    </row>
    <row r="130" spans="2:11">
      <c r="B130" s="507">
        <v>6</v>
      </c>
      <c r="C130" s="508" t="s">
        <v>34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484">
        <f>F124*5.5</f>
        <v>11</v>
      </c>
      <c r="G130" s="360">
        <f ca="1">IF(ISERROR(OFFSET('HARGA SATUAN'!$I$6,MATCH(RAB!C130,'HARGA SATUAN'!$C$7:$C$1492,0),0)),0,OFFSET('HARGA SATUAN'!$I$6,MATCH(RAB!C130,'HARGA SATUAN'!$C$7:$C$1492,0),0))</f>
        <v>6100</v>
      </c>
      <c r="H130" s="361">
        <f t="shared" ca="1" si="36"/>
        <v>0</v>
      </c>
      <c r="I130" s="361">
        <f t="shared" ca="1" si="37"/>
        <v>67100</v>
      </c>
      <c r="J130" s="361">
        <f t="shared" ca="1" si="38"/>
        <v>0</v>
      </c>
      <c r="K130" s="362">
        <f t="shared" ca="1" si="39"/>
        <v>67100</v>
      </c>
    </row>
    <row r="131" spans="2:11">
      <c r="B131" s="507">
        <v>7</v>
      </c>
      <c r="C131" s="508" t="s">
        <v>35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484">
        <f>F124*6</f>
        <v>12</v>
      </c>
      <c r="G131" s="360">
        <f ca="1">IF(ISERROR(OFFSET('HARGA SATUAN'!$I$6,MATCH(RAB!C131,'HARGA SATUAN'!$C$7:$C$1492,0),0)),0,OFFSET('HARGA SATUAN'!$I$6,MATCH(RAB!C131,'HARGA SATUAN'!$C$7:$C$1492,0),0))</f>
        <v>2300</v>
      </c>
      <c r="H131" s="361">
        <f t="shared" ca="1" si="36"/>
        <v>0</v>
      </c>
      <c r="I131" s="361">
        <f t="shared" ca="1" si="37"/>
        <v>27600</v>
      </c>
      <c r="J131" s="361">
        <f t="shared" ca="1" si="38"/>
        <v>0</v>
      </c>
      <c r="K131" s="362">
        <f t="shared" ca="1" si="39"/>
        <v>27600</v>
      </c>
    </row>
    <row r="132" spans="2:11">
      <c r="B132" s="507">
        <v>8</v>
      </c>
      <c r="C132" s="508" t="s">
        <v>1624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Mtr</v>
      </c>
      <c r="F132" s="484">
        <f>F124*4.8</f>
        <v>9.6</v>
      </c>
      <c r="G132" s="360">
        <f ca="1">IF(ISERROR(OFFSET('HARGA SATUAN'!$I$6,MATCH(RAB!C132,'HARGA SATUAN'!$C$7:$C$1492,0),0)),0,OFFSET('HARGA SATUAN'!$I$6,MATCH(RAB!C132,'HARGA SATUAN'!$C$7:$C$1492,0),0))</f>
        <v>23310</v>
      </c>
      <c r="H132" s="361">
        <f t="shared" ca="1" si="36"/>
        <v>0</v>
      </c>
      <c r="I132" s="361">
        <f t="shared" ca="1" si="37"/>
        <v>223776</v>
      </c>
      <c r="J132" s="361">
        <f t="shared" ca="1" si="38"/>
        <v>0</v>
      </c>
      <c r="K132" s="362">
        <f t="shared" ca="1" si="39"/>
        <v>223776</v>
      </c>
    </row>
    <row r="133" spans="2:11">
      <c r="B133" s="507">
        <v>9</v>
      </c>
      <c r="C133" s="508" t="s">
        <v>736</v>
      </c>
      <c r="D133" s="358" t="str">
        <f ca="1">IF(ISERROR(OFFSET('HARGA SATUAN'!$D$6,MATCH(RAB!C133,'HARGA SATUAN'!$C$7:$C$1492,0),0)),"",OFFSET('HARGA SATUAN'!$D$6,MATCH(RAB!C133,'HARGA SATUAN'!$C$7:$C$1492,0),0))</f>
        <v>JASA</v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484">
        <f>F124*1</f>
        <v>2</v>
      </c>
      <c r="G133" s="360">
        <f ca="1">IF(ISERROR(OFFSET('HARGA SATUAN'!$I$6,MATCH(RAB!C133,'HARGA SATUAN'!$C$7:$C$1492,0),0)),0,OFFSET('HARGA SATUAN'!$I$6,MATCH(RAB!C133,'HARGA SATUAN'!$C$7:$C$1492,0),0))</f>
        <v>65400</v>
      </c>
      <c r="H133" s="361">
        <f t="shared" ca="1" si="36"/>
        <v>0</v>
      </c>
      <c r="I133" s="361">
        <f t="shared" ca="1" si="37"/>
        <v>0</v>
      </c>
      <c r="J133" s="361">
        <f t="shared" ca="1" si="38"/>
        <v>130800</v>
      </c>
      <c r="K133" s="362">
        <f t="shared" ca="1" si="39"/>
        <v>130800</v>
      </c>
    </row>
    <row r="134" spans="2:11">
      <c r="B134" s="507"/>
      <c r="C134" s="508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484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ref="H134:H161" ca="1" si="40">IF(OR(D134="MDU",D134="MDU-KD"),(IF($O$3="RAB NON MDU","PLN KD",G134*F134)),0)</f>
        <v>0</v>
      </c>
      <c r="I134" s="361">
        <f t="shared" ref="I134:I161" ca="1" si="41">IF(D134="HDW",G134*F134,0)</f>
        <v>0</v>
      </c>
      <c r="J134" s="361">
        <f t="shared" ref="J134:J161" ca="1" si="42">IF(D134="JASA",G134*F134,0)</f>
        <v>0</v>
      </c>
      <c r="K134" s="362">
        <f t="shared" ref="K134:K161" ca="1" si="43">SUM(H134:J134)</f>
        <v>0</v>
      </c>
    </row>
    <row r="135" spans="2:11">
      <c r="B135" s="373" t="s">
        <v>1550</v>
      </c>
      <c r="C135" s="374" t="s">
        <v>1457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/>
      </c>
      <c r="F135" s="484"/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40"/>
        <v>0</v>
      </c>
      <c r="I135" s="361">
        <f t="shared" ca="1" si="41"/>
        <v>0</v>
      </c>
      <c r="J135" s="361">
        <f t="shared" ca="1" si="42"/>
        <v>0</v>
      </c>
      <c r="K135" s="362">
        <f t="shared" ca="1" si="43"/>
        <v>0</v>
      </c>
    </row>
    <row r="136" spans="2:11">
      <c r="B136" s="507"/>
      <c r="C136" s="508"/>
      <c r="D136" s="358" t="str">
        <f ca="1">IF(ISERROR(OFFSET('HARGA SATUAN'!$D$6,MATCH(RAB!C136,'HARGA SATUAN'!$C$7:$C$1492,0),0)),"",OFFSET('HARGA SATUAN'!$D$6,MATCH(RAB!C136,'HARGA SATUAN'!$C$7:$C$1492,0),0))</f>
        <v/>
      </c>
      <c r="E136" s="359" t="str">
        <f ca="1">IF(B136="+","Unit",IF(ISERROR(OFFSET('HARGA SATUAN'!$E$6,MATCH(RAB!C136,'HARGA SATUAN'!$C$7:$C$1492,0),0)),"",OFFSET('HARGA SATUAN'!$E$6,MATCH(RAB!C136,'HARGA SATUAN'!$C$7:$C$1492,0),0)))</f>
        <v/>
      </c>
      <c r="F136" s="484"/>
      <c r="G136" s="360">
        <f ca="1">IF(ISERROR(OFFSET('HARGA SATUAN'!$I$6,MATCH(RAB!C136,'HARGA SATUAN'!$C$7:$C$1492,0),0)),0,OFFSET('HARGA SATUAN'!$I$6,MATCH(RAB!C136,'HARGA SATUAN'!$C$7:$C$1492,0),0))</f>
        <v>0</v>
      </c>
      <c r="H136" s="361">
        <f t="shared" ca="1" si="40"/>
        <v>0</v>
      </c>
      <c r="I136" s="361">
        <f t="shared" ca="1" si="41"/>
        <v>0</v>
      </c>
      <c r="J136" s="361">
        <f t="shared" ca="1" si="42"/>
        <v>0</v>
      </c>
      <c r="K136" s="362">
        <f t="shared" ca="1" si="43"/>
        <v>0</v>
      </c>
    </row>
    <row r="137" spans="2:11">
      <c r="B137" s="499" t="s">
        <v>1035</v>
      </c>
      <c r="C137" s="500" t="s">
        <v>1645</v>
      </c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>Unit</v>
      </c>
      <c r="F137" s="506">
        <v>1</v>
      </c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ca="1" si="40"/>
        <v>0</v>
      </c>
      <c r="I137" s="361">
        <f t="shared" ca="1" si="41"/>
        <v>0</v>
      </c>
      <c r="J137" s="361">
        <f t="shared" ca="1" si="42"/>
        <v>0</v>
      </c>
      <c r="K137" s="362">
        <f t="shared" ca="1" si="43"/>
        <v>0</v>
      </c>
    </row>
    <row r="138" spans="2:11" ht="30">
      <c r="B138" s="527">
        <v>1</v>
      </c>
      <c r="C138" s="109" t="s">
        <v>1196</v>
      </c>
      <c r="D138" s="358" t="str">
        <f ca="1">IF(ISERROR(OFFSET('HARGA SATUAN'!$D$6,MATCH(RAB!C138,'HARGA SATUAN'!$C$7:$C$1492,0),0)),"",OFFSET('HARGA SATUAN'!$D$6,MATCH(RAB!C138,'HARGA SATUAN'!$C$7:$C$1492,0),0))</f>
        <v>MDU-KD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06">
        <f>F137*1</f>
        <v>1</v>
      </c>
      <c r="G138" s="360">
        <f ca="1">IF(ISERROR(OFFSET('HARGA SATUAN'!$I$6,MATCH(RAB!C138,'HARGA SATUAN'!$C$7:$C$1492,0),0)),0,OFFSET('HARGA SATUAN'!$I$6,MATCH(RAB!C138,'HARGA SATUAN'!$C$7:$C$1492,0),0))</f>
        <v>1504200</v>
      </c>
      <c r="H138" s="361">
        <f t="shared" ca="1" si="40"/>
        <v>1504200</v>
      </c>
      <c r="I138" s="361">
        <f t="shared" ca="1" si="41"/>
        <v>0</v>
      </c>
      <c r="J138" s="361">
        <f t="shared" ca="1" si="42"/>
        <v>0</v>
      </c>
      <c r="K138" s="362">
        <f t="shared" ca="1" si="43"/>
        <v>1504200</v>
      </c>
    </row>
    <row r="139" spans="2:11">
      <c r="B139" s="527">
        <v>2</v>
      </c>
      <c r="C139" s="528" t="s">
        <v>518</v>
      </c>
      <c r="D139" s="358" t="str">
        <f ca="1">IF(ISERROR(OFFSET('HARGA SATUAN'!$D$6,MATCH(RAB!C139,'HARGA SATUAN'!$C$7:$C$1492,0),0)),"",OFFSET('HARGA SATUAN'!$D$6,MATCH(RAB!C139,'HARGA SATUAN'!$C$7:$C$1492,0),0))</f>
        <v>MDU-KD</v>
      </c>
      <c r="E139" s="359" t="str">
        <f ca="1">IF(B139="+","Unit",IF(ISERROR(OFFSET('HARGA SATUAN'!$E$6,MATCH(RAB!C139,'HARGA SATUAN'!$C$7:$C$1492,0),0)),"",OFFSET('HARGA SATUAN'!$E$6,MATCH(RAB!C139,'HARGA SATUAN'!$C$7:$C$1492,0),0)))</f>
        <v>Unit</v>
      </c>
      <c r="F139" s="506">
        <f>F137*1</f>
        <v>1</v>
      </c>
      <c r="G139" s="360">
        <f ca="1">IF(ISERROR(OFFSET('HARGA SATUAN'!$I$6,MATCH(RAB!C139,'HARGA SATUAN'!$C$7:$C$1492,0),0)),0,OFFSET('HARGA SATUAN'!$I$6,MATCH(RAB!C139,'HARGA SATUAN'!$C$7:$C$1492,0),0))</f>
        <v>14217900</v>
      </c>
      <c r="H139" s="361">
        <f t="shared" ca="1" si="40"/>
        <v>14217900</v>
      </c>
      <c r="I139" s="361">
        <f t="shared" ca="1" si="41"/>
        <v>0</v>
      </c>
      <c r="J139" s="361">
        <f t="shared" ca="1" si="42"/>
        <v>0</v>
      </c>
      <c r="K139" s="362">
        <f t="shared" ca="1" si="43"/>
        <v>14217900</v>
      </c>
    </row>
    <row r="140" spans="2:11">
      <c r="B140" s="527">
        <v>3</v>
      </c>
      <c r="C140" s="528" t="s">
        <v>1142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506">
        <f>F137*1</f>
        <v>1</v>
      </c>
      <c r="G140" s="360">
        <f ca="1">IF(ISERROR(OFFSET('HARGA SATUAN'!$I$6,MATCH(RAB!C140,'HARGA SATUAN'!$C$7:$C$1492,0),0)),0,OFFSET('HARGA SATUAN'!$I$6,MATCH(RAB!C140,'HARGA SATUAN'!$C$7:$C$1492,0),0))</f>
        <v>1113900</v>
      </c>
      <c r="H140" s="361">
        <f t="shared" ca="1" si="40"/>
        <v>0</v>
      </c>
      <c r="I140" s="361">
        <f t="shared" ca="1" si="41"/>
        <v>1113900</v>
      </c>
      <c r="J140" s="361">
        <f t="shared" ca="1" si="42"/>
        <v>0</v>
      </c>
      <c r="K140" s="362">
        <f t="shared" ca="1" si="43"/>
        <v>1113900</v>
      </c>
    </row>
    <row r="141" spans="2:11">
      <c r="B141" s="527">
        <v>4</v>
      </c>
      <c r="C141" s="109" t="s">
        <v>80</v>
      </c>
      <c r="D141" s="358" t="str">
        <f ca="1">IF(ISERROR(OFFSET('HARGA SATUAN'!$D$6,MATCH(RAB!C141,'HARGA SATUAN'!$C$7:$C$1492,0),0)),"",OFFSET('HARGA SATUAN'!$D$6,MATCH(RAB!C141,'HARGA SATUAN'!$C$7:$C$1492,0),0))</f>
        <v>MDU-KD</v>
      </c>
      <c r="E141" s="359" t="str">
        <f ca="1">IF(B141="+","Unit",IF(ISERROR(OFFSET('HARGA SATUAN'!$E$6,MATCH(RAB!C141,'HARGA SATUAN'!$C$7:$C$1492,0),0)),"",OFFSET('HARGA SATUAN'!$E$6,MATCH(RAB!C141,'HARGA SATUAN'!$C$7:$C$1492,0),0)))</f>
        <v>Mtr</v>
      </c>
      <c r="F141" s="506">
        <v>44</v>
      </c>
      <c r="G141" s="360">
        <f ca="1">IF(ISERROR(OFFSET('HARGA SATUAN'!$I$6,MATCH(RAB!C141,'HARGA SATUAN'!$C$7:$C$1492,0),0)),0,OFFSET('HARGA SATUAN'!$I$6,MATCH(RAB!C141,'HARGA SATUAN'!$C$7:$C$1492,0),0))</f>
        <v>94700</v>
      </c>
      <c r="H141" s="361">
        <f t="shared" ca="1" si="40"/>
        <v>4166800</v>
      </c>
      <c r="I141" s="361">
        <f t="shared" ca="1" si="41"/>
        <v>0</v>
      </c>
      <c r="J141" s="361">
        <f t="shared" ca="1" si="42"/>
        <v>0</v>
      </c>
      <c r="K141" s="362">
        <f t="shared" ca="1" si="43"/>
        <v>4166800</v>
      </c>
    </row>
    <row r="142" spans="2:11">
      <c r="B142" s="527">
        <v>5</v>
      </c>
      <c r="C142" s="528" t="s">
        <v>799</v>
      </c>
      <c r="D142" s="358" t="str">
        <f ca="1">IF(ISERROR(OFFSET('HARGA SATUAN'!$D$6,MATCH(RAB!C142,'HARGA SATUAN'!$C$7:$C$1492,0),0)),"",OFFSET('HARGA SATUAN'!$D$6,MATCH(RAB!C142,'HARGA SATUAN'!$C$7:$C$1492,0),0))</f>
        <v>JASA</v>
      </c>
      <c r="E142" s="359" t="str">
        <f ca="1">IF(B142="+","Unit",IF(ISERROR(OFFSET('HARGA SATUAN'!$E$6,MATCH(RAB!C142,'HARGA SATUAN'!$C$7:$C$1492,0),0)),"",OFFSET('HARGA SATUAN'!$E$6,MATCH(RAB!C142,'HARGA SATUAN'!$C$7:$C$1492,0),0)))</f>
        <v>Unit</v>
      </c>
      <c r="F142" s="506">
        <f>F137*1</f>
        <v>1</v>
      </c>
      <c r="G142" s="360">
        <f ca="1">IF(ISERROR(OFFSET('HARGA SATUAN'!$I$6,MATCH(RAB!C142,'HARGA SATUAN'!$C$7:$C$1492,0),0)),0,OFFSET('HARGA SATUAN'!$I$6,MATCH(RAB!C142,'HARGA SATUAN'!$C$7:$C$1492,0),0))</f>
        <v>106400</v>
      </c>
      <c r="H142" s="361">
        <f t="shared" ca="1" si="40"/>
        <v>0</v>
      </c>
      <c r="I142" s="361">
        <f t="shared" ca="1" si="41"/>
        <v>0</v>
      </c>
      <c r="J142" s="361">
        <f t="shared" ca="1" si="42"/>
        <v>106400</v>
      </c>
      <c r="K142" s="362">
        <f t="shared" ca="1" si="43"/>
        <v>106400</v>
      </c>
    </row>
    <row r="143" spans="2:11">
      <c r="B143" s="507"/>
      <c r="C143" s="508"/>
      <c r="D143" s="358" t="str">
        <f ca="1">IF(ISERROR(OFFSET('HARGA SATUAN'!$D$6,MATCH(RAB!C143,'HARGA SATUAN'!$C$7:$C$1492,0),0)),"",OFFSET('HARGA SATUAN'!$D$6,MATCH(RAB!C143,'HARGA SATUAN'!$C$7:$C$1492,0),0))</f>
        <v/>
      </c>
      <c r="E143" s="359" t="str">
        <f ca="1">IF(B143="+","Unit",IF(ISERROR(OFFSET('HARGA SATUAN'!$E$6,MATCH(RAB!C143,'HARGA SATUAN'!$C$7:$C$1492,0),0)),"",OFFSET('HARGA SATUAN'!$E$6,MATCH(RAB!C143,'HARGA SATUAN'!$C$7:$C$1492,0),0)))</f>
        <v/>
      </c>
      <c r="F143" s="484"/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ca="1" si="40"/>
        <v>0</v>
      </c>
      <c r="I143" s="361">
        <f t="shared" ca="1" si="41"/>
        <v>0</v>
      </c>
      <c r="J143" s="361">
        <f t="shared" ca="1" si="42"/>
        <v>0</v>
      </c>
      <c r="K143" s="362">
        <f t="shared" ca="1" si="43"/>
        <v>0</v>
      </c>
    </row>
    <row r="144" spans="2:11">
      <c r="B144" s="507" t="s">
        <v>1035</v>
      </c>
      <c r="C144" s="515" t="s">
        <v>1625</v>
      </c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>Unit</v>
      </c>
      <c r="F144" s="506">
        <v>1</v>
      </c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40"/>
        <v>0</v>
      </c>
      <c r="I144" s="361">
        <f t="shared" ca="1" si="41"/>
        <v>0</v>
      </c>
      <c r="J144" s="361">
        <f t="shared" ca="1" si="42"/>
        <v>0</v>
      </c>
      <c r="K144" s="362">
        <f t="shared" ca="1" si="43"/>
        <v>0</v>
      </c>
    </row>
    <row r="145" spans="2:11">
      <c r="B145" s="507">
        <v>1</v>
      </c>
      <c r="C145" s="515" t="s">
        <v>163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06">
        <f>F144*4</f>
        <v>4</v>
      </c>
      <c r="G145" s="360">
        <f ca="1">IF(ISERROR(OFFSET('HARGA SATUAN'!$I$6,MATCH(RAB!C145,'HARGA SATUAN'!$C$7:$C$1492,0),0)),0,OFFSET('HARGA SATUAN'!$I$6,MATCH(RAB!C145,'HARGA SATUAN'!$C$7:$C$1492,0),0))</f>
        <v>7938</v>
      </c>
      <c r="H145" s="361">
        <f t="shared" ca="1" si="40"/>
        <v>0</v>
      </c>
      <c r="I145" s="361">
        <f t="shared" ca="1" si="41"/>
        <v>31752</v>
      </c>
      <c r="J145" s="361">
        <f t="shared" ca="1" si="42"/>
        <v>0</v>
      </c>
      <c r="K145" s="362">
        <f t="shared" ca="1" si="43"/>
        <v>31752</v>
      </c>
    </row>
    <row r="146" spans="2:11">
      <c r="B146" s="507">
        <v>2</v>
      </c>
      <c r="C146" s="515" t="s">
        <v>593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06">
        <f>F144*1</f>
        <v>1</v>
      </c>
      <c r="G146" s="360">
        <f ca="1">IF(ISERROR(OFFSET('HARGA SATUAN'!$I$6,MATCH(RAB!C146,'HARGA SATUAN'!$C$7:$C$1492,0),0)),0,OFFSET('HARGA SATUAN'!$I$6,MATCH(RAB!C146,'HARGA SATUAN'!$C$7:$C$1492,0),0))</f>
        <v>380500</v>
      </c>
      <c r="H146" s="361">
        <f t="shared" ca="1" si="40"/>
        <v>0</v>
      </c>
      <c r="I146" s="361">
        <f t="shared" ca="1" si="41"/>
        <v>380500</v>
      </c>
      <c r="J146" s="361">
        <f t="shared" ca="1" si="42"/>
        <v>0</v>
      </c>
      <c r="K146" s="362">
        <f t="shared" ca="1" si="43"/>
        <v>380500</v>
      </c>
    </row>
    <row r="147" spans="2:11">
      <c r="B147" s="507">
        <v>3</v>
      </c>
      <c r="C147" s="515" t="s">
        <v>248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Bh</v>
      </c>
      <c r="F147" s="506">
        <f>F144*2</f>
        <v>2</v>
      </c>
      <c r="G147" s="360">
        <f ca="1">IF(ISERROR(OFFSET('HARGA SATUAN'!$I$6,MATCH(RAB!C147,'HARGA SATUAN'!$C$7:$C$1492,0),0)),0,OFFSET('HARGA SATUAN'!$I$6,MATCH(RAB!C147,'HARGA SATUAN'!$C$7:$C$1492,0),0))</f>
        <v>60300</v>
      </c>
      <c r="H147" s="361">
        <f t="shared" ca="1" si="40"/>
        <v>0</v>
      </c>
      <c r="I147" s="361">
        <f t="shared" ca="1" si="41"/>
        <v>120600</v>
      </c>
      <c r="J147" s="361">
        <f t="shared" ca="1" si="42"/>
        <v>0</v>
      </c>
      <c r="K147" s="362">
        <f t="shared" ca="1" si="43"/>
        <v>120600</v>
      </c>
    </row>
    <row r="148" spans="2:11">
      <c r="B148" s="507">
        <v>4</v>
      </c>
      <c r="C148" s="508" t="s">
        <v>595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Bh</v>
      </c>
      <c r="F148" s="484">
        <f>F144*1</f>
        <v>1</v>
      </c>
      <c r="G148" s="360">
        <f ca="1">IF(ISERROR(OFFSET('HARGA SATUAN'!$I$6,MATCH(RAB!C148,'HARGA SATUAN'!$C$7:$C$1492,0),0)),0,OFFSET('HARGA SATUAN'!$I$6,MATCH(RAB!C148,'HARGA SATUAN'!$C$7:$C$1492,0),0))</f>
        <v>78500</v>
      </c>
      <c r="H148" s="361">
        <f t="shared" ca="1" si="40"/>
        <v>0</v>
      </c>
      <c r="I148" s="361">
        <f t="shared" ca="1" si="41"/>
        <v>78500</v>
      </c>
      <c r="J148" s="361">
        <f t="shared" ca="1" si="42"/>
        <v>0</v>
      </c>
      <c r="K148" s="362">
        <f t="shared" ca="1" si="43"/>
        <v>78500</v>
      </c>
    </row>
    <row r="149" spans="2:11">
      <c r="B149" s="507">
        <v>5</v>
      </c>
      <c r="C149" s="508" t="s">
        <v>229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484">
        <f>F144*1</f>
        <v>1</v>
      </c>
      <c r="G149" s="360">
        <f ca="1">IF(ISERROR(OFFSET('HARGA SATUAN'!$I$6,MATCH(RAB!C149,'HARGA SATUAN'!$C$7:$C$1492,0),0)),0,OFFSET('HARGA SATUAN'!$I$6,MATCH(RAB!C149,'HARGA SATUAN'!$C$7:$C$1492,0),0))</f>
        <v>4212</v>
      </c>
      <c r="H149" s="361">
        <f t="shared" ca="1" si="40"/>
        <v>0</v>
      </c>
      <c r="I149" s="361">
        <f t="shared" ca="1" si="41"/>
        <v>4212</v>
      </c>
      <c r="J149" s="361">
        <f t="shared" ca="1" si="42"/>
        <v>0</v>
      </c>
      <c r="K149" s="362">
        <f t="shared" ca="1" si="43"/>
        <v>4212</v>
      </c>
    </row>
    <row r="150" spans="2:11">
      <c r="B150" s="507">
        <v>6</v>
      </c>
      <c r="C150" s="508" t="s">
        <v>266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Mtr</v>
      </c>
      <c r="F150" s="484">
        <f>F144*1</f>
        <v>1</v>
      </c>
      <c r="G150" s="360">
        <f ca="1">IF(ISERROR(OFFSET('HARGA SATUAN'!$I$6,MATCH(RAB!C150,'HARGA SATUAN'!$C$7:$C$1492,0),0)),0,OFFSET('HARGA SATUAN'!$I$6,MATCH(RAB!C150,'HARGA SATUAN'!$C$7:$C$1492,0),0))</f>
        <v>23310</v>
      </c>
      <c r="H150" s="361">
        <f t="shared" ca="1" si="40"/>
        <v>0</v>
      </c>
      <c r="I150" s="361">
        <f t="shared" ca="1" si="41"/>
        <v>23310</v>
      </c>
      <c r="J150" s="361">
        <f t="shared" ca="1" si="42"/>
        <v>0</v>
      </c>
      <c r="K150" s="362">
        <f t="shared" ca="1" si="43"/>
        <v>23310</v>
      </c>
    </row>
    <row r="151" spans="2:11">
      <c r="B151" s="507">
        <v>7</v>
      </c>
      <c r="C151" s="508" t="s">
        <v>35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484">
        <f>F144*1</f>
        <v>1</v>
      </c>
      <c r="G151" s="360">
        <f ca="1">IF(ISERROR(OFFSET('HARGA SATUAN'!$I$6,MATCH(RAB!C151,'HARGA SATUAN'!$C$7:$C$1492,0),0)),0,OFFSET('HARGA SATUAN'!$I$6,MATCH(RAB!C151,'HARGA SATUAN'!$C$7:$C$1492,0),0))</f>
        <v>2300</v>
      </c>
      <c r="H151" s="361">
        <f t="shared" ca="1" si="40"/>
        <v>0</v>
      </c>
      <c r="I151" s="361">
        <f t="shared" ca="1" si="41"/>
        <v>2300</v>
      </c>
      <c r="J151" s="361">
        <f t="shared" ca="1" si="42"/>
        <v>0</v>
      </c>
      <c r="K151" s="362">
        <f t="shared" ca="1" si="43"/>
        <v>2300</v>
      </c>
    </row>
    <row r="152" spans="2:11">
      <c r="B152" s="507"/>
      <c r="C152" s="508"/>
      <c r="D152" s="358"/>
      <c r="E152" s="359"/>
      <c r="F152" s="484"/>
      <c r="G152" s="360"/>
      <c r="H152" s="361"/>
      <c r="I152" s="361"/>
      <c r="J152" s="361"/>
      <c r="K152" s="362"/>
    </row>
    <row r="153" spans="2:11">
      <c r="B153" s="507" t="s">
        <v>1035</v>
      </c>
      <c r="C153" s="508" t="s">
        <v>1626</v>
      </c>
      <c r="D153" s="358" t="str">
        <f ca="1">IF(ISERROR(OFFSET('HARGA SATUAN'!$D$6,MATCH(RAB!C153,'HARGA SATUAN'!$C$7:$C$1492,0),0)),"",OFFSET('HARGA SATUAN'!$D$6,MATCH(RAB!C153,'HARGA SATUAN'!$C$7:$C$1492,0),0))</f>
        <v/>
      </c>
      <c r="E153" s="359" t="str">
        <f ca="1">IF(B153="+","Unit",IF(ISERROR(OFFSET('HARGA SATUAN'!$E$6,MATCH(RAB!C153,'HARGA SATUAN'!$C$7:$C$1492,0),0)),"",OFFSET('HARGA SATUAN'!$E$6,MATCH(RAB!C153,'HARGA SATUAN'!$C$7:$C$1492,0),0)))</f>
        <v>Unit</v>
      </c>
      <c r="F153" s="484">
        <v>1</v>
      </c>
      <c r="G153" s="360">
        <f ca="1">IF(ISERROR(OFFSET('HARGA SATUAN'!$I$6,MATCH(RAB!C153,'HARGA SATUAN'!$C$7:$C$1492,0),0)),0,OFFSET('HARGA SATUAN'!$I$6,MATCH(RAB!C153,'HARGA SATUAN'!$C$7:$C$1492,0),0))</f>
        <v>0</v>
      </c>
      <c r="H153" s="361">
        <f t="shared" ca="1" si="40"/>
        <v>0</v>
      </c>
      <c r="I153" s="361">
        <f t="shared" ca="1" si="41"/>
        <v>0</v>
      </c>
      <c r="J153" s="361">
        <f t="shared" ca="1" si="42"/>
        <v>0</v>
      </c>
      <c r="K153" s="362">
        <f t="shared" ca="1" si="43"/>
        <v>0</v>
      </c>
    </row>
    <row r="154" spans="2:11">
      <c r="B154" s="507">
        <v>1</v>
      </c>
      <c r="C154" s="508" t="s">
        <v>29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484">
        <f>F153*1</f>
        <v>1</v>
      </c>
      <c r="G154" s="360">
        <f ca="1">IF(ISERROR(OFFSET('HARGA SATUAN'!$I$6,MATCH(RAB!C154,'HARGA SATUAN'!$C$7:$C$1492,0),0)),0,OFFSET('HARGA SATUAN'!$I$6,MATCH(RAB!C154,'HARGA SATUAN'!$C$7:$C$1492,0),0))</f>
        <v>185200</v>
      </c>
      <c r="H154" s="361">
        <f t="shared" ca="1" si="40"/>
        <v>0</v>
      </c>
      <c r="I154" s="361">
        <f t="shared" ca="1" si="41"/>
        <v>185200</v>
      </c>
      <c r="J154" s="361">
        <f t="shared" ca="1" si="42"/>
        <v>0</v>
      </c>
      <c r="K154" s="362">
        <f t="shared" ca="1" si="43"/>
        <v>185200</v>
      </c>
    </row>
    <row r="155" spans="2:11">
      <c r="B155" s="507">
        <v>2</v>
      </c>
      <c r="C155" s="508" t="s">
        <v>30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484">
        <f>F153*1</f>
        <v>1</v>
      </c>
      <c r="G155" s="360">
        <f ca="1">IF(ISERROR(OFFSET('HARGA SATUAN'!$I$6,MATCH(RAB!C155,'HARGA SATUAN'!$C$7:$C$1492,0),0)),0,OFFSET('HARGA SATUAN'!$I$6,MATCH(RAB!C155,'HARGA SATUAN'!$C$7:$C$1492,0),0))</f>
        <v>47459</v>
      </c>
      <c r="H155" s="361">
        <f t="shared" ca="1" si="40"/>
        <v>0</v>
      </c>
      <c r="I155" s="361">
        <f t="shared" ca="1" si="41"/>
        <v>47459</v>
      </c>
      <c r="J155" s="361">
        <f t="shared" ca="1" si="42"/>
        <v>0</v>
      </c>
      <c r="K155" s="362">
        <f t="shared" ca="1" si="43"/>
        <v>47459</v>
      </c>
    </row>
    <row r="156" spans="2:11">
      <c r="B156" s="507">
        <v>3</v>
      </c>
      <c r="C156" s="508" t="s">
        <v>32</v>
      </c>
      <c r="D156" s="358" t="str">
        <f ca="1">IF(ISERROR(OFFSET('HARGA SATUAN'!$D$6,MATCH(RAB!C156,'HARGA SATUAN'!$C$7:$C$1492,0),0)),"",OFFSET('HARGA SATUAN'!$D$6,MATCH(RAB!C156,'HARGA SATUAN'!$C$7:$C$1492,0),0))</f>
        <v>HDW</v>
      </c>
      <c r="E156" s="359" t="str">
        <f ca="1">IF(B156="+","Unit",IF(ISERROR(OFFSET('HARGA SATUAN'!$E$6,MATCH(RAB!C156,'HARGA SATUAN'!$C$7:$C$1492,0),0)),"",OFFSET('HARGA SATUAN'!$E$6,MATCH(RAB!C156,'HARGA SATUAN'!$C$7:$C$1492,0),0)))</f>
        <v>Mtr</v>
      </c>
      <c r="F156" s="484">
        <f>F153*1.5</f>
        <v>1.5</v>
      </c>
      <c r="G156" s="360">
        <f ca="1">IF(ISERROR(OFFSET('HARGA SATUAN'!$I$6,MATCH(RAB!C156,'HARGA SATUAN'!$C$7:$C$1492,0),0)),0,OFFSET('HARGA SATUAN'!$I$6,MATCH(RAB!C156,'HARGA SATUAN'!$C$7:$C$1492,0),0))</f>
        <v>30000</v>
      </c>
      <c r="H156" s="361">
        <f t="shared" ca="1" si="40"/>
        <v>0</v>
      </c>
      <c r="I156" s="361">
        <f t="shared" ca="1" si="41"/>
        <v>45000</v>
      </c>
      <c r="J156" s="361">
        <f t="shared" ca="1" si="42"/>
        <v>0</v>
      </c>
      <c r="K156" s="362">
        <f t="shared" ca="1" si="43"/>
        <v>45000</v>
      </c>
    </row>
    <row r="157" spans="2:11">
      <c r="B157" s="507">
        <v>4</v>
      </c>
      <c r="C157" s="508" t="s">
        <v>33</v>
      </c>
      <c r="D157" s="358" t="str">
        <f ca="1">IF(ISERROR(OFFSET('HARGA SATUAN'!$D$6,MATCH(RAB!C157,'HARGA SATUAN'!$C$7:$C$1492,0),0)),"",OFFSET('HARGA SATUAN'!$D$6,MATCH(RAB!C157,'HARGA SATUAN'!$C$7:$C$1492,0),0))</f>
        <v>HDW</v>
      </c>
      <c r="E157" s="359" t="str">
        <f ca="1">IF(B157="+","Unit",IF(ISERROR(OFFSET('HARGA SATUAN'!$E$6,MATCH(RAB!C157,'HARGA SATUAN'!$C$7:$C$1492,0),0)),"",OFFSET('HARGA SATUAN'!$E$6,MATCH(RAB!C157,'HARGA SATUAN'!$C$7:$C$1492,0),0)))</f>
        <v>Bh</v>
      </c>
      <c r="F157" s="484">
        <f>F153*2</f>
        <v>2</v>
      </c>
      <c r="G157" s="360">
        <f ca="1">IF(ISERROR(OFFSET('HARGA SATUAN'!$I$6,MATCH(RAB!C157,'HARGA SATUAN'!$C$7:$C$1492,0),0)),0,OFFSET('HARGA SATUAN'!$I$6,MATCH(RAB!C157,'HARGA SATUAN'!$C$7:$C$1492,0),0))</f>
        <v>9500</v>
      </c>
      <c r="H157" s="361">
        <f t="shared" ca="1" si="40"/>
        <v>0</v>
      </c>
      <c r="I157" s="361">
        <f t="shared" ca="1" si="41"/>
        <v>19000</v>
      </c>
      <c r="J157" s="361">
        <f t="shared" ca="1" si="42"/>
        <v>0</v>
      </c>
      <c r="K157" s="362">
        <f t="shared" ca="1" si="43"/>
        <v>19000</v>
      </c>
    </row>
    <row r="158" spans="2:11">
      <c r="B158" s="507">
        <v>5</v>
      </c>
      <c r="C158" s="508" t="s">
        <v>735</v>
      </c>
      <c r="D158" s="358" t="str">
        <f ca="1">IF(ISERROR(OFFSET('HARGA SATUAN'!$D$6,MATCH(RAB!C158,'HARGA SATUAN'!$C$7:$C$1492,0),0)),"",OFFSET('HARGA SATUAN'!$D$6,MATCH(RAB!C158,'HARGA SATUAN'!$C$7:$C$1492,0),0))</f>
        <v>JASA</v>
      </c>
      <c r="E158" s="359" t="str">
        <f ca="1">IF(B158="+","Unit",IF(ISERROR(OFFSET('HARGA SATUAN'!$E$6,MATCH(RAB!C158,'HARGA SATUAN'!$C$7:$C$1492,0),0)),"",OFFSET('HARGA SATUAN'!$E$6,MATCH(RAB!C158,'HARGA SATUAN'!$C$7:$C$1492,0),0)))</f>
        <v>Unit</v>
      </c>
      <c r="F158" s="484">
        <f>F153*1</f>
        <v>1</v>
      </c>
      <c r="G158" s="360">
        <f ca="1">IF(ISERROR(OFFSET('HARGA SATUAN'!$I$6,MATCH(RAB!C158,'HARGA SATUAN'!$C$7:$C$1492,0),0)),0,OFFSET('HARGA SATUAN'!$I$6,MATCH(RAB!C158,'HARGA SATUAN'!$C$7:$C$1492,0),0))</f>
        <v>56400</v>
      </c>
      <c r="H158" s="361">
        <f t="shared" ca="1" si="40"/>
        <v>0</v>
      </c>
      <c r="I158" s="361">
        <f t="shared" ca="1" si="41"/>
        <v>0</v>
      </c>
      <c r="J158" s="361">
        <f t="shared" ca="1" si="42"/>
        <v>56400</v>
      </c>
      <c r="K158" s="362">
        <f t="shared" ca="1" si="43"/>
        <v>56400</v>
      </c>
    </row>
    <row r="159" spans="2:11">
      <c r="B159" s="507"/>
      <c r="C159" s="508"/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484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40"/>
        <v>0</v>
      </c>
      <c r="I159" s="361">
        <f t="shared" ca="1" si="41"/>
        <v>0</v>
      </c>
      <c r="J159" s="361">
        <f t="shared" ca="1" si="42"/>
        <v>0</v>
      </c>
      <c r="K159" s="362">
        <f t="shared" ca="1" si="43"/>
        <v>0</v>
      </c>
    </row>
    <row r="160" spans="2:11">
      <c r="B160" s="373" t="s">
        <v>1550</v>
      </c>
      <c r="C160" s="374" t="s">
        <v>1611</v>
      </c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/>
      </c>
      <c r="F160" s="484"/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40"/>
        <v>0</v>
      </c>
      <c r="I160" s="361">
        <f t="shared" ca="1" si="41"/>
        <v>0</v>
      </c>
      <c r="J160" s="361">
        <f t="shared" ca="1" si="42"/>
        <v>0</v>
      </c>
      <c r="K160" s="362">
        <f t="shared" ca="1" si="43"/>
        <v>0</v>
      </c>
    </row>
    <row r="161" spans="2:13">
      <c r="B161" s="375"/>
      <c r="C161" s="109"/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IF(B161="+","Unit",IF(ISERROR(OFFSET('HARGA SATUAN'!$E$6,MATCH(RAB!C161,'HARGA SATUAN'!$C$7:$C$1492,0),0)),"",OFFSET('HARGA SATUAN'!$E$6,MATCH(RAB!C161,'HARGA SATUAN'!$C$7:$C$1492,0),0)))</f>
        <v/>
      </c>
      <c r="F161" s="484"/>
      <c r="G161" s="360">
        <f ca="1">IF(ISERROR(OFFSET('HARGA SATUAN'!$I$6,MATCH(RAB!C161,'HARGA SATUAN'!$C$7:$C$1492,0),0)),0,OFFSET('HARGA SATUAN'!$I$6,MATCH(RAB!C161,'HARGA SATUAN'!$C$7:$C$1492,0),0))</f>
        <v>0</v>
      </c>
      <c r="H161" s="361">
        <f t="shared" ca="1" si="40"/>
        <v>0</v>
      </c>
      <c r="I161" s="361">
        <f t="shared" ca="1" si="41"/>
        <v>0</v>
      </c>
      <c r="J161" s="361">
        <f t="shared" ca="1" si="42"/>
        <v>0</v>
      </c>
      <c r="K161" s="362">
        <f t="shared" ca="1" si="43"/>
        <v>0</v>
      </c>
    </row>
    <row r="162" spans="2:13">
      <c r="B162" s="376"/>
      <c r="C162" s="377" t="s">
        <v>475</v>
      </c>
      <c r="D162" s="358" t="str">
        <f ca="1">IF(ISERROR(OFFSET('HARGA SATUAN'!$D$6,MATCH(RAB!C162,'HARGA SATUAN'!$C$7:$C$1492,0),0)),"",OFFSET('HARGA SATUAN'!$D$6,MATCH(RAB!C162,'HARGA SATUAN'!$C$7:$C$1492,0),0))</f>
        <v/>
      </c>
      <c r="E162" s="359" t="str">
        <f ca="1">IF(B162="+","Unit",IF(ISERROR(OFFSET('HARGA SATUAN'!$E$6,MATCH(RAB!C162,'HARGA SATUAN'!$C$7:$C$1492,0),0)),"",OFFSET('HARGA SATUAN'!$E$6,MATCH(RAB!C162,'HARGA SATUAN'!$C$7:$C$1492,0),0)))</f>
        <v/>
      </c>
      <c r="F162" s="484"/>
      <c r="G162" s="360">
        <f ca="1">IF(ISERROR(OFFSET('HARGA SATUAN'!$I$6,MATCH(RAB!C162,'HARGA SATUAN'!$C$7:$C$1492,0),0)),0,OFFSET('HARGA SATUAN'!$I$6,MATCH(RAB!C162,'HARGA SATUAN'!$C$7:$C$1492,0),0))</f>
        <v>0</v>
      </c>
      <c r="H162" s="361">
        <f t="shared" ca="1" si="36"/>
        <v>0</v>
      </c>
      <c r="I162" s="361">
        <f t="shared" ca="1" si="37"/>
        <v>0</v>
      </c>
      <c r="J162" s="361">
        <f t="shared" ca="1" si="38"/>
        <v>0</v>
      </c>
      <c r="K162" s="362">
        <f t="shared" ca="1" si="39"/>
        <v>0</v>
      </c>
    </row>
    <row r="163" spans="2:13">
      <c r="B163" s="379">
        <v>1</v>
      </c>
      <c r="C163" s="380" t="s">
        <v>1091</v>
      </c>
      <c r="D163" s="381" t="str">
        <f ca="1">IF(ISERROR(OFFSET('HARGA SATUAN'!$D$6,MATCH(RAB!C163,'HARGA SATUAN'!$C$7:$C$1492,0),0)),"",OFFSET('HARGA SATUAN'!$D$6,MATCH(RAB!C163,'HARGA SATUAN'!$C$7:$C$1492,0),0))</f>
        <v>JASA</v>
      </c>
      <c r="E163" s="382" t="str">
        <f ca="1">IF(ISERROR(OFFSET('HARGA SATUAN'!$E$6,MATCH(RAB!C163,'HARGA SATUAN'!$C$7:$C$1492,0),0)),"",OFFSET('HARGA SATUAN'!$E$6,MATCH(RAB!C163,'HARGA SATUAN'!$C$7:$C$1492,0),0))</f>
        <v>Lot</v>
      </c>
      <c r="F163" s="383">
        <v>1</v>
      </c>
      <c r="G163" s="384">
        <f ca="1">IF(ISERROR(OFFSET('HARGA SATUAN'!$I$6,MATCH(RAB!C163,'HARGA SATUAN'!$C$7:$C$1492,0),0)),0,OFFSET('HARGA SATUAN'!$I$6,MATCH(RAB!C163,'HARGA SATUAN'!$C$7:$C$1492,0),0))</f>
        <v>2.5000000000000001E-2</v>
      </c>
      <c r="H163" s="385">
        <f ca="1">2.5%*(SUM(H14:H162))</f>
        <v>2226319.75</v>
      </c>
      <c r="I163" s="385">
        <f t="shared" ref="I163" ca="1" si="44">2.5%*(SUM(I14:I162))</f>
        <v>1056188.3683333334</v>
      </c>
      <c r="J163" s="385">
        <f ca="1">2.5%*(SUM(J14:J162))</f>
        <v>133477.30666666667</v>
      </c>
      <c r="K163" s="386">
        <f ca="1">SUM(H163:J163)</f>
        <v>3415985.4249999998</v>
      </c>
    </row>
    <row r="164" spans="2:13">
      <c r="B164" s="387"/>
      <c r="C164" s="388"/>
      <c r="D164" s="358" t="str">
        <f ca="1">IF(ISERROR(OFFSET('HARGA SATUAN'!$D$6,MATCH(RAB!C164,'HARGA SATUAN'!$C$7:$C$1492,0),0)),"",OFFSET('HARGA SATUAN'!$D$6,MATCH(RAB!C164,'HARGA SATUAN'!$C$7:$C$1492,0),0))</f>
        <v/>
      </c>
      <c r="E164" s="359" t="str">
        <f ca="1">IF(ISERROR(OFFSET('HARGA SATUAN'!$E$6,MATCH(RAB!C164,'HARGA SATUAN'!$C$7:$C$1492,0),0)),"",OFFSET('HARGA SATUAN'!$E$6,MATCH(RAB!C164,'HARGA SATUAN'!$C$7:$C$1492,0),0))</f>
        <v/>
      </c>
      <c r="F164" s="378"/>
      <c r="G164" s="360" t="str">
        <f ca="1">IF(ISERROR(OFFSET('HARGA SATUAN'!$I$6,MATCH(RAB!C164,'HARGA SATUAN'!$C$7:$C$1492,0),0)),"",OFFSET('HARGA SATUAN'!$I$6,MATCH(RAB!C164,'HARGA SATUAN'!$C$7:$C$1492,0),0))</f>
        <v/>
      </c>
      <c r="H164" s="361">
        <f ca="1">IF(OR(D164="MDU",D164="MDU-KD"),IF(G164="PLN",0,G164*F164),0)</f>
        <v>0</v>
      </c>
      <c r="I164" s="361">
        <f ca="1">IF(D164="HDW",IF(G164="PLN",0,G164*F164),0)</f>
        <v>0</v>
      </c>
      <c r="J164" s="361">
        <f ca="1">IF(D164="JASA",IF(G164="PLN",0,G164*F164),0)</f>
        <v>0</v>
      </c>
      <c r="K164" s="362">
        <f ca="1">SUM(H164:J164)</f>
        <v>0</v>
      </c>
    </row>
    <row r="165" spans="2:13" ht="15.75" thickBot="1">
      <c r="B165" s="389"/>
      <c r="C165" s="390"/>
      <c r="D165" s="391"/>
      <c r="E165" s="392"/>
      <c r="F165" s="392"/>
      <c r="G165" s="392"/>
      <c r="H165" s="393"/>
      <c r="I165" s="393"/>
      <c r="J165" s="393"/>
      <c r="K165" s="394"/>
    </row>
    <row r="166" spans="2:13">
      <c r="B166" s="395"/>
      <c r="C166" s="629" t="s">
        <v>1008</v>
      </c>
      <c r="D166" s="629"/>
      <c r="E166" s="629"/>
      <c r="F166" s="629"/>
      <c r="G166" s="396" t="s">
        <v>9</v>
      </c>
      <c r="H166" s="397">
        <f ca="1">SUM(H14:H164)</f>
        <v>91279109.75</v>
      </c>
      <c r="I166" s="397">
        <f ca="1">SUM(I14:I164)</f>
        <v>43303723.101666667</v>
      </c>
      <c r="J166" s="397">
        <f ca="1">SUM(J14:J164)</f>
        <v>5472569.5733333332</v>
      </c>
      <c r="K166" s="397">
        <f ca="1">SUM(K14:K164)</f>
        <v>140055402.42500001</v>
      </c>
    </row>
    <row r="167" spans="2:13">
      <c r="B167" s="400"/>
      <c r="C167" s="645" t="s">
        <v>1460</v>
      </c>
      <c r="D167" s="645"/>
      <c r="E167" s="645"/>
      <c r="F167" s="645"/>
      <c r="G167" s="401" t="s">
        <v>9</v>
      </c>
      <c r="H167" s="402">
        <f ca="1">H166*0.11</f>
        <v>10040702.0725</v>
      </c>
      <c r="I167" s="402">
        <f ca="1">I166*0.11</f>
        <v>4763409.5411833329</v>
      </c>
      <c r="J167" s="402">
        <f ca="1">J166*0.11</f>
        <v>601982.65306666668</v>
      </c>
      <c r="K167" s="402">
        <f ca="1">K166*0.11</f>
        <v>15406094.266750002</v>
      </c>
    </row>
    <row r="168" spans="2:13" ht="15.75" thickBot="1">
      <c r="B168" s="400"/>
      <c r="C168" s="643" t="s">
        <v>463</v>
      </c>
      <c r="D168" s="643"/>
      <c r="E168" s="643"/>
      <c r="F168" s="643"/>
      <c r="G168" s="404" t="s">
        <v>9</v>
      </c>
      <c r="H168" s="405">
        <f ca="1">SUM(H166:H167)</f>
        <v>101319811.82250001</v>
      </c>
      <c r="I168" s="405">
        <f ca="1">SUM(I166:I167)</f>
        <v>48067132.642849997</v>
      </c>
      <c r="J168" s="404">
        <f ca="1">SUM(J166:J167)</f>
        <v>6074552.2264</v>
      </c>
      <c r="K168" s="404">
        <f ca="1">SUM(K166:K167)</f>
        <v>155461496.69175002</v>
      </c>
      <c r="M168" s="488"/>
    </row>
    <row r="169" spans="2:13">
      <c r="B169" s="646" t="str">
        <f ca="1">"Terbilang : "&amp;PROPER(IF(K168=0,"nol",IF(K168&lt;0,"minus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IF(--MID(TEXT(ABS(K168),"000000000000000"),1,3)=0,"",MID(TEXT(ABS(K168),"000000000000000"),1,1)&amp;" ratus "&amp;MID(TEXT(ABS(K168),"000000000000000"),2,1)&amp;" puluh "&amp;MID(TEXT(ABS(K168),"000000000000000"),3,1)&amp;" trilyun ")&amp; IF(--MID(TEXT(ABS(K168),"000000000000000"),4,3)=0,"",MID(TEXT(ABS(K168),"000000000000000"),4,1)&amp;" ratus "&amp;MID(TEXT(ABS(K168),"000000000000000"),5,1)&amp;" puluh "&amp;MID(TEXT(ABS(K168),"000000000000000"),6,1)&amp;" milyar ")&amp; IF(--MID(TEXT(ABS(K168),"000000000000000"),7,3)=0,"",MID(TEXT(ABS(K168),"000000000000000"),7,1)&amp;" ratus "&amp;MID(TEXT(ABS(K168),"000000000000000"),8,1)&amp;" puluh "&amp;MID(TEXT(ABS(K168),"000000000000000"),9,1)&amp;" juta ")&amp; IF(--MID(TEXT(ABS(K168),"000000000000000"),10,3)=0,"",IF(--MID(TEXT(ABS(K168),"000000000000000"),10,3)=1,"*",MID(TEXT(ABS(K168),"000000000000000"),10,1)&amp;" ratus "&amp;MID(TEXT(ABS(K168),"000000000000000"),11,1)&amp;" puluh ")&amp;MID(TEXT(ABS(K168),"000000000000000"),12,1)&amp;" ribu ")&amp; IF(--MID(TEXT(ABS(K168),"000000000000000"),13,3)=0,"",MID(TEXT(ABS(K168),"000000000000000"),13,1)&amp;" ratus "&amp;MID(TEXT(ABS(K168),"000000000000000"),14,1)&amp;" puluh "&amp;MID(TEXT(ABS(K168),"000000000000000"),15,1)),1,"satu"),2,"dua"),3,"tiga"),4,"empat"),5,"lima"),6,"enam"),7,"tujuh"),8,"delapan"),9,"sembilan"),"0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Puluh Lima Juta Empat Ratus Enam Puluh Satu Ribu Empat Ratus Sembilan Puluh Tujuh Rupiah</v>
      </c>
      <c r="C169" s="647"/>
      <c r="D169" s="647"/>
      <c r="E169" s="647"/>
      <c r="F169" s="647"/>
      <c r="G169" s="647"/>
      <c r="H169" s="647"/>
      <c r="I169" s="647"/>
      <c r="J169" s="647"/>
      <c r="K169" s="648"/>
    </row>
    <row r="170" spans="2:13">
      <c r="B170" s="649"/>
      <c r="C170" s="650"/>
      <c r="D170" s="650"/>
      <c r="E170" s="650"/>
      <c r="F170" s="650"/>
      <c r="G170" s="650"/>
      <c r="H170" s="650"/>
      <c r="I170" s="650"/>
      <c r="J170" s="650"/>
      <c r="K170" s="651"/>
    </row>
    <row r="171" spans="2:13" ht="15.75" thickBot="1">
      <c r="B171" s="407" t="str">
        <f>"Harga yang dipakai adalah "&amp;'HARGA SATUAN'!I5&amp;""</f>
        <v>Harga yang dipakai adalah RAB HSS 2023</v>
      </c>
      <c r="C171" s="408"/>
      <c r="D171" s="409"/>
      <c r="E171" s="409"/>
      <c r="F171" s="409"/>
      <c r="G171" s="410"/>
      <c r="H171" s="410"/>
      <c r="I171" s="410"/>
      <c r="J171" s="410"/>
      <c r="K171" s="411"/>
    </row>
    <row r="172" spans="2:13">
      <c r="C172" s="412"/>
      <c r="E172" s="414"/>
      <c r="F172" s="414"/>
      <c r="G172" s="414"/>
    </row>
    <row r="173" spans="2:13">
      <c r="C173" s="337"/>
      <c r="E173" s="414"/>
      <c r="F173" s="414"/>
      <c r="G173" s="414"/>
      <c r="H173" s="652"/>
      <c r="I173" s="652"/>
      <c r="J173" s="653"/>
      <c r="K173" s="653"/>
    </row>
    <row r="174" spans="2:13">
      <c r="C174" s="337"/>
      <c r="E174" s="414"/>
      <c r="F174" s="414"/>
      <c r="G174" s="414"/>
      <c r="H174" s="415"/>
      <c r="I174" s="642" t="s">
        <v>1646</v>
      </c>
      <c r="J174" s="642"/>
      <c r="K174" s="642"/>
    </row>
    <row r="175" spans="2:13">
      <c r="C175" s="337"/>
      <c r="E175" s="414"/>
      <c r="F175" s="414"/>
      <c r="G175" s="414"/>
      <c r="H175" s="415"/>
      <c r="I175" s="642" t="s">
        <v>1647</v>
      </c>
      <c r="J175" s="642"/>
      <c r="K175" s="642"/>
    </row>
    <row r="176" spans="2:13">
      <c r="C176" s="337"/>
      <c r="E176" s="414"/>
      <c r="F176" s="414"/>
      <c r="G176" s="414"/>
      <c r="H176" s="416"/>
      <c r="I176" s="417"/>
      <c r="J176" s="417"/>
      <c r="K176" s="417"/>
    </row>
    <row r="177" spans="3:11">
      <c r="C177" s="337"/>
      <c r="E177" s="414"/>
      <c r="F177" s="414"/>
      <c r="G177" s="414"/>
      <c r="H177" s="416"/>
      <c r="I177" s="416"/>
      <c r="J177" s="416"/>
      <c r="K177" s="416"/>
    </row>
    <row r="178" spans="3:11">
      <c r="C178" s="337"/>
      <c r="E178" s="414"/>
      <c r="F178" s="414"/>
      <c r="G178" s="414"/>
      <c r="H178" s="416"/>
      <c r="I178" s="416"/>
      <c r="J178" s="416"/>
      <c r="K178" s="416"/>
    </row>
    <row r="179" spans="3:11">
      <c r="C179" s="337"/>
      <c r="E179" s="414"/>
      <c r="F179" s="414"/>
      <c r="G179" s="414"/>
      <c r="H179" s="416"/>
      <c r="I179" s="416"/>
      <c r="J179" s="416"/>
      <c r="K179" s="416"/>
    </row>
    <row r="180" spans="3:11">
      <c r="C180" s="337"/>
      <c r="E180" s="414"/>
      <c r="F180" s="414"/>
      <c r="G180" s="414"/>
      <c r="H180" s="418"/>
      <c r="I180" s="642" t="s">
        <v>1648</v>
      </c>
      <c r="J180" s="642"/>
      <c r="K180" s="642"/>
    </row>
    <row r="181" spans="3:11">
      <c r="C181" s="412"/>
      <c r="E181" s="414"/>
      <c r="F181" s="414"/>
      <c r="G181" s="414"/>
      <c r="H181" s="416"/>
      <c r="I181" s="416"/>
      <c r="J181" s="416"/>
      <c r="K181" s="416"/>
    </row>
    <row r="182" spans="3:11">
      <c r="C182" s="412"/>
      <c r="E182" s="414"/>
      <c r="F182" s="414"/>
      <c r="G182" s="414"/>
      <c r="H182" s="416"/>
      <c r="I182" s="416"/>
      <c r="J182" s="416"/>
      <c r="K182" s="416"/>
    </row>
    <row r="183" spans="3:11">
      <c r="C183" s="412"/>
      <c r="E183" s="414"/>
      <c r="F183" s="414"/>
      <c r="G183" s="414"/>
      <c r="H183" s="416"/>
      <c r="I183" s="416"/>
      <c r="J183" s="416"/>
      <c r="K183" s="416"/>
    </row>
  </sheetData>
  <sheetProtection sort="0" autoFilter="0"/>
  <protectedRanges>
    <protectedRange sqref="B161 B116:B123" name="Range1_1"/>
    <protectedRange sqref="F14:F16 F21:F23" name="Range1_1_2_2"/>
    <protectedRange sqref="B160:C160 B58:C59 B65:C66 B67:B70 B135:C135 B71:C87 B102:C103 C116:C123 C94" name="Range1_1_1"/>
    <protectedRange sqref="C161" name="Range1_1_3_12"/>
    <protectedRange sqref="C40 C42:C57" name="Range1_1_3_2"/>
    <protectedRange sqref="F18:F20" name="Range1_1_2_2_1_1"/>
    <protectedRange sqref="B27:C27 B29:C38 B24:B26" name="Range1_1_1_1"/>
    <protectedRange sqref="B28:C28" name="Range1_6_1_1"/>
    <protectedRange sqref="F24:F38" name="Range1_1_2_2_1_3"/>
    <protectedRange sqref="C25 C97" name="Range1_1_3_3"/>
    <protectedRange sqref="C26" name="Range1_1_3_4"/>
    <protectedRange sqref="C41" name="Range1_1_3_5"/>
    <protectedRange sqref="C67" name="Range1_1_3_6"/>
    <protectedRange sqref="C68" name="Range1_1_3_8"/>
    <protectedRange sqref="C69" name="Range1_1_3_9"/>
    <protectedRange sqref="C70" name="Range1_1_3_10"/>
    <protectedRange sqref="C108" name="Range1_1_3_16"/>
    <protectedRange sqref="C112" name="Range1_1_3_17"/>
    <protectedRange sqref="C141" name="Range1_1_3_13"/>
    <protectedRange sqref="C105" name="Range1_1_3_1"/>
  </protectedRanges>
  <mergeCells count="22">
    <mergeCell ref="I175:K175"/>
    <mergeCell ref="I180:K180"/>
    <mergeCell ref="C168:F168"/>
    <mergeCell ref="G6:K6"/>
    <mergeCell ref="I174:K174"/>
    <mergeCell ref="C167:F167"/>
    <mergeCell ref="B169:K170"/>
    <mergeCell ref="H173:K173"/>
    <mergeCell ref="H11:K11"/>
    <mergeCell ref="H12:H13"/>
    <mergeCell ref="J12:J13"/>
    <mergeCell ref="K12:K13"/>
    <mergeCell ref="O3:P4"/>
    <mergeCell ref="B4:K4"/>
    <mergeCell ref="C166:F166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">
    <cfRule type="cellIs" dxfId="14" priority="474" operator="equal">
      <formula>0</formula>
    </cfRule>
  </conditionalFormatting>
  <conditionalFormatting sqref="C17:C20">
    <cfRule type="cellIs" dxfId="13" priority="59" operator="equal">
      <formula>0</formula>
    </cfRule>
  </conditionalFormatting>
  <conditionalFormatting sqref="C25:C26">
    <cfRule type="cellIs" dxfId="12" priority="54" operator="equal">
      <formula>0</formula>
    </cfRule>
  </conditionalFormatting>
  <conditionalFormatting sqref="C41">
    <cfRule type="cellIs" dxfId="11" priority="49" operator="equal">
      <formula>0</formula>
    </cfRule>
  </conditionalFormatting>
  <conditionalFormatting sqref="C67:C70">
    <cfRule type="cellIs" dxfId="10" priority="43" operator="equal">
      <formula>0</formula>
    </cfRule>
  </conditionalFormatting>
  <conditionalFormatting sqref="C97">
    <cfRule type="cellIs" dxfId="9" priority="16" operator="equal">
      <formula>0</formula>
    </cfRule>
  </conditionalFormatting>
  <conditionalFormatting sqref="C108:C109">
    <cfRule type="cellIs" dxfId="8" priority="20" operator="equal">
      <formula>0</formula>
    </cfRule>
  </conditionalFormatting>
  <conditionalFormatting sqref="C112">
    <cfRule type="cellIs" dxfId="7" priority="19" operator="equal">
      <formula>0</formula>
    </cfRule>
  </conditionalFormatting>
  <conditionalFormatting sqref="C123">
    <cfRule type="cellIs" dxfId="6" priority="65" operator="equal">
      <formula>0</formula>
    </cfRule>
  </conditionalFormatting>
  <conditionalFormatting sqref="C138">
    <cfRule type="cellIs" dxfId="5" priority="3" operator="equal">
      <formula>0</formula>
    </cfRule>
  </conditionalFormatting>
  <conditionalFormatting sqref="C141">
    <cfRule type="cellIs" dxfId="4" priority="2" operator="equal">
      <formula>0</formula>
    </cfRule>
  </conditionalFormatting>
  <conditionalFormatting sqref="C161">
    <cfRule type="cellIs" dxfId="3" priority="72" operator="equal">
      <formula>0</formula>
    </cfRule>
  </conditionalFormatting>
  <conditionalFormatting sqref="E1:E3 G1:G13 E5:E13 H12:I12 O13 S14:V57 E14:K162 E163:G163 H163:K165 E164:H164 E165:F165">
    <cfRule type="cellIs" dxfId="2" priority="1054" stopIfTrue="1" operator="equal">
      <formula>0</formula>
    </cfRule>
  </conditionalFormatting>
  <conditionalFormatting sqref="G164:G65630 E169:E65630">
    <cfRule type="cellIs" dxfId="1" priority="188" stopIfTrue="1" operator="equal">
      <formula>0</formula>
    </cfRule>
  </conditionalFormatting>
  <conditionalFormatting sqref="C10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43 F148:F162 C106:C107 F24:F39 F59:F84 H14:K165 F86:F13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L10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G12" zoomScale="145" zoomScaleNormal="115" zoomScaleSheetLayoutView="145" workbookViewId="0">
      <selection activeCell="AB53" sqref="AB53:AD5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6" t="s">
        <v>1439</v>
      </c>
      <c r="X2" s="657"/>
      <c r="Y2" s="657"/>
      <c r="Z2" s="657"/>
      <c r="AA2" s="657"/>
      <c r="AB2" s="657"/>
      <c r="AC2" s="657"/>
      <c r="AD2" s="658"/>
    </row>
    <row r="3" spans="3:30">
      <c r="C3" s="238"/>
      <c r="W3" s="659"/>
      <c r="X3" s="660"/>
      <c r="Y3" s="660"/>
      <c r="Z3" s="660"/>
      <c r="AA3" s="660"/>
      <c r="AB3" s="660"/>
      <c r="AC3" s="660"/>
      <c r="AD3" s="66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2" t="s">
        <v>990</v>
      </c>
      <c r="Y5" s="662"/>
      <c r="Z5" s="662"/>
      <c r="AA5" s="662" t="s">
        <v>988</v>
      </c>
      <c r="AB5" s="662"/>
      <c r="AC5" s="662" t="s">
        <v>989</v>
      </c>
      <c r="AD5" s="663"/>
    </row>
    <row r="6" spans="3:30">
      <c r="C6" s="238"/>
      <c r="W6" s="241">
        <v>1</v>
      </c>
      <c r="X6" s="662" t="s">
        <v>993</v>
      </c>
      <c r="Y6" s="662"/>
      <c r="Z6" s="662"/>
      <c r="AA6" s="662"/>
      <c r="AB6" s="662"/>
      <c r="AC6" s="662"/>
      <c r="AD6" s="663"/>
    </row>
    <row r="7" spans="3:30">
      <c r="C7" s="238"/>
      <c r="E7" s="494" t="s">
        <v>1634</v>
      </c>
      <c r="W7" s="241">
        <v>2</v>
      </c>
      <c r="X7" s="662" t="s">
        <v>994</v>
      </c>
      <c r="Y7" s="662"/>
      <c r="Z7" s="662"/>
      <c r="AA7" s="662"/>
      <c r="AB7" s="662"/>
      <c r="AC7" s="662"/>
      <c r="AD7" s="663"/>
    </row>
    <row r="8" spans="3:30">
      <c r="C8" s="238"/>
      <c r="W8" s="241">
        <v>3</v>
      </c>
      <c r="X8" s="662" t="s">
        <v>995</v>
      </c>
      <c r="Y8" s="662"/>
      <c r="Z8" s="662"/>
      <c r="AA8" s="662"/>
      <c r="AB8" s="662"/>
      <c r="AC8" s="662"/>
      <c r="AD8" s="663"/>
    </row>
    <row r="9" spans="3:30" ht="12.75">
      <c r="C9" s="238"/>
      <c r="O9" s="523"/>
      <c r="W9" s="241">
        <v>4</v>
      </c>
      <c r="X9" s="662" t="s">
        <v>996</v>
      </c>
      <c r="Y9" s="662"/>
      <c r="Z9" s="662"/>
      <c r="AA9" s="662"/>
      <c r="AB9" s="662"/>
      <c r="AC9" s="662"/>
      <c r="AD9" s="663"/>
    </row>
    <row r="10" spans="3:30">
      <c r="C10" s="238"/>
      <c r="W10" s="241">
        <v>5</v>
      </c>
      <c r="X10" s="662" t="s">
        <v>997</v>
      </c>
      <c r="Y10" s="662"/>
      <c r="Z10" s="662"/>
      <c r="AA10" s="662"/>
      <c r="AB10" s="662"/>
      <c r="AC10" s="662"/>
      <c r="AD10" s="663"/>
    </row>
    <row r="11" spans="3:30">
      <c r="C11" s="238"/>
      <c r="W11" s="241">
        <v>6</v>
      </c>
      <c r="X11" s="662" t="s">
        <v>998</v>
      </c>
      <c r="Y11" s="662"/>
      <c r="Z11" s="662"/>
      <c r="AA11" s="662"/>
      <c r="AB11" s="662"/>
      <c r="AC11" s="662"/>
      <c r="AD11" s="663"/>
    </row>
    <row r="12" spans="3:30">
      <c r="C12" s="238"/>
      <c r="W12" s="241">
        <v>7</v>
      </c>
      <c r="X12" s="662" t="s">
        <v>999</v>
      </c>
      <c r="Y12" s="662"/>
      <c r="Z12" s="662"/>
      <c r="AA12" s="662"/>
      <c r="AB12" s="662"/>
      <c r="AC12" s="662"/>
      <c r="AD12" s="663"/>
    </row>
    <row r="13" spans="3:30" ht="12.75" customHeight="1">
      <c r="C13" s="238"/>
      <c r="W13" s="241">
        <v>8</v>
      </c>
      <c r="X13" s="662" t="s">
        <v>1000</v>
      </c>
      <c r="Y13" s="662"/>
      <c r="Z13" s="662"/>
      <c r="AA13" s="662"/>
      <c r="AB13" s="662"/>
      <c r="AC13" s="662"/>
      <c r="AD13" s="663"/>
    </row>
    <row r="14" spans="3:30">
      <c r="C14" s="238"/>
      <c r="W14" s="241">
        <v>9</v>
      </c>
      <c r="X14" s="662" t="s">
        <v>1001</v>
      </c>
      <c r="Y14" s="662"/>
      <c r="Z14" s="662"/>
      <c r="AA14" s="662"/>
      <c r="AB14" s="662"/>
      <c r="AC14" s="662"/>
      <c r="AD14" s="663"/>
    </row>
    <row r="15" spans="3:30">
      <c r="C15" s="238"/>
      <c r="W15" s="241">
        <v>10</v>
      </c>
      <c r="X15" s="662" t="s">
        <v>1010</v>
      </c>
      <c r="Y15" s="662"/>
      <c r="Z15" s="662"/>
      <c r="AA15" s="662"/>
      <c r="AB15" s="662"/>
      <c r="AC15" s="662"/>
      <c r="AD15" s="663"/>
    </row>
    <row r="16" spans="3:30">
      <c r="C16" s="238"/>
      <c r="W16" s="241">
        <v>11</v>
      </c>
      <c r="X16" s="662" t="s">
        <v>1458</v>
      </c>
      <c r="Y16" s="662"/>
      <c r="Z16" s="662"/>
      <c r="AA16" s="662"/>
      <c r="AB16" s="662"/>
      <c r="AC16" s="662"/>
      <c r="AD16" s="663"/>
    </row>
    <row r="17" spans="3:30">
      <c r="C17" s="238"/>
      <c r="S17" s="242"/>
      <c r="W17" s="241">
        <v>12</v>
      </c>
      <c r="X17" s="662" t="s">
        <v>1011</v>
      </c>
      <c r="Y17" s="662"/>
      <c r="Z17" s="662"/>
      <c r="AA17" s="662"/>
      <c r="AB17" s="662"/>
      <c r="AC17" s="662"/>
      <c r="AD17" s="663"/>
    </row>
    <row r="18" spans="3:30">
      <c r="C18" s="243"/>
      <c r="D18" s="244"/>
      <c r="E18" s="244"/>
      <c r="W18" s="241">
        <v>13</v>
      </c>
      <c r="X18" s="662"/>
      <c r="Y18" s="662"/>
      <c r="Z18" s="662"/>
      <c r="AA18" s="662"/>
      <c r="AB18" s="662"/>
      <c r="AC18" s="662"/>
      <c r="AD18" s="663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W20" s="664" t="s">
        <v>992</v>
      </c>
      <c r="X20" s="665"/>
      <c r="Y20" s="665"/>
      <c r="Z20" s="665"/>
      <c r="AA20" s="665"/>
      <c r="AB20" s="665"/>
      <c r="AC20" s="665"/>
      <c r="AD20" s="666"/>
    </row>
    <row r="21" spans="3:30">
      <c r="C21" s="238"/>
      <c r="W21" s="667" t="s">
        <v>985</v>
      </c>
      <c r="X21" s="668"/>
      <c r="Y21" s="668"/>
      <c r="Z21" s="669"/>
      <c r="AA21" s="670" t="s">
        <v>986</v>
      </c>
      <c r="AB21" s="671"/>
      <c r="AC21" s="671"/>
      <c r="AD21" s="672"/>
    </row>
    <row r="22" spans="3:30">
      <c r="C22" s="238"/>
      <c r="W22" s="673" t="s">
        <v>1636</v>
      </c>
      <c r="X22" s="674"/>
      <c r="Y22" s="496">
        <v>4</v>
      </c>
      <c r="Z22" s="503"/>
      <c r="AA22" s="675"/>
      <c r="AB22" s="676"/>
      <c r="AC22" s="248"/>
      <c r="AD22" s="249"/>
    </row>
    <row r="23" spans="3:30">
      <c r="C23" s="238"/>
      <c r="W23" s="673" t="s">
        <v>1637</v>
      </c>
      <c r="X23" s="674"/>
      <c r="Y23" s="496">
        <v>2</v>
      </c>
      <c r="Z23" s="503"/>
      <c r="AA23" s="677"/>
      <c r="AB23" s="678"/>
      <c r="AC23" s="248"/>
      <c r="AD23" s="249"/>
    </row>
    <row r="24" spans="3:30">
      <c r="C24" s="238"/>
      <c r="W24" s="683" t="s">
        <v>1617</v>
      </c>
      <c r="X24" s="684"/>
      <c r="Y24" s="246">
        <v>2</v>
      </c>
      <c r="Z24" s="247"/>
      <c r="AA24" s="685"/>
      <c r="AB24" s="686"/>
      <c r="AC24" s="248"/>
      <c r="AD24" s="249"/>
    </row>
    <row r="25" spans="3:30">
      <c r="C25" s="238"/>
      <c r="W25" s="683" t="s">
        <v>1638</v>
      </c>
      <c r="X25" s="684"/>
      <c r="Y25" s="246">
        <v>2</v>
      </c>
      <c r="Z25" s="247"/>
      <c r="AA25" s="677"/>
      <c r="AB25" s="678"/>
      <c r="AC25" s="248"/>
      <c r="AD25" s="249"/>
    </row>
    <row r="26" spans="3:30">
      <c r="C26" s="238"/>
      <c r="W26" s="485" t="s">
        <v>1618</v>
      </c>
      <c r="X26" s="486"/>
      <c r="Y26" s="246">
        <v>1</v>
      </c>
      <c r="Z26" s="247"/>
      <c r="AA26" s="677"/>
      <c r="AB26" s="678"/>
      <c r="AC26" s="248"/>
      <c r="AD26" s="249"/>
    </row>
    <row r="27" spans="3:30">
      <c r="C27" s="238"/>
      <c r="W27" s="485" t="s">
        <v>1639</v>
      </c>
      <c r="X27" s="486"/>
      <c r="Y27" s="246">
        <v>1</v>
      </c>
      <c r="Z27" s="247"/>
      <c r="AA27" s="681"/>
      <c r="AB27" s="682"/>
      <c r="AC27" s="248"/>
      <c r="AD27" s="249"/>
    </row>
    <row r="28" spans="3:30">
      <c r="C28" s="238"/>
      <c r="W28" s="485" t="s">
        <v>1632</v>
      </c>
      <c r="X28" s="486"/>
      <c r="Y28" s="246">
        <v>3</v>
      </c>
      <c r="Z28" s="247"/>
      <c r="AA28" s="681"/>
      <c r="AB28" s="682"/>
      <c r="AC28" s="248"/>
      <c r="AD28" s="249"/>
    </row>
    <row r="29" spans="3:30">
      <c r="C29" s="238"/>
      <c r="W29" s="485" t="s">
        <v>1633</v>
      </c>
      <c r="X29" s="486"/>
      <c r="Y29" s="246">
        <v>3</v>
      </c>
      <c r="Z29" s="247"/>
      <c r="AA29" s="681"/>
      <c r="AB29" s="682"/>
      <c r="AC29" s="248"/>
      <c r="AD29" s="249"/>
    </row>
    <row r="30" spans="3:30" ht="11.25" customHeight="1">
      <c r="C30" s="238"/>
      <c r="W30" s="525" t="s">
        <v>1619</v>
      </c>
      <c r="X30" s="487"/>
      <c r="Y30" s="246">
        <v>5</v>
      </c>
      <c r="Z30" s="247"/>
      <c r="AA30" s="681"/>
      <c r="AB30" s="682"/>
      <c r="AC30" s="248"/>
      <c r="AD30" s="249"/>
    </row>
    <row r="31" spans="3:30">
      <c r="C31" s="238"/>
      <c r="U31" s="250"/>
      <c r="W31" s="485" t="s">
        <v>1623</v>
      </c>
      <c r="X31" s="486"/>
      <c r="Y31" s="246">
        <v>2</v>
      </c>
      <c r="Z31" s="247"/>
      <c r="AA31" s="681"/>
      <c r="AB31" s="682"/>
      <c r="AC31" s="248"/>
      <c r="AD31" s="249"/>
    </row>
    <row r="32" spans="3:30">
      <c r="C32" s="238"/>
      <c r="U32" s="250"/>
      <c r="W32" s="485" t="s">
        <v>1640</v>
      </c>
      <c r="X32" s="486"/>
      <c r="Y32" s="246">
        <v>1</v>
      </c>
      <c r="Z32" s="247"/>
      <c r="AA32" s="681"/>
      <c r="AB32" s="682"/>
      <c r="AC32" s="248"/>
      <c r="AD32" s="249"/>
    </row>
    <row r="33" spans="3:30">
      <c r="C33" s="238"/>
      <c r="W33" s="485" t="s">
        <v>1628</v>
      </c>
      <c r="X33" s="486"/>
      <c r="Y33" s="246">
        <v>1</v>
      </c>
      <c r="Z33" s="247"/>
      <c r="AA33" s="681"/>
      <c r="AB33" s="682"/>
      <c r="AC33" s="248"/>
      <c r="AD33" s="249"/>
    </row>
    <row r="34" spans="3:30">
      <c r="C34" s="238"/>
      <c r="W34" s="485" t="s">
        <v>1629</v>
      </c>
      <c r="X34" s="486"/>
      <c r="Y34" s="246">
        <v>1</v>
      </c>
      <c r="Z34" s="247"/>
      <c r="AA34" s="681"/>
      <c r="AB34" s="682"/>
      <c r="AC34" s="248"/>
      <c r="AD34" s="249"/>
    </row>
    <row r="35" spans="3:30">
      <c r="C35" s="238"/>
      <c r="W35" s="683" t="s">
        <v>1641</v>
      </c>
      <c r="X35" s="696"/>
      <c r="Y35" s="246">
        <v>1</v>
      </c>
      <c r="Z35" s="247"/>
      <c r="AA35" s="681"/>
      <c r="AB35" s="682"/>
      <c r="AC35" s="248"/>
      <c r="AD35" s="249"/>
    </row>
    <row r="36" spans="3:30">
      <c r="C36" s="238"/>
      <c r="W36" s="687"/>
      <c r="X36" s="688"/>
      <c r="Y36" s="246"/>
      <c r="Z36" s="251"/>
      <c r="AA36" s="689"/>
      <c r="AB36" s="682"/>
      <c r="AC36" s="248"/>
      <c r="AD36" s="249"/>
    </row>
    <row r="37" spans="3:30" ht="12.75" customHeight="1">
      <c r="C37" s="238"/>
      <c r="W37" s="690"/>
      <c r="X37" s="691"/>
      <c r="Y37" s="246"/>
      <c r="Z37" s="251"/>
      <c r="AA37" s="692"/>
      <c r="AB37" s="693"/>
      <c r="AC37" s="252"/>
      <c r="AD37" s="253"/>
    </row>
    <row r="38" spans="3:30" ht="12.75" customHeight="1">
      <c r="C38" s="238"/>
      <c r="W38" s="690"/>
      <c r="X38" s="69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90"/>
      <c r="X39" s="691"/>
      <c r="Y39" s="254"/>
      <c r="Z39" s="257"/>
      <c r="AA39" s="694"/>
      <c r="AB39" s="695"/>
      <c r="AC39" s="252"/>
      <c r="AD39" s="253"/>
    </row>
    <row r="40" spans="3:30" ht="12" customHeight="1">
      <c r="C40" s="238"/>
      <c r="W40" s="700"/>
      <c r="X40" s="70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2"/>
      <c r="X41" s="703"/>
      <c r="Y41" s="260"/>
      <c r="Z41" s="261"/>
      <c r="AA41" s="694"/>
      <c r="AB41" s="695"/>
      <c r="AC41" s="252"/>
      <c r="AD41" s="253"/>
    </row>
    <row r="42" spans="3:30" ht="12" customHeight="1">
      <c r="C42" s="238"/>
      <c r="W42" s="704" t="s">
        <v>1459</v>
      </c>
      <c r="X42" s="705"/>
      <c r="Y42" s="705"/>
      <c r="Z42" s="70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7" t="s">
        <v>11</v>
      </c>
      <c r="X44" s="698"/>
      <c r="Y44" s="662"/>
      <c r="Z44" s="662"/>
      <c r="AA44" s="662"/>
      <c r="AB44" s="662"/>
      <c r="AC44" s="662"/>
      <c r="AD44" s="663"/>
    </row>
    <row r="45" spans="3:30" ht="14.25">
      <c r="C45" s="268"/>
      <c r="D45" s="269"/>
      <c r="E45" s="269"/>
      <c r="F45" s="269"/>
      <c r="G45" s="269"/>
      <c r="H45" s="269"/>
      <c r="I45" s="269"/>
      <c r="J45" s="269"/>
      <c r="K45" s="524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7" t="s">
        <v>984</v>
      </c>
      <c r="X45" s="698"/>
      <c r="Y45" s="662">
        <v>1</v>
      </c>
      <c r="Z45" s="662"/>
      <c r="AA45" s="662"/>
      <c r="AB45" s="662" t="s">
        <v>12</v>
      </c>
      <c r="AC45" s="66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7" t="s">
        <v>15</v>
      </c>
      <c r="X46" s="698"/>
      <c r="Y46" s="699"/>
      <c r="Z46" s="699"/>
      <c r="AA46" s="699"/>
      <c r="AB46" s="662" t="s">
        <v>16</v>
      </c>
      <c r="AC46" s="66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2" t="str">
        <f>RAB!G6</f>
        <v xml:space="preserve">AGR UD SUMBER REJEKI </v>
      </c>
      <c r="X48" s="712"/>
      <c r="Y48" s="712"/>
      <c r="Z48" s="712"/>
      <c r="AA48" s="712"/>
      <c r="AB48" s="712"/>
      <c r="AC48" s="712"/>
      <c r="AD48" s="71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7" t="s">
        <v>18</v>
      </c>
      <c r="X52" s="698"/>
      <c r="Y52" s="662" t="s">
        <v>1612</v>
      </c>
      <c r="Z52" s="662"/>
      <c r="AA52" s="662"/>
      <c r="AB52" s="662"/>
      <c r="AC52" s="662"/>
      <c r="AD52" s="66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7" t="s">
        <v>19</v>
      </c>
      <c r="X53" s="698"/>
      <c r="Y53" s="662" t="s">
        <v>1613</v>
      </c>
      <c r="Z53" s="662"/>
      <c r="AA53" s="662"/>
      <c r="AB53" s="662"/>
      <c r="AC53" s="662"/>
      <c r="AD53" s="66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7" t="s">
        <v>20</v>
      </c>
      <c r="X54" s="698"/>
      <c r="Y54" s="706" t="s">
        <v>1614</v>
      </c>
      <c r="Z54" s="706"/>
      <c r="AA54" s="706"/>
      <c r="AB54" s="662"/>
      <c r="AC54" s="662"/>
      <c r="AD54" s="66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7" t="s">
        <v>21</v>
      </c>
      <c r="X55" s="708"/>
      <c r="Y55" s="706" t="s">
        <v>1649</v>
      </c>
      <c r="Z55" s="706"/>
      <c r="AA55" s="706"/>
      <c r="AB55" s="706"/>
      <c r="AC55" s="706"/>
      <c r="AD55" s="70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B52" sqref="AB52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6" t="s">
        <v>1531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17"/>
      <c r="AE4" s="216"/>
      <c r="AF4" s="216"/>
    </row>
    <row r="5" spans="2:32" ht="13.5" customHeight="1">
      <c r="B5" s="215"/>
      <c r="C5" s="215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17"/>
      <c r="AE5" s="216"/>
      <c r="AF5" s="216"/>
    </row>
    <row r="6" spans="2:32" ht="12.75" customHeight="1">
      <c r="B6" s="215"/>
      <c r="C6" s="215"/>
      <c r="D6" s="719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1"/>
      <c r="AE6" s="216"/>
      <c r="AF6" s="216"/>
    </row>
    <row r="7" spans="2:32" ht="12.75" customHeight="1" thickBot="1">
      <c r="B7" s="215"/>
      <c r="C7" s="215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AG31" sqref="AG31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0" t="s">
        <v>1530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5" t="str">
        <f>GAMBAR!E7</f>
        <v>KOORDINAT : -6.867072, 110.621681</v>
      </c>
      <c r="D6" s="725"/>
      <c r="E6" s="725"/>
      <c r="F6" s="725"/>
      <c r="G6" s="725"/>
      <c r="H6" s="725"/>
      <c r="I6" s="725"/>
      <c r="J6" s="725"/>
      <c r="K6" s="725"/>
      <c r="L6" s="725"/>
      <c r="M6" s="725"/>
      <c r="W6" s="182"/>
      <c r="Y6" s="432"/>
      <c r="Z6" s="432"/>
      <c r="AA6" s="432"/>
      <c r="AB6" s="433"/>
      <c r="AC6" s="433"/>
    </row>
    <row r="7" spans="1:29" ht="18" customHeight="1">
      <c r="A7" s="181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2024-01-11T02:18:05Z</cp:lastPrinted>
  <dcterms:created xsi:type="dcterms:W3CDTF">2011-02-06T11:57:38Z</dcterms:created>
  <dcterms:modified xsi:type="dcterms:W3CDTF">2024-01-11T04:35:41Z</dcterms:modified>
</cp:coreProperties>
</file>