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C. BP KURANG  DR INVESTASI (PP DIATAS 5 TH)\NOV\ALFAMART KALIKONDANG\"/>
    </mc:Choice>
  </mc:AlternateContent>
  <xr:revisionPtr revIDLastSave="0" documentId="13_ncr:1_{0EB3B2EC-EA74-4090-BB31-C95B3492AA23}" xr6:coauthVersionLast="47" xr6:coauthVersionMax="47" xr10:uidLastSave="{00000000-0000-0000-0000-000000000000}"/>
  <bookViews>
    <workbookView xWindow="-120" yWindow="-120" windowWidth="24240" windowHeight="13140" tabRatio="859" firstSheet="1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RAB!$A$1:$K$136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D20" i="59"/>
  <c r="F69" i="11"/>
  <c r="F68" i="11"/>
  <c r="F67" i="11"/>
  <c r="F66" i="11"/>
  <c r="F65" i="11"/>
  <c r="D64" i="11"/>
  <c r="J64" i="11" s="1"/>
  <c r="E64" i="11"/>
  <c r="G64" i="11"/>
  <c r="D65" i="11"/>
  <c r="J65" i="11" s="1"/>
  <c r="E65" i="11"/>
  <c r="G65" i="11"/>
  <c r="D66" i="11"/>
  <c r="H66" i="11" s="1"/>
  <c r="E66" i="11"/>
  <c r="G66" i="11"/>
  <c r="D67" i="11"/>
  <c r="H67" i="11" s="1"/>
  <c r="E67" i="11"/>
  <c r="G67" i="11"/>
  <c r="D68" i="11"/>
  <c r="J68" i="11" s="1"/>
  <c r="E68" i="11"/>
  <c r="G68" i="11"/>
  <c r="D69" i="11"/>
  <c r="E69" i="11"/>
  <c r="G69" i="11"/>
  <c r="D70" i="11"/>
  <c r="H70" i="11" s="1"/>
  <c r="E70" i="11"/>
  <c r="G70" i="11"/>
  <c r="F35" i="11"/>
  <c r="F34" i="11"/>
  <c r="F33" i="11"/>
  <c r="F32" i="11"/>
  <c r="F31" i="11"/>
  <c r="D33" i="11"/>
  <c r="H33" i="11" s="1"/>
  <c r="E33" i="11"/>
  <c r="G33" i="11"/>
  <c r="D34" i="11"/>
  <c r="J34" i="11" s="1"/>
  <c r="E34" i="11"/>
  <c r="G34" i="11"/>
  <c r="D35" i="11"/>
  <c r="H35" i="11" s="1"/>
  <c r="E35" i="11"/>
  <c r="G35" i="11"/>
  <c r="D36" i="11"/>
  <c r="J36" i="11" s="1"/>
  <c r="E36" i="11"/>
  <c r="G36" i="11"/>
  <c r="D37" i="11"/>
  <c r="H37" i="11" s="1"/>
  <c r="E37" i="11"/>
  <c r="G37" i="11"/>
  <c r="F28" i="11"/>
  <c r="F27" i="11"/>
  <c r="F26" i="11"/>
  <c r="F25" i="11"/>
  <c r="F24" i="11"/>
  <c r="D23" i="11"/>
  <c r="J23" i="11" s="1"/>
  <c r="E23" i="11"/>
  <c r="G23" i="11"/>
  <c r="D24" i="11"/>
  <c r="J24" i="11" s="1"/>
  <c r="E24" i="11"/>
  <c r="G24" i="11"/>
  <c r="D25" i="11"/>
  <c r="H25" i="11" s="1"/>
  <c r="E25" i="11"/>
  <c r="G25" i="11"/>
  <c r="D26" i="11"/>
  <c r="H26" i="11" s="1"/>
  <c r="E26" i="11"/>
  <c r="G26" i="11"/>
  <c r="D27" i="11"/>
  <c r="J27" i="11" s="1"/>
  <c r="E27" i="11"/>
  <c r="G27" i="11"/>
  <c r="D28" i="11"/>
  <c r="E28" i="11"/>
  <c r="G28" i="11"/>
  <c r="D29" i="11"/>
  <c r="H29" i="11" s="1"/>
  <c r="E29" i="11"/>
  <c r="G29" i="11"/>
  <c r="D30" i="11"/>
  <c r="H30" i="11" s="1"/>
  <c r="E30" i="11"/>
  <c r="G30" i="11"/>
  <c r="D31" i="11"/>
  <c r="J31" i="11" s="1"/>
  <c r="E31" i="11"/>
  <c r="G31" i="11"/>
  <c r="D32" i="11"/>
  <c r="H32" i="11" s="1"/>
  <c r="E32" i="11"/>
  <c r="G32" i="11"/>
  <c r="F102" i="11"/>
  <c r="F101" i="11"/>
  <c r="F100" i="11"/>
  <c r="F99" i="11"/>
  <c r="F111" i="11"/>
  <c r="F110" i="11"/>
  <c r="F109" i="11"/>
  <c r="F108" i="11"/>
  <c r="F107" i="11"/>
  <c r="F106" i="11"/>
  <c r="F105" i="11"/>
  <c r="F83" i="11"/>
  <c r="F82" i="11"/>
  <c r="F81" i="11"/>
  <c r="F80" i="11"/>
  <c r="F79" i="11"/>
  <c r="F78" i="11"/>
  <c r="F77" i="11"/>
  <c r="F76" i="11"/>
  <c r="F75" i="11"/>
  <c r="F74" i="11"/>
  <c r="F72" i="11"/>
  <c r="H68" i="11" l="1"/>
  <c r="I67" i="11"/>
  <c r="J66" i="11"/>
  <c r="J69" i="11"/>
  <c r="I64" i="11"/>
  <c r="I33" i="11"/>
  <c r="I70" i="11"/>
  <c r="I68" i="11"/>
  <c r="I66" i="11"/>
  <c r="H64" i="11"/>
  <c r="I69" i="11"/>
  <c r="I65" i="11"/>
  <c r="J70" i="11"/>
  <c r="H69" i="11"/>
  <c r="J67" i="11"/>
  <c r="H65" i="11"/>
  <c r="K65" i="11" s="1"/>
  <c r="J37" i="11"/>
  <c r="I37" i="11"/>
  <c r="I36" i="11"/>
  <c r="J35" i="11"/>
  <c r="J33" i="11"/>
  <c r="I35" i="11"/>
  <c r="J29" i="11"/>
  <c r="I34" i="11"/>
  <c r="H36" i="11"/>
  <c r="H34" i="11"/>
  <c r="J25" i="11"/>
  <c r="I27" i="11"/>
  <c r="I26" i="11"/>
  <c r="I25" i="11"/>
  <c r="I29" i="11"/>
  <c r="J32" i="11"/>
  <c r="I31" i="11"/>
  <c r="J30" i="11"/>
  <c r="I30" i="11"/>
  <c r="H27" i="11"/>
  <c r="K27" i="11" s="1"/>
  <c r="J26" i="11"/>
  <c r="I23" i="11"/>
  <c r="J28" i="11"/>
  <c r="H23" i="11"/>
  <c r="I32" i="11"/>
  <c r="I24" i="11"/>
  <c r="H28" i="11"/>
  <c r="H24" i="11"/>
  <c r="H31" i="11"/>
  <c r="I28" i="11"/>
  <c r="K66" i="11" l="1"/>
  <c r="K64" i="11"/>
  <c r="K25" i="11"/>
  <c r="K68" i="11"/>
  <c r="K67" i="11"/>
  <c r="K33" i="11"/>
  <c r="K69" i="11"/>
  <c r="K36" i="11"/>
  <c r="K70" i="11"/>
  <c r="K37" i="11"/>
  <c r="K35" i="11"/>
  <c r="K29" i="11"/>
  <c r="K34" i="11"/>
  <c r="K26" i="11"/>
  <c r="K31" i="11"/>
  <c r="K30" i="11"/>
  <c r="K32" i="11"/>
  <c r="K23" i="11"/>
  <c r="K24" i="11"/>
  <c r="K28" i="11"/>
  <c r="G103" i="11" l="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D103" i="11"/>
  <c r="H103" i="11" s="1"/>
  <c r="E103" i="11"/>
  <c r="D104" i="11"/>
  <c r="J104" i="11" s="1"/>
  <c r="E104" i="11"/>
  <c r="D105" i="11"/>
  <c r="E105" i="11"/>
  <c r="D106" i="11"/>
  <c r="H106" i="11" s="1"/>
  <c r="E106" i="11"/>
  <c r="D107" i="11"/>
  <c r="H107" i="11" s="1"/>
  <c r="E107" i="11"/>
  <c r="D108" i="11"/>
  <c r="J108" i="11" s="1"/>
  <c r="E108" i="11"/>
  <c r="D109" i="11"/>
  <c r="E109" i="11"/>
  <c r="D110" i="11"/>
  <c r="H110" i="11" s="1"/>
  <c r="E110" i="11"/>
  <c r="D111" i="11"/>
  <c r="H111" i="11" s="1"/>
  <c r="E111" i="11"/>
  <c r="D112" i="11"/>
  <c r="J112" i="11" s="1"/>
  <c r="E112" i="11"/>
  <c r="D113" i="11"/>
  <c r="J113" i="11" s="1"/>
  <c r="E113" i="11"/>
  <c r="D114" i="11"/>
  <c r="I114" i="11" s="1"/>
  <c r="E114" i="11"/>
  <c r="D115" i="11"/>
  <c r="H115" i="11" s="1"/>
  <c r="E115" i="11"/>
  <c r="F60" i="11"/>
  <c r="F59" i="11"/>
  <c r="F58" i="11"/>
  <c r="F57" i="11"/>
  <c r="F54" i="11"/>
  <c r="F53" i="11"/>
  <c r="F52" i="11"/>
  <c r="F51" i="11"/>
  <c r="F48" i="11"/>
  <c r="F47" i="11"/>
  <c r="F46" i="11"/>
  <c r="F45" i="11"/>
  <c r="F44" i="11"/>
  <c r="F43" i="11"/>
  <c r="D41" i="11"/>
  <c r="H41" i="11" s="1"/>
  <c r="E41" i="11"/>
  <c r="G41" i="11"/>
  <c r="D42" i="11"/>
  <c r="J42" i="11" s="1"/>
  <c r="E42" i="11"/>
  <c r="G42" i="11"/>
  <c r="D43" i="11"/>
  <c r="H43" i="11" s="1"/>
  <c r="E43" i="11"/>
  <c r="G43" i="11"/>
  <c r="D44" i="11"/>
  <c r="H44" i="11" s="1"/>
  <c r="E44" i="11"/>
  <c r="G44" i="11"/>
  <c r="D45" i="11"/>
  <c r="J45" i="11" s="1"/>
  <c r="E45" i="11"/>
  <c r="G45" i="11"/>
  <c r="D46" i="11"/>
  <c r="J46" i="11" s="1"/>
  <c r="E46" i="11"/>
  <c r="G46" i="11"/>
  <c r="D47" i="11"/>
  <c r="H47" i="11" s="1"/>
  <c r="E47" i="11"/>
  <c r="G47" i="11"/>
  <c r="D48" i="11"/>
  <c r="H48" i="11" s="1"/>
  <c r="E48" i="11"/>
  <c r="G48" i="11"/>
  <c r="D49" i="11"/>
  <c r="J49" i="11" s="1"/>
  <c r="E49" i="11"/>
  <c r="G49" i="11"/>
  <c r="D50" i="11"/>
  <c r="J50" i="11" s="1"/>
  <c r="E50" i="11"/>
  <c r="G50" i="11"/>
  <c r="D51" i="11"/>
  <c r="H51" i="11" s="1"/>
  <c r="E51" i="11"/>
  <c r="G51" i="11"/>
  <c r="D52" i="11"/>
  <c r="H52" i="11" s="1"/>
  <c r="E52" i="11"/>
  <c r="G52" i="11"/>
  <c r="D53" i="11"/>
  <c r="J53" i="11" s="1"/>
  <c r="E53" i="11"/>
  <c r="G53" i="11"/>
  <c r="D54" i="11"/>
  <c r="E54" i="11"/>
  <c r="G54" i="11"/>
  <c r="D55" i="11"/>
  <c r="H55" i="11" s="1"/>
  <c r="E55" i="11"/>
  <c r="G55" i="11"/>
  <c r="D56" i="11"/>
  <c r="H56" i="11" s="1"/>
  <c r="E56" i="11"/>
  <c r="G56" i="11"/>
  <c r="D57" i="11"/>
  <c r="J57" i="11" s="1"/>
  <c r="E57" i="11"/>
  <c r="G57" i="11"/>
  <c r="D58" i="11"/>
  <c r="J58" i="11" s="1"/>
  <c r="E58" i="11"/>
  <c r="G58" i="11"/>
  <c r="D59" i="11"/>
  <c r="H59" i="11" s="1"/>
  <c r="E59" i="11"/>
  <c r="G59" i="11"/>
  <c r="D60" i="11"/>
  <c r="H60" i="11" s="1"/>
  <c r="E60" i="11"/>
  <c r="G60" i="11"/>
  <c r="D61" i="11"/>
  <c r="H61" i="11" s="1"/>
  <c r="E61" i="11"/>
  <c r="G61" i="11"/>
  <c r="D62" i="11"/>
  <c r="J62" i="11" s="1"/>
  <c r="E62" i="11"/>
  <c r="G62" i="11"/>
  <c r="D63" i="11"/>
  <c r="J63" i="11" s="1"/>
  <c r="E63" i="11"/>
  <c r="G63" i="11"/>
  <c r="F39" i="11"/>
  <c r="I109" i="11" l="1"/>
  <c r="I105" i="11"/>
  <c r="I111" i="11"/>
  <c r="J103" i="11"/>
  <c r="H114" i="11"/>
  <c r="J107" i="11"/>
  <c r="H105" i="11"/>
  <c r="I103" i="11"/>
  <c r="J111" i="11"/>
  <c r="H109" i="11"/>
  <c r="I107" i="11"/>
  <c r="I113" i="11"/>
  <c r="I112" i="11"/>
  <c r="I108" i="11"/>
  <c r="I104" i="11"/>
  <c r="J115" i="11"/>
  <c r="H113" i="11"/>
  <c r="H112" i="11"/>
  <c r="J110" i="11"/>
  <c r="H108" i="11"/>
  <c r="J106" i="11"/>
  <c r="H104" i="11"/>
  <c r="I115" i="11"/>
  <c r="J114" i="11"/>
  <c r="I110" i="11"/>
  <c r="J109" i="11"/>
  <c r="I106" i="11"/>
  <c r="J105" i="11"/>
  <c r="I53" i="11"/>
  <c r="I47" i="11"/>
  <c r="I49" i="11"/>
  <c r="J41" i="11"/>
  <c r="I59" i="11"/>
  <c r="I41" i="11"/>
  <c r="J54" i="11"/>
  <c r="I51" i="11"/>
  <c r="H49" i="11"/>
  <c r="I48" i="11"/>
  <c r="I43" i="11"/>
  <c r="I62" i="11"/>
  <c r="I55" i="11"/>
  <c r="I57" i="11"/>
  <c r="H45" i="11"/>
  <c r="I44" i="11"/>
  <c r="I45" i="11"/>
  <c r="I60" i="11"/>
  <c r="J59" i="11"/>
  <c r="H57" i="11"/>
  <c r="I56" i="11"/>
  <c r="J55" i="11"/>
  <c r="H53" i="11"/>
  <c r="I52" i="11"/>
  <c r="J51" i="11"/>
  <c r="J47" i="11"/>
  <c r="K47" i="11" s="1"/>
  <c r="J43" i="11"/>
  <c r="H62" i="11"/>
  <c r="I63" i="11"/>
  <c r="I58" i="11"/>
  <c r="I54" i="11"/>
  <c r="I50" i="11"/>
  <c r="I46" i="11"/>
  <c r="I42" i="11"/>
  <c r="H63" i="11"/>
  <c r="J61" i="11"/>
  <c r="J60" i="11"/>
  <c r="H58" i="11"/>
  <c r="K58" i="11" s="1"/>
  <c r="J56" i="11"/>
  <c r="H54" i="11"/>
  <c r="J52" i="11"/>
  <c r="H50" i="11"/>
  <c r="J48" i="11"/>
  <c r="H46" i="11"/>
  <c r="J44" i="11"/>
  <c r="H42" i="11"/>
  <c r="K42" i="11" s="1"/>
  <c r="I61" i="11"/>
  <c r="K112" i="11" l="1"/>
  <c r="K107" i="11"/>
  <c r="K109" i="11"/>
  <c r="K53" i="11"/>
  <c r="K106" i="11"/>
  <c r="K115" i="11"/>
  <c r="K104" i="11"/>
  <c r="K113" i="11"/>
  <c r="K111" i="11"/>
  <c r="K110" i="11"/>
  <c r="K105" i="11"/>
  <c r="K103" i="11"/>
  <c r="K114" i="11"/>
  <c r="K108" i="11"/>
  <c r="K41" i="11"/>
  <c r="K46" i="11"/>
  <c r="K49" i="11"/>
  <c r="K57" i="11"/>
  <c r="K48" i="11"/>
  <c r="K56" i="11"/>
  <c r="K63" i="11"/>
  <c r="K61" i="11"/>
  <c r="K45" i="11"/>
  <c r="K59" i="11"/>
  <c r="K43" i="11"/>
  <c r="K51" i="11"/>
  <c r="K44" i="11"/>
  <c r="K62" i="11"/>
  <c r="K50" i="11"/>
  <c r="K55" i="11"/>
  <c r="K52" i="11"/>
  <c r="K60" i="11"/>
  <c r="K54" i="11"/>
  <c r="D38" i="11" l="1"/>
  <c r="E38" i="11"/>
  <c r="G38" i="11"/>
  <c r="J39" i="11"/>
  <c r="D40" i="11"/>
  <c r="H40" i="11" s="1"/>
  <c r="E40" i="11"/>
  <c r="G40" i="11"/>
  <c r="D97" i="11"/>
  <c r="D98" i="11"/>
  <c r="D99" i="11"/>
  <c r="D100" i="11"/>
  <c r="D101" i="11"/>
  <c r="D102" i="11"/>
  <c r="D18" i="11"/>
  <c r="H18" i="11" s="1"/>
  <c r="E18" i="11"/>
  <c r="G18" i="11"/>
  <c r="D19" i="11"/>
  <c r="J19" i="11" s="1"/>
  <c r="E19" i="11"/>
  <c r="G19" i="11"/>
  <c r="D21" i="11"/>
  <c r="H21" i="11" s="1"/>
  <c r="E21" i="11"/>
  <c r="G21" i="11"/>
  <c r="E7" i="64"/>
  <c r="D17" i="11"/>
  <c r="J17" i="11" s="1"/>
  <c r="E17" i="11"/>
  <c r="G17" i="11"/>
  <c r="D15" i="11"/>
  <c r="J15" i="11" s="1"/>
  <c r="E15" i="11"/>
  <c r="G15" i="11"/>
  <c r="D16" i="11"/>
  <c r="J16" i="11" s="1"/>
  <c r="E16" i="11"/>
  <c r="G16" i="11"/>
  <c r="G84" i="11"/>
  <c r="D84" i="11"/>
  <c r="J84" i="11" s="1"/>
  <c r="E84" i="11"/>
  <c r="H38" i="11" l="1"/>
  <c r="J40" i="11"/>
  <c r="I40" i="11"/>
  <c r="I39" i="11"/>
  <c r="J38" i="11"/>
  <c r="I38" i="11"/>
  <c r="H39" i="11"/>
  <c r="J18" i="11"/>
  <c r="I18" i="11"/>
  <c r="J21" i="11"/>
  <c r="I21" i="11"/>
  <c r="I19" i="11"/>
  <c r="H19" i="11"/>
  <c r="I15" i="11"/>
  <c r="H15" i="11"/>
  <c r="I17" i="11"/>
  <c r="H17" i="11"/>
  <c r="I16" i="11"/>
  <c r="H16" i="11"/>
  <c r="I84" i="11"/>
  <c r="H84" i="11"/>
  <c r="D22" i="11"/>
  <c r="J22" i="11" s="1"/>
  <c r="E22" i="11"/>
  <c r="G22" i="11"/>
  <c r="K40" i="11" l="1"/>
  <c r="K39" i="11"/>
  <c r="K38" i="11"/>
  <c r="K18" i="11"/>
  <c r="K21" i="11"/>
  <c r="K19" i="11"/>
  <c r="K15" i="11"/>
  <c r="K17" i="11"/>
  <c r="K84" i="11"/>
  <c r="K16" i="11"/>
  <c r="I22" i="11"/>
  <c r="H22" i="11"/>
  <c r="K22" i="11" l="1"/>
  <c r="F94" i="11" l="1"/>
  <c r="F93" i="11"/>
  <c r="F92" i="11"/>
  <c r="F91" i="11"/>
  <c r="F90" i="11"/>
  <c r="F89" i="11"/>
  <c r="F88" i="11"/>
  <c r="F87" i="11"/>
  <c r="F86" i="11"/>
  <c r="D85" i="11"/>
  <c r="H85" i="11" s="1"/>
  <c r="E85" i="11"/>
  <c r="G85" i="11"/>
  <c r="D86" i="11"/>
  <c r="J86" i="11" s="1"/>
  <c r="E86" i="11"/>
  <c r="G86" i="11"/>
  <c r="D87" i="11"/>
  <c r="J87" i="11" s="1"/>
  <c r="E87" i="11"/>
  <c r="G87" i="11"/>
  <c r="D88" i="11"/>
  <c r="H88" i="11" s="1"/>
  <c r="E88" i="11"/>
  <c r="G88" i="11"/>
  <c r="D89" i="11"/>
  <c r="J89" i="11" s="1"/>
  <c r="E89" i="11"/>
  <c r="G89" i="11"/>
  <c r="D90" i="11"/>
  <c r="J90" i="11" s="1"/>
  <c r="E90" i="11"/>
  <c r="G90" i="11"/>
  <c r="D91" i="11"/>
  <c r="J91" i="11" s="1"/>
  <c r="E91" i="11"/>
  <c r="G91" i="11"/>
  <c r="D92" i="11"/>
  <c r="H92" i="11" s="1"/>
  <c r="E92" i="11"/>
  <c r="G92" i="11"/>
  <c r="D93" i="11"/>
  <c r="H93" i="11" s="1"/>
  <c r="E93" i="11"/>
  <c r="G93" i="11"/>
  <c r="D94" i="11"/>
  <c r="E94" i="11"/>
  <c r="G94" i="11"/>
  <c r="D95" i="11"/>
  <c r="J95" i="11" s="1"/>
  <c r="E95" i="11"/>
  <c r="G95" i="11"/>
  <c r="D71" i="11"/>
  <c r="J71" i="11" s="1"/>
  <c r="E71" i="11"/>
  <c r="G71" i="11"/>
  <c r="D72" i="11"/>
  <c r="I72" i="11" s="1"/>
  <c r="E72" i="11"/>
  <c r="G72" i="11"/>
  <c r="D73" i="11"/>
  <c r="J73" i="11" s="1"/>
  <c r="E73" i="11"/>
  <c r="G73" i="11"/>
  <c r="D74" i="11"/>
  <c r="J74" i="11" s="1"/>
  <c r="E74" i="11"/>
  <c r="G74" i="11"/>
  <c r="D75" i="11"/>
  <c r="J75" i="11" s="1"/>
  <c r="E75" i="11"/>
  <c r="G75" i="11"/>
  <c r="D76" i="11"/>
  <c r="E76" i="11"/>
  <c r="G76" i="11"/>
  <c r="D77" i="11"/>
  <c r="J77" i="11" s="1"/>
  <c r="E77" i="11"/>
  <c r="G77" i="11"/>
  <c r="D78" i="11"/>
  <c r="J78" i="11" s="1"/>
  <c r="E78" i="11"/>
  <c r="G78" i="11"/>
  <c r="D79" i="11"/>
  <c r="J79" i="11" s="1"/>
  <c r="E79" i="11"/>
  <c r="G79" i="11"/>
  <c r="D80" i="11"/>
  <c r="J80" i="11" s="1"/>
  <c r="E80" i="11"/>
  <c r="G80" i="11"/>
  <c r="D81" i="11"/>
  <c r="H81" i="11" s="1"/>
  <c r="E81" i="11"/>
  <c r="G81" i="11"/>
  <c r="D82" i="11"/>
  <c r="J82" i="11" s="1"/>
  <c r="E82" i="11"/>
  <c r="G82" i="11"/>
  <c r="D83" i="11"/>
  <c r="E83" i="11"/>
  <c r="G83" i="11"/>
  <c r="G6" i="11"/>
  <c r="D96" i="11"/>
  <c r="J96" i="11" s="1"/>
  <c r="E96" i="11"/>
  <c r="G96" i="11"/>
  <c r="H97" i="11"/>
  <c r="E97" i="11"/>
  <c r="G97" i="11"/>
  <c r="E98" i="11"/>
  <c r="G98" i="11"/>
  <c r="J99" i="11"/>
  <c r="E99" i="11"/>
  <c r="G99" i="11"/>
  <c r="J100" i="11"/>
  <c r="E100" i="11"/>
  <c r="G100" i="11"/>
  <c r="E101" i="11"/>
  <c r="G101" i="11"/>
  <c r="H102" i="11"/>
  <c r="E102" i="11"/>
  <c r="G102" i="11"/>
  <c r="D20" i="60"/>
  <c r="I76" i="11" l="1"/>
  <c r="J83" i="11"/>
  <c r="J94" i="11"/>
  <c r="J93" i="11"/>
  <c r="J85" i="11"/>
  <c r="I89" i="11"/>
  <c r="I85" i="11"/>
  <c r="I91" i="11"/>
  <c r="H91" i="11"/>
  <c r="H87" i="11"/>
  <c r="I87" i="11"/>
  <c r="I95" i="11"/>
  <c r="I93" i="11"/>
  <c r="I92" i="11"/>
  <c r="J72" i="11"/>
  <c r="H95" i="11"/>
  <c r="H89" i="11"/>
  <c r="I88" i="11"/>
  <c r="I94" i="11"/>
  <c r="H94" i="11"/>
  <c r="J92" i="11"/>
  <c r="H90" i="11"/>
  <c r="J88" i="11"/>
  <c r="H86" i="11"/>
  <c r="I90" i="11"/>
  <c r="I86" i="11"/>
  <c r="I80" i="11"/>
  <c r="J76" i="11"/>
  <c r="H76" i="11"/>
  <c r="H80" i="11"/>
  <c r="J81" i="11"/>
  <c r="H77" i="11"/>
  <c r="I74" i="11"/>
  <c r="I73" i="11"/>
  <c r="I81" i="11"/>
  <c r="I77" i="11"/>
  <c r="H72" i="11"/>
  <c r="H82" i="11"/>
  <c r="H78" i="11"/>
  <c r="H73" i="11"/>
  <c r="I78" i="11"/>
  <c r="H74" i="11"/>
  <c r="I82" i="11"/>
  <c r="I79" i="11"/>
  <c r="I71" i="11"/>
  <c r="H83" i="11"/>
  <c r="H79" i="11"/>
  <c r="H75" i="11"/>
  <c r="H71" i="11"/>
  <c r="I83" i="11"/>
  <c r="I75" i="11"/>
  <c r="H98" i="11"/>
  <c r="H101" i="11"/>
  <c r="J102" i="11"/>
  <c r="J101" i="11"/>
  <c r="I99" i="11"/>
  <c r="H99" i="11"/>
  <c r="J98" i="11"/>
  <c r="J97" i="11"/>
  <c r="I97" i="11"/>
  <c r="I101" i="11"/>
  <c r="H100" i="11"/>
  <c r="H96" i="11"/>
  <c r="I100" i="11"/>
  <c r="I96" i="11"/>
  <c r="I102" i="11"/>
  <c r="I98" i="11"/>
  <c r="D14" i="11"/>
  <c r="J14" i="11" s="1"/>
  <c r="E14" i="11"/>
  <c r="G14" i="11"/>
  <c r="K19" i="60"/>
  <c r="D19" i="60"/>
  <c r="K74" i="11" l="1"/>
  <c r="K91" i="11"/>
  <c r="K79" i="11"/>
  <c r="K85" i="11"/>
  <c r="K89" i="11"/>
  <c r="K76" i="11"/>
  <c r="K93" i="11"/>
  <c r="K81" i="11"/>
  <c r="K92" i="11"/>
  <c r="K80" i="11"/>
  <c r="K87" i="11"/>
  <c r="K77" i="11"/>
  <c r="K73" i="11"/>
  <c r="K72" i="11"/>
  <c r="K95" i="11"/>
  <c r="K88" i="11"/>
  <c r="K86" i="11"/>
  <c r="K94" i="11"/>
  <c r="K90" i="11"/>
  <c r="K78" i="11"/>
  <c r="K82" i="11"/>
  <c r="K83" i="11"/>
  <c r="K71" i="11"/>
  <c r="K75" i="11"/>
  <c r="K97" i="11"/>
  <c r="K99" i="11"/>
  <c r="K101" i="11"/>
  <c r="K102" i="11"/>
  <c r="K98" i="11"/>
  <c r="K96" i="11"/>
  <c r="K100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116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16" i="11"/>
  <c r="D117" i="11"/>
  <c r="H117" i="11" s="1"/>
  <c r="E117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17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24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16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17" i="11"/>
  <c r="I117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117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19" i="11"/>
  <c r="H120" i="11" s="1"/>
  <c r="I119" i="11"/>
  <c r="I120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45" i="29" l="1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21" i="11"/>
  <c r="I121" i="11"/>
  <c r="F364" i="29"/>
  <c r="F69" i="39"/>
  <c r="F72" i="39"/>
  <c r="F367" i="29"/>
  <c r="J116" i="11"/>
  <c r="K116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19" i="11" l="1"/>
  <c r="K120" i="11" s="1"/>
  <c r="K121" i="11" s="1"/>
  <c r="B122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19" i="11"/>
  <c r="J120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21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5" i="41" l="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<sst xmlns="http://schemas.openxmlformats.org/spreadsheetml/2006/main" count="4780" uniqueCount="1641">
  <si>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</si>
  <si>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</si>
  <si>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</si>
  <si>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</si>
  <si>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</si>
  <si>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</si>
  <si>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</si>
  <si>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</si>
  <si>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</si>
  <si>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</si>
  <si>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</si>
  <si>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</si>
  <si>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</si>
  <si>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</si>
  <si>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</si>
  <si>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</si>
  <si>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</si>
  <si>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</si>
  <si>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</si>
  <si>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</si>
  <si>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</si>
  <si>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</si>
  <si>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</si>
  <si>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</si>
  <si>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</si>
  <si>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</si>
  <si>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</si>
  <si>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</si>
  <si>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</si>
  <si>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</si>
  <si>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</si>
  <si>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</si>
  <si>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</si>
  <si>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</si>
  <si>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</si>
  <si>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</si>
  <si>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</si>
  <si>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</si>
  <si>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</si>
  <si>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</si>
  <si>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</si>
  <si>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</si>
  <si>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</si>
  <si>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</si>
  <si>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</si>
  <si>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</si>
  <si>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</si>
  <si>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</si>
  <si>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</si>
  <si>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</si>
  <si>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</si>
  <si>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</si>
  <si>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</si>
  <si>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</si>
  <si>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</si>
  <si>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</si>
  <si>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</si>
  <si>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</si>
  <si>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</si>
  <si>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</si>
  <si>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</si>
  <si>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</si>
  <si>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</si>
  <si>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</si>
  <si>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</si>
  <si>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</si>
  <si>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</si>
  <si>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</si>
  <si>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</si>
  <si>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</si>
  <si>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</si>
  <si>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</si>
  <si>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</si>
  <si>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</si>
  <si>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</si>
  <si>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</si>
  <si>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</si>
  <si>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</si>
  <si>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</si>
  <si>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</si>
  <si>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</si>
  <si>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</si>
  <si>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</si>
  <si>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</si>
  <si>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</si>
  <si>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</si>
  <si>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</si>
  <si>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</si>
  <si>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</si>
  <si>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</si>
  <si>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</si>
  <si>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</si>
  <si>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</si>
  <si>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</si>
  <si>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</si>
  <si>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</si>
  <si>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</si>
  <si>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</si>
  <si>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</si>
  <si>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</si>
  <si>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</si>
  <si>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</si>
  <si>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</si>
  <si>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</si>
  <si>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</si>
  <si>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</si>
  <si>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</si>
  <si>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</si>
  <si>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</si>
  <si>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</si>
  <si>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</si>
  <si>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</si>
  <si>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</si>
  <si>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</si>
  <si>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</si>
  <si>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</si>
  <si>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</si>
  <si>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</si>
  <si>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</si>
  <si>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</si>
  <si>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</si>
  <si>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</si>
  <si>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</si>
  <si>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</si>
  <si>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</si>
  <si>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</si>
  <si>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</si>
  <si>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</si>
  <si>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</si>
  <si>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</si>
  <si>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</si>
  <si>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</si>
  <si>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</si>
  <si>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</si>
  <si>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</si>
  <si>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</si>
  <si>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</si>
  <si>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</si>
  <si>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</si>
  <si>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</si>
  <si>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</si>
  <si>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</si>
  <si>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</si>
  <si>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</si>
  <si>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</si>
  <si>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</si>
  <si>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</si>
  <si>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</si>
  <si>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</si>
  <si>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</si>
  <si>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</si>
  <si>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</si>
  <si>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</si>
  <si>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</si>
  <si>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</si>
  <si>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</si>
  <si>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</si>
  <si>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</si>
  <si>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</si>
  <si>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</si>
  <si>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</si>
  <si>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</si>
  <si>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</si>
  <si>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</si>
  <si>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</si>
  <si>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</si>
  <si>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</si>
  <si>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</si>
  <si>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</si>
  <si>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</si>
  <si>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</si>
  <si>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</si>
  <si>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</si>
  <si>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</si>
  <si>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</si>
  <si>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</si>
  <si>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</si>
  <si>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</si>
  <si>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</si>
  <si>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</si>
  <si>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</si>
  <si>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</si>
  <si>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</si>
  <si>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</si>
  <si>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</si>
  <si>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</si>
  <si>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</si>
  <si>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</si>
  <si>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</si>
  <si>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</si>
  <si>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</si>
  <si>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</si>
  <si>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</si>
  <si>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</si>
  <si>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</si>
  <si>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</si>
  <si>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</si>
  <si>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</si>
  <si>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</si>
  <si>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</si>
  <si>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</si>
  <si>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</si>
  <si>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</si>
  <si>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</si>
  <si>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</si>
  <si>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</si>
  <si>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</si>
  <si>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</si>
  <si>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</si>
  <si>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</si>
  <si>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</si>
  <si>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</si>
  <si>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</si>
  <si>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</si>
  <si>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</si>
  <si>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</si>
  <si>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</si>
  <si>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</si>
  <si>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</si>
  <si>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</si>
  <si>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</si>
  <si>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</si>
  <si>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</si>
  <si>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</si>
  <si>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</si>
  <si>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</si>
  <si>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</si>
  <si>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</si>
  <si>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</si>
  <si>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</si>
  <si>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</si>
  <si>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</si>
  <si>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</si>
  <si>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</si>
  <si>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</si>
  <si>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</si>
  <si>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</si>
  <si>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</si>
  <si>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</si>
  <si>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</si>
  <si>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</si>
  <si>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</si>
  <si>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</si>
  <si>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</si>
  <si>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</si>
  <si>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</si>
  <si>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</si>
  <si>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</si>
  <si>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</si>
  <si>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</si>
  <si>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</si>
  <si>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</si>
  <si>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</si>
  <si>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</si>
  <si>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</si>
  <si>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</si>
  <si>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</si>
  <si>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</si>
  <si>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</si>
  <si>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</si>
  <si>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</si>
  <si>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</si>
  <si>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</si>
  <si>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</si>
  <si>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</si>
  <si>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</si>
  <si>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</si>
  <si>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</si>
  <si>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</si>
  <si>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</si>
  <si>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</si>
  <si>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</si>
  <si>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</si>
  <si>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</si>
  <si>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</si>
  <si>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</si>
  <si>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</si>
  <si>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</si>
  <si>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</si>
  <si>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</si>
  <si>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</si>
  <si>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</si>
  <si>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</si>
  <si>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</si>
  <si>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</si>
  <si>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</si>
  <si>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</si>
  <si>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</si>
  <si>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</si>
  <si>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</si>
  <si>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</si>
  <si>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</si>
  <si>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</si>
  <si>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</si>
  <si>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</si>
  <si>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</si>
  <si>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</si>
  <si>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</si>
  <si>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</si>
  <si>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</si>
  <si>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</si>
  <si>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</si>
  <si>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</si>
  <si>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</si>
  <si>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</si>
  <si>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</si>
  <si>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</si>
  <si>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</si>
  <si>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</si>
  <si>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</si>
  <si>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</si>
  <si>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</si>
  <si>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</si>
  <si>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</si>
  <si>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</si>
  <si>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</si>
  <si>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</si>
  <si>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</si>
  <si>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</si>
  <si>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</si>
  <si>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</si>
  <si>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</si>
  <si>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</si>
  <si>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</si>
  <si>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</si>
  <si>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</si>
  <si>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</si>
  <si>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</si>
  <si>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</si>
  <si>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</si>
  <si>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</si>
  <si>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</si>
  <si>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</si>
  <si>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</si>
  <si>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</si>
  <si>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</si>
  <si>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</si>
  <si>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</si>
  <si>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</si>
  <si>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</si>
  <si>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</si>
  <si>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</si>
  <si>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</si>
  <si>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</si>
  <si>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</si>
  <si>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</si>
  <si>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</si>
  <si>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</si>
  <si>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</si>
  <si>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</si>
  <si>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</si>
  <si>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</si>
  <si>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</si>
  <si>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</si>
  <si>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</si>
  <si>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</si>
  <si>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</si>
  <si>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</si>
  <si>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</si>
  <si>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</si>
  <si>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</si>
  <si>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</si>
  <si>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</si>
  <si>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</si>
  <si>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</si>
  <si>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</si>
  <si>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</si>
  <si>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</si>
  <si>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</si>
  <si>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</si>
  <si>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</si>
  <si>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</si>
  <si>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</si>
  <si>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</si>
  <si>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</si>
  <si>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</si>
  <si>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</si>
  <si>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</si>
  <si>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</si>
  <si>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</si>
  <si>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</si>
  <si>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</si>
  <si>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</si>
  <si>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</si>
  <si>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</si>
  <si>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</si>
  <si>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</si>
  <si>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</si>
  <si>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</si>
  <si>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</si>
  <si>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</si>
  <si>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</si>
  <si>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</si>
  <si>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</si>
  <si>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</si>
  <si>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</si>
  <si>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</si>
  <si>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</si>
  <si>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</si>
  <si>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</si>
  <si>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</si>
  <si>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</si>
  <si>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</si>
  <si>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</si>
  <si>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</si>
  <si>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</si>
  <si>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</si>
  <si>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</si>
  <si>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</si>
  <si>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</si>
  <si>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</si>
  <si>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</si>
  <si>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</si>
  <si>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</si>
  <si>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</si>
  <si>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</si>
  <si>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</si>
  <si>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</si>
  <si>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</si>
  <si>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</si>
  <si>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</si>
  <si>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</si>
  <si>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</si>
  <si>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</si>
  <si>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</si>
  <si>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</si>
  <si>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</si>
  <si>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</si>
  <si>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</si>
  <si>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</si>
  <si>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</si>
  <si>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</si>
  <si>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</si>
  <si>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</si>
  <si>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</si>
  <si>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</si>
  <si>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</si>
  <si>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</si>
  <si>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</si>
  <si>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</si>
  <si>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</si>
  <si>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</si>
  <si>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</si>
  <si>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</si>
  <si>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</si>
  <si>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</si>
  <si>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</si>
  <si>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</si>
  <si>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</si>
  <si>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</si>
  <si>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</si>
  <si>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</si>
  <si>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</si>
  <si>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</si>
  <si>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</si>
  <si>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</si>
  <si>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</si>
  <si>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</si>
  <si>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</si>
  <si>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</si>
  <si>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</si>
  <si>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</si>
  <si>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</si>
  <si>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</si>
  <si>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</si>
  <si>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</si>
  <si>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</si>
  <si>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</si>
  <si>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</si>
  <si>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</si>
  <si>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</si>
  <si>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</si>
  <si>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</si>
  <si>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</si>
  <si>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</si>
  <si>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</si>
  <si>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</si>
  <si>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</si>
  <si>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</si>
  <si>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</si>
  <si>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</si>
  <si>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</si>
  <si>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</si>
  <si>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</si>
  <si>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</si>
  <si>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</si>
  <si>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</si>
  <si>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</si>
  <si>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</si>
  <si>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</si>
  <si>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</si>
  <si>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</si>
  <si>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</si>
  <si>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</si>
  <si>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</si>
  <si>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</si>
  <si>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</si>
  <si>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</si>
  <si>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</si>
  <si>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</si>
  <si>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</si>
  <si>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</si>
  <si>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</si>
  <si>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</si>
  <si>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</si>
  <si>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</si>
  <si>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</si>
  <si>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</si>
  <si>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</si>
  <si>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</si>
  <si>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</si>
  <si>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</si>
  <si>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</si>
  <si>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</si>
  <si>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</si>
  <si>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</si>
  <si>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</si>
  <si>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</si>
  <si>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</si>
  <si>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</si>
  <si>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</si>
  <si>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</si>
  <si>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</si>
  <si>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</si>
  <si>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</si>
  <si>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</si>
  <si>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</si>
  <si>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</si>
  <si>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</si>
  <si>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</si>
  <si>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</si>
  <si>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</si>
  <si>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</si>
  <si>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</si>
  <si>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</si>
  <si>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</si>
  <si>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</si>
  <si>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</si>
  <si>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</si>
  <si>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</si>
  <si>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</si>
  <si>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</si>
  <si>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</si>
  <si>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</si>
  <si>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</si>
  <si>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</si>
  <si>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</si>
  <si>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</si>
  <si>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</si>
  <si>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</si>
  <si>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</si>
  <si>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</si>
  <si>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</si>
  <si>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</si>
  <si>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</si>
  <si>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</si>
  <si>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</si>
  <si>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</si>
  <si>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</si>
  <si>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</si>
  <si>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</si>
  <si>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</si>
  <si>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</si>
  <si>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</si>
  <si>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</si>
  <si>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</si>
  <si>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</si>
  <si>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</si>
  <si>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</si>
  <si>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</si>
  <si>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</si>
  <si>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</si>
  <si>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</si>
  <si>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</si>
  <si>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</si>
  <si>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</si>
  <si>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</si>
  <si>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</si>
  <si>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</si>
  <si>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</si>
  <si>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</si>
  <si>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</si>
  <si>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</si>
  <si>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</si>
  <si>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</si>
  <si>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</si>
  <si>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</si>
  <si>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</si>
  <si>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</si>
  <si>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</si>
  <si>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</si>
  <si>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</si>
  <si>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</si>
  <si>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</si>
  <si>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</si>
  <si>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</si>
  <si>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</si>
  <si>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</si>
  <si>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</si>
  <si>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</si>
  <si>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</si>
  <si>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</si>
  <si>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</si>
  <si>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</si>
  <si>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</si>
  <si>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</si>
  <si>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</si>
  <si>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</si>
  <si>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</si>
  <si>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</si>
  <si>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</si>
  <si>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</si>
  <si>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</si>
  <si>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</si>
  <si>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</si>
  <si>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</si>
  <si>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</si>
  <si>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</si>
  <si>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</si>
  <si>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</si>
  <si>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</si>
  <si>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</si>
  <si>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</si>
  <si>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</si>
  <si>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</si>
  <si>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</si>
  <si>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</si>
  <si>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</si>
  <si>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</si>
  <si>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</si>
  <si>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</si>
  <si>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</si>
  <si>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</si>
  <si>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</si>
  <si>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</si>
  <si>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</si>
  <si>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</si>
  <si>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</si>
  <si>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</si>
  <si>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</si>
  <si>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</si>
  <si>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</si>
  <si>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</si>
  <si>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</si>
  <si>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</si>
  <si>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</si>
  <si>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</si>
  <si>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</si>
  <si>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</si>
  <si>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</si>
  <si>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</si>
  <si>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</si>
  <si>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</si>
  <si>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</si>
  <si>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</si>
  <si>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</si>
  <si>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</si>
  <si>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</si>
  <si>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</si>
  <si>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</si>
  <si>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</si>
  <si>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</si>
  <si>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</si>
  <si>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</si>
  <si>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</si>
  <si>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</si>
  <si>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</si>
  <si>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</si>
  <si>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</si>
  <si>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</si>
  <si>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</si>
  <si>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</si>
  <si>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</si>
  <si>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</si>
  <si>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</si>
  <si>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</si>
  <si>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</si>
  <si>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</si>
  <si>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</si>
  <si>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</si>
  <si>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</si>
  <si>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</si>
  <si>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</si>
  <si>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</si>
  <si>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</si>
  <si>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</si>
  <si>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</si>
  <si>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</si>
  <si>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</si>
  <si>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</si>
  <si>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</si>
  <si>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</si>
  <si>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</si>
  <si>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</si>
  <si>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</si>
  <si>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</si>
  <si>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</si>
  <si>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</si>
  <si>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</si>
  <si>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</si>
  <si>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</si>
  <si>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</si>
  <si>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</si>
  <si>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</si>
  <si>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</si>
  <si>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</si>
  <si>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</si>
  <si>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</si>
  <si>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</si>
  <si>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</si>
  <si>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</si>
  <si>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</si>
  <si>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</si>
  <si>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</si>
  <si>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</si>
  <si>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</si>
  <si>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</si>
  <si>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</si>
  <si>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</si>
  <si>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</si>
  <si>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</si>
  <si>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</si>
  <si>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</si>
  <si>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</si>
  <si>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</si>
  <si>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</si>
  <si>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</si>
  <si>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</si>
  <si>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</si>
  <si>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</si>
  <si>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</si>
  <si>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</si>
  <si>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</si>
  <si>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</si>
  <si>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</si>
  <si>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</si>
  <si>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</si>
  <si>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</si>
  <si>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</si>
  <si>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</si>
  <si>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</si>
  <si>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</si>
  <si>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</si>
  <si>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</si>
  <si>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</si>
  <si>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</si>
  <si>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</si>
  <si>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</si>
  <si>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</si>
  <si>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</si>
  <si>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</si>
  <si>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</si>
  <si>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</si>
  <si>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</si>
  <si>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</si>
  <si>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</si>
  <si>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</si>
  <si>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</si>
  <si>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</si>
  <si>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</si>
  <si>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</si>
  <si>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</si>
  <si>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</si>
  <si>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</si>
  <si>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</si>
  <si>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</si>
  <si>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</si>
  <si>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</si>
  <si>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</si>
  <si>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</si>
  <si>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</si>
  <si>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</si>
  <si>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</si>
  <si>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</si>
  <si>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</si>
  <si>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</si>
  <si>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</si>
  <si>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</si>
  <si>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</si>
  <si>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</si>
  <si>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</si>
  <si>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</si>
  <si>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</si>
  <si>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</si>
  <si>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</si>
  <si>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</si>
  <si>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</si>
  <si>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</si>
  <si>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</si>
  <si>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</si>
  <si>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</si>
  <si>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</si>
  <si>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</si>
  <si>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</si>
  <si>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</si>
  <si>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</si>
  <si>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</si>
  <si>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</si>
  <si>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</si>
  <si>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</si>
  <si>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</si>
  <si>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</si>
  <si>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</si>
  <si>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</si>
  <si>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</si>
  <si>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</si>
  <si>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</si>
  <si>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</si>
  <si>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</si>
  <si>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</si>
  <si>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</si>
  <si>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</si>
  <si>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</si>
  <si>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</si>
  <si>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</si>
  <si>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</si>
  <si>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</si>
  <si>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</si>
  <si>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</si>
  <si>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</si>
  <si>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</si>
  <si>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</si>
  <si>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</si>
  <si>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</si>
  <si>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</si>
  <si>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</si>
  <si>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</si>
  <si>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</si>
  <si>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</si>
  <si>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</si>
  <si>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</si>
  <si>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</si>
  <si>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</si>
  <si>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</si>
  <si>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</si>
  <si>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</si>
  <si>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</si>
  <si>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</si>
  <si>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</si>
  <si>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</si>
  <si>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</si>
  <si>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</si>
  <si>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</si>
  <si>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</si>
  <si>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</si>
  <si>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</si>
  <si>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</si>
  <si>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</si>
  <si>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</si>
  <si>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</si>
  <si>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</si>
  <si>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</si>
  <si>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</si>
  <si>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</si>
  <si>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</si>
  <si>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</si>
  <si>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</si>
  <si>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</si>
  <si>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</si>
  <si>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</si>
  <si>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</si>
  <si>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</si>
  <si>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</si>
  <si>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</si>
  <si>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</si>
  <si>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</si>
  <si>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</si>
  <si>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</si>
  <si>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</si>
  <si>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</si>
  <si>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</si>
  <si>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</si>
  <si>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</si>
  <si>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</si>
  <si>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</si>
  <si>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</si>
  <si>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</si>
  <si>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</si>
  <si>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</si>
  <si>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</si>
  <si>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</si>
  <si>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</si>
  <si>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</si>
  <si>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</si>
  <si>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</si>
  <si>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</si>
  <si>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</si>
  <si>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</si>
  <si>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</si>
  <si>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</si>
  <si>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</si>
  <si>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</si>
  <si>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</si>
  <si>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</si>
  <si>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</si>
  <si>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</si>
  <si>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</si>
  <si>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</si>
  <si>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</si>
  <si>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</si>
  <si>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</si>
  <si>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</si>
  <si>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</si>
  <si>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</si>
  <si>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</si>
  <si>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</si>
  <si>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</si>
  <si>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</si>
  <si>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</si>
  <si>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</si>
  <si>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</si>
  <si>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</si>
  <si>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</si>
  <si>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</si>
  <si>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</si>
  <si>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</si>
  <si>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</si>
  <si>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</si>
  <si>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</si>
  <si>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</si>
  <si>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</si>
  <si>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</si>
  <si>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</si>
  <si>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</si>
  <si>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</si>
  <si>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</si>
  <si>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</si>
  <si>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</si>
  <si>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</si>
  <si>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</si>
  <si>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</si>
  <si>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</si>
  <si>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</si>
  <si>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</si>
  <si>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</si>
  <si>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</si>
  <si>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</si>
  <si>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</si>
  <si>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</si>
  <si>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</si>
  <si>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</si>
  <si>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</si>
  <si>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</si>
  <si>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</si>
  <si>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</si>
  <si>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</si>
  <si>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</si>
  <si>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</si>
  <si>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</si>
  <si>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</si>
  <si>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</si>
  <si>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</si>
  <si>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</si>
  <si>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</si>
  <si>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</si>
  <si>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</si>
  <si>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</si>
  <si>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</si>
  <si>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</si>
  <si>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</si>
  <si>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</si>
  <si>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</si>
  <si>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</si>
  <si>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</si>
  <si>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</si>
  <si>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</si>
  <si>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</si>
  <si>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</si>
  <si>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</si>
  <si>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</si>
  <si>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</si>
  <si>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</si>
  <si>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</si>
  <si>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</si>
  <si>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</si>
  <si>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</si>
  <si>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</si>
  <si>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</si>
  <si>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</si>
  <si>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</si>
  <si>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</si>
  <si>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</si>
  <si>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</si>
  <si>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</si>
  <si>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</si>
  <si>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</si>
  <si>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</si>
  <si>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</si>
  <si>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</si>
  <si>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</si>
  <si>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</si>
  <si>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</si>
  <si>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</si>
  <si>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</si>
  <si>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</si>
  <si>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</si>
  <si>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</si>
  <si>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</si>
  <si>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</si>
  <si>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</si>
  <si>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</si>
  <si>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</si>
  <si>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</si>
  <si>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</si>
  <si>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</si>
  <si>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</si>
  <si>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</si>
  <si>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</si>
  <si>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</si>
  <si>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</si>
  <si>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</si>
  <si>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</si>
  <si>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</si>
  <si>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</si>
  <si>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</si>
  <si>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</si>
  <si>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</si>
  <si>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</si>
  <si>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</si>
  <si>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</si>
  <si>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</si>
  <si>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</si>
  <si>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</si>
  <si>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</si>
  <si>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</si>
  <si>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</si>
  <si>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</si>
  <si>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</si>
  <si>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</si>
  <si>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</si>
  <si>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</si>
  <si>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</si>
  <si>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</si>
  <si>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</si>
  <si>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</si>
  <si>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</si>
  <si>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</si>
  <si>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</si>
  <si>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</si>
  <si>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</si>
  <si>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</si>
  <si>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</si>
  <si>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</si>
  <si>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</si>
  <si>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</si>
  <si>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</si>
  <si>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</si>
  <si>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</si>
  <si>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</si>
  <si>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</si>
  <si>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</si>
  <si>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</si>
  <si>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</si>
  <si>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</si>
  <si>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</si>
  <si>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</si>
  <si>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</si>
  <si>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</si>
  <si>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</si>
  <si>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</si>
  <si>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</si>
  <si>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</si>
  <si>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</si>
  <si>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</si>
  <si>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</si>
  <si>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</si>
  <si>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</si>
  <si>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</si>
  <si>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</si>
  <si>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</si>
  <si>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</si>
  <si>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</si>
  <si>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</si>
  <si>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</si>
  <si>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</si>
  <si>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</si>
  <si>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</si>
  <si>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</si>
  <si>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</si>
  <si>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</si>
  <si>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</si>
  <si>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</si>
  <si>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</si>
  <si>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</si>
  <si>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</si>
  <si>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</si>
  <si>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</si>
  <si>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</si>
  <si>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</si>
  <si>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</si>
  <si>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</si>
  <si>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</si>
  <si>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</si>
  <si>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</si>
  <si>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</si>
  <si>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</si>
  <si>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</si>
  <si>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</si>
  <si>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</si>
  <si>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</si>
  <si>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</si>
  <si>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</si>
  <si>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</si>
  <si>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</si>
  <si>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</si>
  <si>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</si>
  <si>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</si>
  <si>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</si>
  <si>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</si>
  <si>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</si>
  <si>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</si>
  <si>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</si>
  <si>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</si>
  <si>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</si>
  <si>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</si>
  <si>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</si>
  <si>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</si>
  <si>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</si>
  <si>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</si>
  <si>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</si>
  <si>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</si>
  <si>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</si>
  <si>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</si>
  <si>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</si>
  <si>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</si>
  <si>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</si>
  <si>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</si>
  <si>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</si>
  <si>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</si>
  <si>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</si>
  <si>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</si>
  <si>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</si>
  <si>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</si>
  <si>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</si>
  <si>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</si>
  <si>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</si>
  <si>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</si>
  <si>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</si>
  <si>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</si>
  <si>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</si>
  <si>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</si>
  <si>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</si>
  <si>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</si>
  <si>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</si>
  <si>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</si>
  <si>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</si>
  <si>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</si>
  <si>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</si>
  <si>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</si>
  <si>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</si>
  <si>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</si>
  <si>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</si>
  <si>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</si>
  <si>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</si>
  <si>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</si>
  <si>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</si>
  <si>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</si>
  <si>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</si>
  <si>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</si>
  <si>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</si>
  <si>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</si>
  <si>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</si>
  <si>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</si>
  <si>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</si>
  <si>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</si>
  <si>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</si>
  <si>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</si>
  <si>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</si>
  <si>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</si>
  <si>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</si>
  <si>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</si>
  <si>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</si>
  <si>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</si>
  <si>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</si>
  <si>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</si>
  <si>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</si>
  <si>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</si>
  <si>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</si>
  <si>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</si>
  <si>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</si>
  <si>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</si>
  <si>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</si>
  <si>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</si>
  <si>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</si>
  <si>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</si>
  <si>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</si>
  <si>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</si>
  <si>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</si>
  <si>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</si>
  <si>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</si>
  <si>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</si>
  <si>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</si>
  <si>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</si>
  <si>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</si>
  <si>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</si>
  <si>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</si>
  <si>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</si>
  <si>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</si>
  <si>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</si>
  <si>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</si>
  <si>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</si>
  <si>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</si>
  <si>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</si>
  <si>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</si>
  <si>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</si>
  <si>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</si>
  <si>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</si>
  <si>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</si>
  <si>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</si>
  <si>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</si>
  <si>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</si>
  <si>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</si>
  <si>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</si>
  <si>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</si>
  <si>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</si>
  <si>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</si>
  <si>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</si>
  <si>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</si>
  <si>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</si>
  <si>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</si>
  <si>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</si>
  <si>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</si>
  <si>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</si>
  <si>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</si>
  <si>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</si>
  <si>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</si>
  <si>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</si>
  <si>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</si>
  <si>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</si>
  <si>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</si>
  <si>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</si>
  <si>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</si>
  <si>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</si>
  <si>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</si>
  <si>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</si>
  <si>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</si>
  <si>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</si>
  <si>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</si>
  <si>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</si>
  <si>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</si>
  <si>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</si>
  <si>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</si>
  <si>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</si>
  <si>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</si>
  <si>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</si>
  <si>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</si>
  <si>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</si>
  <si>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</si>
  <si>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</si>
  <si>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</si>
  <si>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</si>
  <si>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</si>
  <si>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</si>
  <si>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</si>
  <si>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</si>
  <si>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</si>
  <si>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</si>
  <si>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</si>
  <si>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</si>
  <si>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</si>
  <si>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</si>
  <si>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</si>
  <si>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</si>
  <si>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</si>
  <si>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</si>
  <si>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</si>
  <si>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</si>
  <si>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</si>
  <si>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</si>
  <si>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</si>
  <si>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</si>
  <si>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</si>
  <si>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</si>
  <si>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</si>
  <si>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</si>
  <si>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</si>
  <si>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</si>
  <si>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</si>
  <si>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</si>
  <si>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</si>
  <si>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</si>
  <si>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</si>
  <si>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</si>
  <si>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</si>
  <si>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</si>
  <si>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</si>
  <si>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</si>
  <si>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</si>
  <si>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</si>
  <si>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</si>
  <si>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</si>
  <si>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</si>
  <si>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</si>
  <si>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</si>
  <si>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</si>
  <si>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</si>
  <si>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</si>
  <si>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</si>
  <si>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</si>
  <si>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</si>
  <si>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</si>
  <si>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</si>
  <si>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</si>
  <si>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</si>
  <si>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</si>
  <si>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</si>
  <si>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</si>
  <si>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</si>
  <si>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</si>
  <si>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</si>
  <si>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</si>
  <si>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</si>
  <si>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</si>
  <si>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</si>
  <si>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</si>
  <si>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</si>
  <si>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</si>
  <si>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</si>
  <si>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</si>
  <si>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</si>
  <si>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</si>
  <si>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</si>
  <si>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</si>
  <si>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</si>
  <si>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</si>
  <si>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</si>
  <si>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</si>
  <si>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</si>
  <si>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</si>
  <si>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</si>
  <si>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</si>
  <si>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</si>
  <si>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</si>
  <si>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</si>
  <si>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</si>
  <si>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</si>
  <si>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</si>
  <si>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</si>
  <si>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</si>
  <si>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</si>
  <si>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</si>
  <si>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</si>
  <si>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</si>
  <si>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</si>
  <si>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</si>
  <si>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</si>
  <si>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</si>
  <si>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</si>
  <si>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</si>
  <si>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</si>
  <si>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</si>
  <si>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</si>
  <si>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</si>
  <si>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</si>
  <si>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</si>
  <si>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</si>
  <si>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</si>
  <si>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</si>
  <si>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</si>
  <si>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</si>
  <si>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</si>
  <si>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</si>
  <si>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</si>
  <si>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</si>
  <si>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</si>
  <si>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</si>
  <si>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</si>
  <si>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</si>
  <si>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</si>
  <si>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</si>
  <si>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</si>
  <si>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</si>
  <si>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</si>
  <si>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</si>
  <si>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</si>
  <si>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</si>
  <si>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</si>
  <si>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</si>
  <si>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</si>
  <si>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</si>
  <si>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</si>
  <si>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</si>
  <si>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</si>
  <si>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</si>
  <si>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</si>
  <si>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</si>
  <si>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</si>
  <si>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</si>
  <si>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</si>
  <si>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</si>
  <si>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</si>
  <si>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</si>
  <si>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</si>
  <si>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</si>
  <si>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</si>
  <si>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</si>
  <si>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</si>
  <si>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</si>
  <si>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</si>
  <si>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</si>
  <si>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</si>
  <si>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</si>
  <si>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</si>
  <si>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</si>
  <si>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</si>
  <si>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</si>
  <si>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</si>
  <si>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</si>
  <si>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</si>
  <si>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</si>
  <si>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</si>
  <si>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</si>
  <si>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</si>
  <si>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</si>
  <si>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</si>
  <si>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</si>
  <si>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</si>
  <si>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</si>
  <si>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</si>
  <si>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</si>
  <si>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</si>
  <si>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</si>
  <si>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</si>
  <si>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</si>
  <si>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</si>
  <si>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</si>
  <si>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</si>
  <si>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</si>
  <si>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</si>
  <si>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</si>
  <si>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</si>
  <si>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</si>
  <si>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</si>
  <si>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</si>
  <si>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</si>
  <si>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</si>
  <si>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</si>
  <si>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</si>
  <si>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</si>
  <si>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</si>
  <si>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</si>
  <si>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</si>
  <si>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</si>
  <si>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</si>
  <si>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</si>
  <si>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</si>
  <si>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</si>
  <si>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</si>
  <si>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</si>
  <si>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</si>
  <si>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</si>
  <si>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</si>
  <si>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</si>
  <si>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</si>
  <si>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</si>
  <si>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</si>
  <si>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</si>
  <si>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</si>
  <si>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</si>
  <si>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</si>
  <si>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</si>
  <si>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</si>
  <si>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</si>
  <si>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</si>
  <si>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</si>
  <si>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</si>
  <si>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</si>
  <si>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</si>
  <si>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</si>
  <si>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</si>
  <si>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</si>
  <si>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</si>
  <si>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</si>
  <si>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</si>
  <si>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</si>
  <si>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</si>
  <si>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</si>
  <si>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</si>
  <si>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</si>
  <si>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</si>
  <si>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</si>
  <si>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</si>
  <si>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</si>
  <si>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</si>
  <si>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</si>
  <si>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</si>
  <si>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</si>
  <si>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</si>
  <si>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</si>
  <si>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</si>
  <si>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</si>
  <si>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</si>
  <si>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</si>
  <si>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</si>
  <si>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</si>
  <si>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</si>
  <si>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</si>
  <si>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</si>
  <si>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</si>
  <si>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</si>
  <si>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</si>
  <si>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</si>
  <si>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</si>
  <si>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</si>
  <si>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</si>
  <si>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</si>
  <si>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</si>
  <si>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</si>
  <si>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</si>
  <si>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</si>
  <si>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</si>
  <si>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</si>
  <si>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</si>
  <si>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</si>
  <si>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</si>
  <si>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</si>
  <si>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</si>
  <si>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</si>
  <si>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</si>
  <si>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</si>
  <si>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</si>
  <si>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</si>
  <si>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</si>
  <si>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</si>
  <si>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</si>
  <si>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</si>
  <si>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</si>
  <si>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</si>
  <si>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</si>
  <si>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</si>
  <si>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</si>
  <si>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</si>
  <si>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</si>
  <si>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</si>
  <si>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</si>
  <si>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</si>
  <si>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</si>
  <si>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</si>
  <si>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</si>
  <si>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</si>
  <si>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</si>
  <si>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</si>
  <si>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</si>
  <si>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</si>
  <si>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</si>
  <si>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</si>
  <si>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</si>
  <si>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</si>
  <si>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</si>
  <si>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</si>
  <si>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</si>
  <si>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</si>
  <si>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</si>
  <si>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</si>
  <si>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</si>
  <si>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</si>
  <si>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</si>
  <si>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</si>
  <si>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</si>
  <si>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</si>
  <si>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</si>
  <si>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</si>
  <si>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</si>
  <si>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</si>
  <si>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</si>
  <si>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</si>
  <si>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</si>
  <si>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</si>
  <si>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</si>
  <si>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</si>
  <si>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</si>
  <si>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</si>
  <si>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</si>
  <si>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</si>
  <si>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</si>
  <si>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</si>
  <si>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</si>
  <si>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</si>
  <si>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</si>
  <si>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</si>
  <si>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</si>
  <si>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</si>
  <si>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</si>
  <si>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</si>
  <si>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</si>
  <si>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</si>
  <si>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</si>
  <si>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</si>
  <si>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</si>
  <si>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</si>
  <si>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</si>
  <si>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</si>
  <si>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</si>
  <si>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</si>
  <si>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</si>
  <si>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</si>
  <si>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</si>
  <si>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</si>
  <si>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</si>
  <si>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</si>
  <si>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</si>
  <si>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</si>
  <si>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</si>
  <si>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</si>
  <si>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</si>
  <si>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</si>
  <si>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</si>
  <si>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</si>
  <si>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</si>
  <si>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</si>
  <si>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</si>
  <si>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</si>
  <si>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Jumper Wire : </t>
  </si>
  <si>
    <t>CM2-11M</t>
  </si>
  <si>
    <t>Stainless Steel Strap 20 X 0.7 mm</t>
  </si>
  <si>
    <t xml:space="preserve">Pemasangan APP </t>
  </si>
  <si>
    <t>KONSTRUKSI JARINGAN 3 PHASE</t>
  </si>
  <si>
    <t>CJ6-T</t>
  </si>
  <si>
    <t>MJ6-T</t>
  </si>
  <si>
    <t>CE1-3</t>
  </si>
  <si>
    <t>F1-3</t>
  </si>
  <si>
    <t>CM2-12A</t>
  </si>
  <si>
    <t>SCHOOR</t>
  </si>
  <si>
    <t>KONDUKTOR</t>
  </si>
  <si>
    <t>Trafo 1 Fasa CSP 50 KVA (G105, G106, G136)</t>
  </si>
  <si>
    <t>NFA2X-T 2 x 70 + N 50 mm²</t>
  </si>
  <si>
    <t>Sepatu Kabel AL/CU Ring-70 mm²</t>
  </si>
  <si>
    <t>Pemasangan APP 1 Fasa Di Bangunan</t>
  </si>
  <si>
    <t>Daya 11.000 VA</t>
  </si>
  <si>
    <t>CM5-9</t>
  </si>
  <si>
    <t>ALFAMART KALIKONDANG</t>
  </si>
  <si>
    <t xml:space="preserve"> DESA KALIKONDANG RT 6 RW 1 KEC. DEMAK KAB. DEMAK</t>
  </si>
  <si>
    <t>KOORDINAT : -6.912936, 110.607083</t>
  </si>
  <si>
    <t>Staf teknik</t>
  </si>
  <si>
    <t>TL Teknik</t>
  </si>
  <si>
    <t>MULP</t>
  </si>
  <si>
    <t>Mbag Ren</t>
  </si>
  <si>
    <t>B2</t>
  </si>
  <si>
    <t>Demak, 28 November 2023</t>
  </si>
  <si>
    <t>MANAGER</t>
  </si>
  <si>
    <t>ACHMAD SUHENDRO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</si>
</sst>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1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  <numFmt numFmtId="209" formatCode="&quot;Rp&quot;#,##0.00;\-&quot;Rp&quot;#,##0.00"/>
    <numFmt numFmtId="211" formatCode="_-* #,##0_-;\-* #,##0_-;_-* &quot;-&quot;_-;_-@_-"/>
    <numFmt numFmtId="213" formatCode="_-* #,##0.00_-;\-* #,##0.00_-;_-* &quot;-&quot;??_-;_-@_-"/>
  </numFmts>
  <fonts count="177">
    <font>
      <sz val="10"/>
      <name val="Arial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</borders>
  <cellStyleXfs count="4182">
    <xf numFmtId="0" fontId="0" fillId="0" borderId="0"/>
    <xf numFmtId="172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167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67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180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7" fontId="36" fillId="0" borderId="0" applyFont="0" applyFill="0" applyBorder="0" applyAlignment="0" applyProtection="0"/>
    <xf numFmtId="177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8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7" fillId="0" borderId="0" applyFont="0" applyFill="0" applyBorder="0" applyAlignment="0" applyProtection="0"/>
    <xf numFmtId="185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206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6" fontId="36" fillId="0" borderId="3"/>
    <xf numFmtId="186" fontId="22" fillId="0" borderId="3"/>
    <xf numFmtId="164" fontId="23" fillId="0" borderId="0" applyFont="0" applyFill="0" applyBorder="0" applyAlignment="0" applyProtection="0"/>
    <xf numFmtId="164" fontId="48" fillId="0" borderId="0" applyFont="0" applyFill="0" applyBorder="0" applyAlignment="0" applyProtection="0"/>
    <xf numFmtId="173" fontId="36" fillId="0" borderId="0" applyFont="0" applyFill="0" applyBorder="0" applyAlignment="0" applyProtection="0"/>
    <xf numFmtId="173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66" fontId="36" fillId="0" borderId="0" applyFont="0" applyFill="0" applyBorder="0" applyAlignment="0" applyProtection="0"/>
    <xf numFmtId="166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70" fillId="0" borderId="0" applyFont="0" applyFill="0" applyBorder="0" applyAlignment="0" applyProtection="0"/>
    <xf numFmtId="188" fontId="72" fillId="0" borderId="0">
      <protection locked="0"/>
    </xf>
    <xf numFmtId="14" fontId="64" fillId="0" borderId="0" applyFill="0" applyBorder="0" applyAlignment="0"/>
    <xf numFmtId="189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90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1" fontId="77" fillId="0" borderId="0">
      <protection locked="0"/>
    </xf>
    <xf numFmtId="191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2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3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22" fillId="0" borderId="0"/>
    <xf numFmtId="193" fontId="36" fillId="0" borderId="0"/>
    <xf numFmtId="172" fontId="83" fillId="0" borderId="0"/>
    <xf numFmtId="172" fontId="84" fillId="0" borderId="0"/>
    <xf numFmtId="172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4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2" fontId="84" fillId="0" borderId="0"/>
    <xf numFmtId="0" fontId="84" fillId="0" borderId="0"/>
    <xf numFmtId="195" fontId="84" fillId="0" borderId="0"/>
    <xf numFmtId="196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5" fontId="84" fillId="0" borderId="0"/>
    <xf numFmtId="0" fontId="84" fillId="0" borderId="0"/>
    <xf numFmtId="0" fontId="36" fillId="0" borderId="0"/>
    <xf numFmtId="0" fontId="22" fillId="0" borderId="0"/>
    <xf numFmtId="182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7" fontId="84" fillId="0" borderId="0"/>
    <xf numFmtId="199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4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4" fontId="43" fillId="0" borderId="0"/>
    <xf numFmtId="194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200" fontId="36" fillId="0" borderId="0" applyFont="0" applyFill="0" applyBorder="0" applyAlignment="0" applyProtection="0"/>
    <xf numFmtId="200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4" fillId="0" borderId="0"/>
    <xf numFmtId="201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36" fillId="0" borderId="0" applyFill="0" applyBorder="0" applyAlignment="0"/>
    <xf numFmtId="203" fontId="22" fillId="0" borderId="0" applyFill="0" applyBorder="0" applyAlignment="0"/>
    <xf numFmtId="204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9" fillId="0" borderId="0"/>
    <xf numFmtId="41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41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5" fillId="0" borderId="0"/>
    <xf numFmtId="41" fontId="22" fillId="0" borderId="0" applyFont="0" applyFill="0" applyBorder="0" applyAlignment="0" applyProtection="0"/>
    <xf numFmtId="0" fontId="5" fillId="0" borderId="0"/>
    <xf numFmtId="43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" fillId="0" borderId="0"/>
    <xf numFmtId="0" fontId="16" fillId="0" borderId="0"/>
    <xf numFmtId="0" fontId="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100"/>
    <xf numFmtId="0" fontId="89" fillId="0" borderId="101"/>
    <xf numFmtId="43" fontId="22" fillId="0" borderId="0" applyFont="0" applyFill="0" applyBorder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79" fillId="0" borderId="103"/>
    <xf numFmtId="0" fontId="79" fillId="0" borderId="103"/>
    <xf numFmtId="0" fontId="79" fillId="0" borderId="103"/>
    <xf numFmtId="0" fontId="79" fillId="0" borderId="103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0" fontId="89" fillId="0" borderId="104"/>
    <xf numFmtId="0" fontId="89" fillId="0" borderId="104"/>
    <xf numFmtId="0" fontId="2" fillId="0" borderId="0"/>
    <xf numFmtId="43" fontId="11" fillId="0" borderId="0" applyFont="0" applyFill="0" applyBorder="0" applyAlignment="0" applyProtection="0"/>
    <xf numFmtId="0" fontId="2" fillId="0" borderId="0"/>
    <xf numFmtId="211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0" fontId="2" fillId="0" borderId="0"/>
    <xf numFmtId="211" fontId="22" fillId="0" borderId="0" applyFont="0" applyFill="0" applyBorder="0" applyAlignment="0" applyProtection="0"/>
    <xf numFmtId="0" fontId="2" fillId="0" borderId="0"/>
    <xf numFmtId="213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09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66" fillId="0" borderId="0" applyFont="0" applyFill="0" applyBorder="0" applyAlignment="0" applyProtection="0"/>
    <xf numFmtId="211" fontId="67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68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69" fillId="0" borderId="0" applyFont="0" applyFill="0" applyBorder="0" applyAlignment="0" applyProtection="0"/>
    <xf numFmtId="213" fontId="69" fillId="0" borderId="0" applyFont="0" applyFill="0" applyBorder="0" applyAlignment="0" applyProtection="0"/>
    <xf numFmtId="213" fontId="16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213" fontId="22" fillId="0" borderId="0" applyFont="0" applyFill="0" applyBorder="0" applyAlignment="0" applyProtection="0"/>
  </cellStyleXfs>
  <cellXfs count="721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165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165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165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167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9" fontId="45" fillId="0" borderId="0" xfId="714" applyFont="1" applyFill="1" applyAlignment="1">
      <alignment horizontal="center" wrapText="1"/>
    </xf>
    <xf numFmtId="169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9" fontId="45" fillId="0" borderId="21" xfId="715" applyNumberFormat="1" applyFont="1" applyFill="1" applyBorder="1" applyAlignment="1">
      <alignment horizontal="center" vertical="center" wrapText="1"/>
    </xf>
    <xf numFmtId="169" fontId="45" fillId="0" borderId="21" xfId="714" applyFont="1" applyFill="1" applyBorder="1" applyAlignment="1">
      <alignment horizontal="center" vertical="center" wrapText="1"/>
    </xf>
    <xf numFmtId="169" fontId="45" fillId="0" borderId="33" xfId="714" applyFont="1" applyFill="1" applyBorder="1" applyAlignment="1">
      <alignment horizontal="center" vertical="center" wrapText="1"/>
    </xf>
    <xf numFmtId="167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167" fontId="44" fillId="0" borderId="0" xfId="1615" applyNumberFormat="1" applyFont="1" applyAlignment="1">
      <alignment horizontal="left" vertical="center"/>
    </xf>
    <xf numFmtId="167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7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165" fontId="96" fillId="0" borderId="0" xfId="1448" applyNumberFormat="1" applyFont="1" applyAlignment="1">
      <alignment wrapText="1"/>
    </xf>
    <xf numFmtId="165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9" fontId="45" fillId="0" borderId="21" xfId="717" applyNumberFormat="1" applyFont="1" applyFill="1" applyBorder="1" applyAlignment="1" applyProtection="1">
      <alignment horizontal="center" vertical="center" wrapText="1"/>
    </xf>
    <xf numFmtId="165" fontId="45" fillId="0" borderId="21" xfId="1451" applyNumberFormat="1" applyFont="1" applyBorder="1" applyAlignment="1">
      <alignment horizontal="center" vertical="center" wrapText="1"/>
    </xf>
    <xf numFmtId="169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9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9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9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167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93" fillId="33" borderId="68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9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21" fillId="33" borderId="72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165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9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3" fillId="0" borderId="0" xfId="1538"/>
    <xf numFmtId="167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167" fontId="0" fillId="0" borderId="3" xfId="1026" applyFont="1" applyFill="1" applyBorder="1" applyProtection="1"/>
    <xf numFmtId="167" fontId="113" fillId="0" borderId="3" xfId="1538" applyNumberFormat="1" applyBorder="1"/>
    <xf numFmtId="167" fontId="141" fillId="0" borderId="3" xfId="1026" applyFont="1" applyBorder="1" applyProtection="1"/>
    <xf numFmtId="167" fontId="0" fillId="0" borderId="3" xfId="1026" applyFont="1" applyBorder="1" applyProtection="1"/>
    <xf numFmtId="167" fontId="129" fillId="0" borderId="3" xfId="1538" applyNumberFormat="1" applyFont="1" applyBorder="1"/>
    <xf numFmtId="0" fontId="62" fillId="0" borderId="3" xfId="1538" applyFont="1" applyBorder="1"/>
    <xf numFmtId="165" fontId="113" fillId="0" borderId="3" xfId="1538" applyNumberFormat="1" applyBorder="1"/>
    <xf numFmtId="167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167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167" fontId="50" fillId="0" borderId="0" xfId="1538" applyNumberFormat="1" applyFont="1"/>
    <xf numFmtId="0" fontId="113" fillId="29" borderId="3" xfId="1538" applyFill="1" applyBorder="1"/>
    <xf numFmtId="169" fontId="113" fillId="29" borderId="3" xfId="1538" applyNumberFormat="1" applyFill="1" applyBorder="1" applyAlignment="1">
      <alignment horizontal="right"/>
    </xf>
    <xf numFmtId="43" fontId="113" fillId="0" borderId="0" xfId="1538" applyNumberFormat="1"/>
    <xf numFmtId="167" fontId="113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167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2" fillId="0" borderId="20" xfId="1615" applyFont="1" applyBorder="1" applyAlignment="1">
      <alignment horizontal="center" vertical="center"/>
    </xf>
    <xf numFmtId="0" fontId="152" fillId="0" borderId="21" xfId="1615" applyFont="1" applyBorder="1" applyAlignment="1">
      <alignment horizontal="left" vertical="center" wrapText="1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451" applyFont="1" applyBorder="1" applyAlignment="1">
      <alignment horizontal="left" vertical="center" wrapText="1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3" applyFont="1" applyBorder="1" applyAlignment="1">
      <alignment vertical="center" wrapText="1"/>
    </xf>
    <xf numFmtId="0" fontId="153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7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37" fontId="151" fillId="0" borderId="0" xfId="1614" applyNumberFormat="1" applyFont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165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83" xfId="2670" applyFont="1" applyFill="1" applyBorder="1" applyAlignment="1">
      <alignment horizontal="left" vertical="center"/>
    </xf>
    <xf numFmtId="0" fontId="161" fillId="39" borderId="84" xfId="2670" applyFont="1" applyFill="1" applyBorder="1" applyAlignment="1">
      <alignment horizontal="center" vertical="center"/>
    </xf>
    <xf numFmtId="0" fontId="161" fillId="39" borderId="86" xfId="2670" applyFont="1" applyFill="1" applyBorder="1" applyAlignment="1">
      <alignment horizontal="left" vertical="center"/>
    </xf>
    <xf numFmtId="0" fontId="161" fillId="39" borderId="82" xfId="2670" applyFont="1" applyFill="1" applyBorder="1" applyAlignment="1">
      <alignment horizontal="center" vertical="center"/>
    </xf>
    <xf numFmtId="0" fontId="161" fillId="39" borderId="88" xfId="2670" applyFont="1" applyFill="1" applyBorder="1" applyAlignment="1">
      <alignment horizontal="left" vertical="center"/>
    </xf>
    <xf numFmtId="0" fontId="161" fillId="39" borderId="89" xfId="2670" applyFont="1" applyFill="1" applyBorder="1" applyAlignment="1">
      <alignment horizontal="center" vertical="center"/>
    </xf>
    <xf numFmtId="167" fontId="142" fillId="40" borderId="85" xfId="2672" applyFont="1" applyFill="1" applyBorder="1" applyAlignment="1" applyProtection="1">
      <alignment horizontal="right" vertical="center" wrapText="1"/>
      <protection locked="0"/>
    </xf>
    <xf numFmtId="167" fontId="142" fillId="40" borderId="87" xfId="2672" applyFont="1" applyFill="1" applyBorder="1" applyAlignment="1" applyProtection="1">
      <alignment horizontal="right" vertical="center"/>
      <protection locked="0"/>
    </xf>
    <xf numFmtId="169" fontId="142" fillId="40" borderId="87" xfId="2672" applyNumberFormat="1" applyFont="1" applyFill="1" applyBorder="1" applyAlignment="1" applyProtection="1">
      <alignment horizontal="right" vertical="center"/>
      <protection locked="0"/>
    </xf>
    <xf numFmtId="169" fontId="142" fillId="40" borderId="90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4" xfId="2673" applyFont="1" applyFill="1" applyBorder="1" applyAlignment="1">
      <alignment vertical="center" wrapText="1"/>
    </xf>
    <xf numFmtId="0" fontId="148" fillId="43" borderId="94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8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49" fontId="93" fillId="33" borderId="60" xfId="0" applyNumberFormat="1" applyFont="1" applyFill="1" applyBorder="1" applyAlignment="1">
      <alignment horizontal="left" vertical="center" wrapText="1"/>
    </xf>
    <xf numFmtId="49" fontId="93" fillId="33" borderId="61" xfId="0" applyNumberFormat="1" applyFont="1" applyFill="1" applyBorder="1" applyAlignment="1">
      <alignment horizontal="left" vertical="center"/>
    </xf>
    <xf numFmtId="41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7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9" fontId="146" fillId="47" borderId="0" xfId="2672" applyNumberFormat="1" applyFont="1" applyFill="1" applyBorder="1" applyAlignment="1" applyProtection="1">
      <alignment horizontal="right" vertical="center"/>
    </xf>
    <xf numFmtId="0" fontId="176" fillId="0" borderId="69" xfId="1450" applyFont="1" applyBorder="1" applyAlignment="1">
      <alignment horizontal="center" vertical="center"/>
    </xf>
    <xf numFmtId="0" fontId="176" fillId="0" borderId="99" xfId="1450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7" fillId="0" borderId="21" xfId="1652" applyFont="1" applyBorder="1" applyAlignment="1">
      <alignment horizontal="left"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129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/>
    </xf>
    <xf numFmtId="0" fontId="11" fillId="0" borderId="21" xfId="1614" applyFont="1" applyBorder="1" applyAlignment="1">
      <alignment horizontal="center" vertical="center" wrapText="1"/>
    </xf>
    <xf numFmtId="0" fontId="115" fillId="0" borderId="20" xfId="1652" applyFont="1" applyBorder="1" applyAlignment="1">
      <alignment horizontal="center" vertical="center"/>
    </xf>
    <xf numFmtId="0" fontId="115" fillId="0" borderId="21" xfId="1652" applyFont="1" applyBorder="1" applyAlignment="1">
      <alignment vertical="center"/>
    </xf>
    <xf numFmtId="0" fontId="45" fillId="0" borderId="21" xfId="1450" applyFont="1" applyBorder="1" applyAlignment="1">
      <alignment vertical="center" wrapText="1"/>
    </xf>
    <xf numFmtId="0" fontId="45" fillId="0" borderId="21" xfId="0" applyFont="1" applyBorder="1" applyAlignment="1">
      <alignment horizontal="left" vertical="center" wrapText="1"/>
    </xf>
    <xf numFmtId="3" fontId="11" fillId="0" borderId="21" xfId="1599" applyNumberFormat="1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2" fillId="0" borderId="21" xfId="1451" applyBorder="1" applyAlignment="1">
      <alignment horizontal="center" wrapText="1"/>
    </xf>
    <xf numFmtId="0" fontId="22" fillId="0" borderId="21" xfId="1451" applyBorder="1" applyAlignment="1">
      <alignment horizontal="center" vertical="center" wrapText="1"/>
    </xf>
    <xf numFmtId="3" fontId="115" fillId="0" borderId="21" xfId="1451" applyNumberFormat="1" applyFont="1" applyBorder="1" applyAlignment="1">
      <alignment horizontal="center" vertical="center" wrapText="1"/>
    </xf>
    <xf numFmtId="0" fontId="45" fillId="0" borderId="20" xfId="1652" applyFont="1" applyBorder="1" applyAlignment="1">
      <alignment horizontal="center" vertical="center"/>
    </xf>
    <xf numFmtId="0" fontId="45" fillId="0" borderId="21" xfId="1652" applyFont="1" applyBorder="1" applyAlignment="1">
      <alignment vertical="center"/>
    </xf>
    <xf numFmtId="0" fontId="3" fillId="0" borderId="21" xfId="1652" applyFont="1" applyBorder="1" applyAlignment="1">
      <alignment horizontal="center" vertical="center"/>
    </xf>
    <xf numFmtId="0" fontId="129" fillId="48" borderId="21" xfId="1652" applyFont="1" applyFill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0" fontId="53" fillId="0" borderId="3" xfId="1614" applyFont="1" applyBorder="1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169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9" fillId="0" borderId="96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7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43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5" xfId="2673" applyNumberFormat="1" applyFont="1" applyFill="1" applyBorder="1" applyAlignment="1">
      <alignment horizontal="center" vertical="center" wrapText="1"/>
    </xf>
    <xf numFmtId="0" fontId="165" fillId="41" borderId="91" xfId="2673" applyFont="1" applyFill="1" applyBorder="1" applyAlignment="1">
      <alignment horizontal="center" vertical="center" wrapText="1"/>
    </xf>
    <xf numFmtId="0" fontId="165" fillId="41" borderId="92" xfId="2673" applyFont="1" applyFill="1" applyBorder="1" applyAlignment="1">
      <alignment horizontal="center" vertical="center" wrapText="1"/>
    </xf>
    <xf numFmtId="0" fontId="165" fillId="41" borderId="93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43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0" fontId="165" fillId="42" borderId="91" xfId="2673" applyFont="1" applyFill="1" applyBorder="1" applyAlignment="1">
      <alignment horizontal="center" vertical="center" wrapText="1"/>
    </xf>
    <xf numFmtId="0" fontId="165" fillId="42" borderId="92" xfId="2673" applyFont="1" applyFill="1" applyBorder="1" applyAlignment="1">
      <alignment horizontal="center" vertical="center" wrapText="1"/>
    </xf>
    <xf numFmtId="0" fontId="165" fillId="42" borderId="93" xfId="2673" applyFont="1" applyFill="1" applyBorder="1" applyAlignment="1">
      <alignment horizontal="center" vertical="center" wrapText="1"/>
    </xf>
    <xf numFmtId="43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5" xfId="2673" applyNumberFormat="1" applyFont="1" applyFill="1" applyBorder="1" applyAlignment="1">
      <alignment horizontal="center" vertical="center" wrapText="1"/>
    </xf>
    <xf numFmtId="0" fontId="10" fillId="34" borderId="77" xfId="2670" applyFill="1" applyBorder="1" applyAlignment="1">
      <alignment horizontal="center" vertical="center"/>
    </xf>
    <xf numFmtId="0" fontId="140" fillId="0" borderId="78" xfId="2670" applyFont="1" applyBorder="1" applyAlignment="1">
      <alignment horizontal="left" vertical="center"/>
    </xf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horizontal="center" vertical="center"/>
    </xf>
    <xf numFmtId="0" fontId="113" fillId="38" borderId="3" xfId="1538" applyFill="1" applyBorder="1" applyAlignment="1">
      <alignment horizontal="center" vertical="center" wrapText="1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208" fontId="176" fillId="0" borderId="73" xfId="1450" applyNumberFormat="1" applyFont="1" applyBorder="1" applyAlignment="1">
      <alignment horizontal="left" vertical="center"/>
    </xf>
    <xf numFmtId="208" fontId="176" fillId="0" borderId="74" xfId="1450" applyNumberFormat="1" applyFont="1" applyBorder="1" applyAlignment="1">
      <alignment horizontal="left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49" fontId="116" fillId="33" borderId="50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79" xfId="0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0" fontId="93" fillId="33" borderId="80" xfId="0" applyFont="1" applyFill="1" applyBorder="1" applyAlignment="1">
      <alignment horizontal="center" vertical="center"/>
    </xf>
    <xf numFmtId="0" fontId="93" fillId="33" borderId="81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center"/>
    </xf>
    <xf numFmtId="0" fontId="120" fillId="33" borderId="73" xfId="0" applyFont="1" applyFill="1" applyBorder="1" applyAlignment="1">
      <alignment horizontal="center" vertical="center"/>
    </xf>
    <xf numFmtId="0" fontId="120" fillId="33" borderId="74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93" fillId="33" borderId="61" xfId="0" applyFont="1" applyFill="1" applyBorder="1" applyAlignment="1">
      <alignment horizontal="left" vertical="center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center" vertical="center"/>
    </xf>
    <xf numFmtId="0" fontId="93" fillId="33" borderId="40" xfId="0" applyFont="1" applyFill="1" applyBorder="1" applyAlignment="1">
      <alignment horizontal="center" vertical="center"/>
    </xf>
    <xf numFmtId="0" fontId="121" fillId="33" borderId="75" xfId="0" applyFont="1" applyFill="1" applyBorder="1" applyAlignment="1">
      <alignment horizontal="center" vertical="center" wrapText="1"/>
    </xf>
    <xf numFmtId="0" fontId="121" fillId="33" borderId="76" xfId="0" applyFont="1" applyFill="1" applyBorder="1" applyAlignment="1">
      <alignment horizontal="center" vertical="center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116" fillId="33" borderId="64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</cellXfs>
  <cellStyles count="4182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0 2" xfId="3390" xr:uid="{16FC3090-2CCA-4492-9461-A4DD9B59E3E7}"/>
    <cellStyle name="Check Cell 11" xfId="504" xr:uid="{00000000-0005-0000-0000-0000F7010000}"/>
    <cellStyle name="Check Cell 11 2" xfId="3391" xr:uid="{45587DB4-A643-4CFA-8A8E-D40C072F3A13}"/>
    <cellStyle name="Check Cell 12" xfId="505" xr:uid="{00000000-0005-0000-0000-0000F8010000}"/>
    <cellStyle name="Check Cell 12 2" xfId="3392" xr:uid="{8D7B036C-E1E8-4D27-BEA8-0FA530D2CCD9}"/>
    <cellStyle name="Check Cell 13" xfId="506" xr:uid="{00000000-0005-0000-0000-0000F9010000}"/>
    <cellStyle name="Check Cell 13 2" xfId="3393" xr:uid="{3463F2A7-81B1-41CE-B086-C457299B0DB0}"/>
    <cellStyle name="Check Cell 14" xfId="507" xr:uid="{00000000-0005-0000-0000-0000FA010000}"/>
    <cellStyle name="Check Cell 14 2" xfId="3394" xr:uid="{86F4059C-3FB0-443C-BF79-DAC2332DB0D8}"/>
    <cellStyle name="Check Cell 15" xfId="508" xr:uid="{00000000-0005-0000-0000-0000FB010000}"/>
    <cellStyle name="Check Cell 15 2" xfId="3395" xr:uid="{F0D2DAF7-8152-4D44-8B6C-450A1A93F53B}"/>
    <cellStyle name="Check Cell 16" xfId="509" xr:uid="{00000000-0005-0000-0000-0000FC010000}"/>
    <cellStyle name="Check Cell 16 2" xfId="3396" xr:uid="{65FE91E4-EAC5-42AE-BF52-1AC3351A122C}"/>
    <cellStyle name="Check Cell 17" xfId="3389" xr:uid="{4E8372D7-944D-475F-9B7C-549AB4745B94}"/>
    <cellStyle name="Check Cell 2" xfId="510" xr:uid="{00000000-0005-0000-0000-0000FD010000}"/>
    <cellStyle name="Check Cell 2 2" xfId="511" xr:uid="{00000000-0005-0000-0000-0000FE010000}"/>
    <cellStyle name="Check Cell 2 2 2" xfId="3398" xr:uid="{941E7334-9363-49A7-99E9-07756ABD1740}"/>
    <cellStyle name="Check Cell 2 3" xfId="512" xr:uid="{00000000-0005-0000-0000-0000FF010000}"/>
    <cellStyle name="Check Cell 2 3 2" xfId="3399" xr:uid="{9845D272-D8A2-40AC-BA21-267CAEFECE02}"/>
    <cellStyle name="Check Cell 2 4" xfId="3397" xr:uid="{DBD2FC3B-2AB4-49EC-A589-09DF50E3AECF}"/>
    <cellStyle name="Check Cell 3" xfId="513" xr:uid="{00000000-0005-0000-0000-000000020000}"/>
    <cellStyle name="Check Cell 3 2" xfId="514" xr:uid="{00000000-0005-0000-0000-000001020000}"/>
    <cellStyle name="Check Cell 3 2 2" xfId="3401" xr:uid="{A64A005E-528C-483B-A2A7-5C779780784E}"/>
    <cellStyle name="Check Cell 3 3" xfId="3400" xr:uid="{4263C9A7-8CB2-4884-9B82-6C6BCDED0747}"/>
    <cellStyle name="Check Cell 4" xfId="515" xr:uid="{00000000-0005-0000-0000-000002020000}"/>
    <cellStyle name="Check Cell 4 2" xfId="516" xr:uid="{00000000-0005-0000-0000-000003020000}"/>
    <cellStyle name="Check Cell 4 2 2" xfId="3403" xr:uid="{7EA03965-DD32-49DD-AAC3-6C099B678000}"/>
    <cellStyle name="Check Cell 4 3" xfId="3402" xr:uid="{96A9AE02-DAA5-4964-9CB2-A332EC5DAE05}"/>
    <cellStyle name="Check Cell 5" xfId="517" xr:uid="{00000000-0005-0000-0000-000004020000}"/>
    <cellStyle name="Check Cell 5 2" xfId="518" xr:uid="{00000000-0005-0000-0000-000005020000}"/>
    <cellStyle name="Check Cell 5 2 2" xfId="3405" xr:uid="{6CE02047-ABA1-4E0F-A798-672C44ED86BA}"/>
    <cellStyle name="Check Cell 5 3" xfId="3404" xr:uid="{52975724-98E4-4B55-B25C-FAFC400C4485}"/>
    <cellStyle name="Check Cell 6" xfId="519" xr:uid="{00000000-0005-0000-0000-000006020000}"/>
    <cellStyle name="Check Cell 6 2" xfId="3406" xr:uid="{1688C6DB-4862-430E-B149-D841C4315AC6}"/>
    <cellStyle name="Check Cell 7" xfId="520" xr:uid="{00000000-0005-0000-0000-000007020000}"/>
    <cellStyle name="Check Cell 7 2" xfId="3407" xr:uid="{42D9969A-3A3D-4534-984C-0D82A896FF39}"/>
    <cellStyle name="Check Cell 8" xfId="521" xr:uid="{00000000-0005-0000-0000-000008020000}"/>
    <cellStyle name="Check Cell 8 2" xfId="3408" xr:uid="{96AF57C2-1886-4C9C-AB31-4B74CD5C0608}"/>
    <cellStyle name="Check Cell 9" xfId="522" xr:uid="{00000000-0005-0000-0000-000009020000}"/>
    <cellStyle name="Check Cell 9 2" xfId="3409" xr:uid="{08B04DD8-A0B3-4FD0-A78D-F373DA7EF843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3845" xr:uid="{CFBCB817-2931-41E7-8589-58B655579B78}"/>
    <cellStyle name="Comma [0] 10 3" xfId="530" xr:uid="{00000000-0005-0000-0000-000012020000}"/>
    <cellStyle name="Comma [0] 10 3 2" xfId="3411" xr:uid="{1B286E07-93ED-4AD3-8023-860983E67F68}"/>
    <cellStyle name="Comma [0] 10 4" xfId="531" xr:uid="{00000000-0005-0000-0000-000013020000}"/>
    <cellStyle name="Comma [0] 10 4 2" xfId="3412" xr:uid="{63F12D30-310B-4649-BEDE-0D700477D1B2}"/>
    <cellStyle name="Comma [0] 10 5" xfId="2695" xr:uid="{82BF7D9A-2C96-4896-BC7A-DF5C00D7B232}"/>
    <cellStyle name="Comma [0] 10 5 2" xfId="3853" xr:uid="{99F1CDA6-5B61-4905-B35F-5B01F4449CD4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413" xr:uid="{C5813741-D228-431D-AAA9-627ABB3A5940}"/>
    <cellStyle name="Comma [0] 11 2 3" xfId="2901" xr:uid="{56C809E9-E525-4D16-BC9E-FF2A892E9B54}"/>
    <cellStyle name="Comma [0] 11 2 3 2" xfId="3855" xr:uid="{DF522A16-B33F-447F-B1D2-46CFB0E1CBDD}"/>
    <cellStyle name="Comma [0] 11 3" xfId="535" xr:uid="{00000000-0005-0000-0000-000017020000}"/>
    <cellStyle name="Comma [0] 11 3 2" xfId="3414" xr:uid="{2DB35A0C-DAEE-4901-9E5E-0862AA3A7CD3}"/>
    <cellStyle name="Comma [0] 11 4" xfId="2900" xr:uid="{C45CAFA5-6288-4A90-9AEF-95727CECA0C0}"/>
    <cellStyle name="Comma [0] 11 4 2" xfId="3854" xr:uid="{6FBCD3B0-E27C-4E56-83B5-E356FDC5653A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416" xr:uid="{12DD0B6E-075E-4DC2-B920-EE758203740D}"/>
    <cellStyle name="Comma [0] 12 2 3" xfId="2903" xr:uid="{3AC2B8C4-0C2B-4477-9C81-4A3B771A9682}"/>
    <cellStyle name="Comma [0] 12 2 3 2" xfId="3857" xr:uid="{53F85122-B71C-43AC-B885-B96A466408C7}"/>
    <cellStyle name="Comma [0] 12 3" xfId="539" xr:uid="{00000000-0005-0000-0000-00001B020000}"/>
    <cellStyle name="Comma [0] 12 3 2" xfId="540" xr:uid="{00000000-0005-0000-0000-00001C020000}"/>
    <cellStyle name="Comma [0] 12 3 2 2" xfId="3417" xr:uid="{2A68E457-7F16-41DB-8D64-1DD5C75187D2}"/>
    <cellStyle name="Comma [0] 12 3 3" xfId="2904" xr:uid="{5C3B9A18-950F-4DE5-9C52-1F1296869748}"/>
    <cellStyle name="Comma [0] 12 3 3 2" xfId="3858" xr:uid="{9260E2A6-CD0B-4994-857F-521DE07BA505}"/>
    <cellStyle name="Comma [0] 12 4" xfId="2902" xr:uid="{99BCCA6F-4BFA-416A-9F12-8C5740FF3EE9}"/>
    <cellStyle name="Comma [0] 12 4 2" xfId="3856" xr:uid="{CBA6549A-89C0-4DB0-9D77-BEC257603268}"/>
    <cellStyle name="Comma [0] 12 5" xfId="3415" xr:uid="{4F645908-9330-4428-98D7-C36D5727DA5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418" xr:uid="{77E96835-0813-4708-94A2-2297B01B0742}"/>
    <cellStyle name="Comma [0] 14 2 3" xfId="2905" xr:uid="{EF30CDF9-B34A-4BFF-97B3-94934776C17D}"/>
    <cellStyle name="Comma [0] 14 2 3 2" xfId="3859" xr:uid="{641FE22C-D189-4B9D-95AE-EFE2F97994A9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419" xr:uid="{6C2B5085-3791-4627-A04A-F3E878076EFE}"/>
    <cellStyle name="Comma [0] 15 2 3" xfId="2907" xr:uid="{431B052B-8636-4B9E-B88E-B3362656198D}"/>
    <cellStyle name="Comma [0] 15 2 3 2" xfId="3861" xr:uid="{413D333B-E85A-4886-8C4A-8A20A08865EA}"/>
    <cellStyle name="Comma [0] 15 3" xfId="2906" xr:uid="{88246A47-5282-43D0-A8C7-336B9B16CA56}"/>
    <cellStyle name="Comma [0] 15 3 2" xfId="3860" xr:uid="{793471DC-54DB-4F1A-8257-3C0E42C1FE89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6 2 2" xfId="3862" xr:uid="{F7EDFFCC-FE30-438A-9371-39C442A872A5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420" xr:uid="{47CF3FDD-7D9F-473E-9A2F-BCD2DAC2CCBD}"/>
    <cellStyle name="Comma [0] 18 2 3" xfId="2910" xr:uid="{7F54D159-D09E-4040-A8B6-00E4D5AA7A1B}"/>
    <cellStyle name="Comma [0] 18 2 3 2" xfId="3864" xr:uid="{570BF176-504F-40C1-8FCE-30970BB8A389}"/>
    <cellStyle name="Comma [0] 18 3" xfId="557" xr:uid="{00000000-0005-0000-0000-00002D020000}"/>
    <cellStyle name="Comma [0] 18 3 2" xfId="3421" xr:uid="{E2048502-7043-43A0-AF2F-DB720C6A98B5}"/>
    <cellStyle name="Comma [0] 18 4" xfId="2909" xr:uid="{9AE4D7F5-BB85-4403-B2F3-E31A880D4BA7}"/>
    <cellStyle name="Comma [0] 18 4 2" xfId="3863" xr:uid="{CDF37FE7-D5B5-48DD-B41E-9B92FC5E7333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422" xr:uid="{F422513A-C15A-42ED-B519-8E5AEE39BECF}"/>
    <cellStyle name="Comma [0] 19 2 3" xfId="2912" xr:uid="{644C7D1C-7334-47CC-B8D6-A430430C29FC}"/>
    <cellStyle name="Comma [0] 19 2 3 2" xfId="3866" xr:uid="{250EA574-41DC-4E44-95FD-CF15333A3017}"/>
    <cellStyle name="Comma [0] 19 3" xfId="561" xr:uid="{00000000-0005-0000-0000-000031020000}"/>
    <cellStyle name="Comma [0] 19 3 2" xfId="3423" xr:uid="{689721FB-3E12-463C-9278-134537162319}"/>
    <cellStyle name="Comma [0] 19 4" xfId="2911" xr:uid="{4C57ACA0-34BA-4478-B820-3AC5B4469BE3}"/>
    <cellStyle name="Comma [0] 19 4 2" xfId="3865" xr:uid="{E89D413A-1CCC-4E89-9A03-F9C73E24F9ED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424" xr:uid="{C942CCAC-7F33-473C-A323-83B1C801D765}"/>
    <cellStyle name="Comma [0] 2 10 3" xfId="565" xr:uid="{00000000-0005-0000-0000-000035020000}"/>
    <cellStyle name="Comma [0] 2 10 3 2" xfId="3425" xr:uid="{8EF73762-C615-4296-B42F-02AF32D29E24}"/>
    <cellStyle name="Comma [0] 2 10 4" xfId="2913" xr:uid="{7D772CB3-9728-478C-ACD7-7602CA8C2996}"/>
    <cellStyle name="Comma [0] 2 10 4 2" xfId="3867" xr:uid="{7825E173-792C-45A9-B0C6-536B4CE37EE8}"/>
    <cellStyle name="Comma [0] 2 11" xfId="566" xr:uid="{00000000-0005-0000-0000-000036020000}"/>
    <cellStyle name="Comma [0] 2 11 2" xfId="2914" xr:uid="{B84335E5-D1A8-4C73-ABD6-9CFFA0DB128C}"/>
    <cellStyle name="Comma [0] 2 11 2 2" xfId="3868" xr:uid="{E9E577F3-C70C-4180-B0B1-FDDB35FB2781}"/>
    <cellStyle name="Comma [0] 2 12" xfId="567" xr:uid="{00000000-0005-0000-0000-000037020000}"/>
    <cellStyle name="Comma [0] 2 12 2" xfId="3426" xr:uid="{4B33626B-DCA3-4074-B135-1B1D274EA988}"/>
    <cellStyle name="Comma [0] 2 13" xfId="2690" xr:uid="{7DACA5CF-B874-4FD0-AC06-A35875BA187A}"/>
    <cellStyle name="Comma [0] 2 13 2" xfId="3848" xr:uid="{84CC8E51-2A74-467D-BB6F-49094AB9F18D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429" xr:uid="{E5A12C2A-A3F1-4C76-B76C-9A35E8F2269D}"/>
    <cellStyle name="Comma [0] 2 2 2 2 2 2 2 2 3" xfId="2921" xr:uid="{7C668210-9CFC-48FC-BE47-9DB6C1D10FD4}"/>
    <cellStyle name="Comma [0] 2 2 2 2 2 2 2 2 3 2" xfId="3875" xr:uid="{BA499137-8112-4ED7-A2B6-3F73833F42EC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430" xr:uid="{E047E07C-62EA-48DC-A1D3-17EF9AFD2EAA}"/>
    <cellStyle name="Comma [0] 2 2 2 2 2 2 2 3 3" xfId="2922" xr:uid="{52EB1D73-9647-4505-B93F-CC969CD219C3}"/>
    <cellStyle name="Comma [0] 2 2 2 2 2 2 2 3 3 2" xfId="3876" xr:uid="{5B6ED56E-3B43-49EC-A894-15593C769558}"/>
    <cellStyle name="Comma [0] 2 2 2 2 2 2 2 4" xfId="2920" xr:uid="{E692216F-B0B4-4BB9-A627-97233D982EC6}"/>
    <cellStyle name="Comma [0] 2 2 2 2 2 2 2 4 2" xfId="3874" xr:uid="{F577C776-8FAA-4543-9BAF-26D969660A08}"/>
    <cellStyle name="Comma [0] 2 2 2 2 2 2 2 5" xfId="3428" xr:uid="{77494565-2450-4552-9DE2-5E158AA9795A}"/>
    <cellStyle name="Comma [0] 2 2 2 2 2 2 3" xfId="578" xr:uid="{00000000-0005-0000-0000-000042020000}"/>
    <cellStyle name="Comma [0] 2 2 2 2 2 2 3 2" xfId="2923" xr:uid="{A77F1E1E-9D60-4752-9DC0-CE5DC06E53B1}"/>
    <cellStyle name="Comma [0] 2 2 2 2 2 2 3 2 2" xfId="3877" xr:uid="{6CF94CDA-02CB-4B26-B11A-A9FA9A226072}"/>
    <cellStyle name="Comma [0] 2 2 2 2 2 2 3 3" xfId="3431" xr:uid="{24EFE101-ED87-426D-870E-EF3DDF7B8E20}"/>
    <cellStyle name="Comma [0] 2 2 2 2 2 2 4" xfId="579" xr:uid="{00000000-0005-0000-0000-000043020000}"/>
    <cellStyle name="Comma [0] 2 2 2 2 2 2 4 2" xfId="3432" xr:uid="{D56076EE-25A4-4604-A66D-69A0FCCE8EE5}"/>
    <cellStyle name="Comma [0] 2 2 2 2 2 2 5" xfId="2919" xr:uid="{7A27E7ED-9EFD-4207-8390-5D7A19BEFFD6}"/>
    <cellStyle name="Comma [0] 2 2 2 2 2 2 5 2" xfId="3873" xr:uid="{1C6D32CF-CD56-4E2E-9E1A-D911569C18EC}"/>
    <cellStyle name="Comma [0] 2 2 2 2 2 3" xfId="580" xr:uid="{00000000-0005-0000-0000-000044020000}"/>
    <cellStyle name="Comma [0] 2 2 2 2 2 3 2" xfId="581" xr:uid="{00000000-0005-0000-0000-000045020000}"/>
    <cellStyle name="Comma [0] 2 2 2 2 2 3 2 2" xfId="3433" xr:uid="{77738520-C5C1-4B68-8915-CF23CDE56DEF}"/>
    <cellStyle name="Comma [0] 2 2 2 2 2 3 3" xfId="2924" xr:uid="{62D12444-ABF3-4AC1-81CC-37AB5372CDD1}"/>
    <cellStyle name="Comma [0] 2 2 2 2 2 3 3 2" xfId="3878" xr:uid="{700D96AF-C79A-4E2F-9DE8-8F5B8120C295}"/>
    <cellStyle name="Comma [0] 2 2 2 2 2 4" xfId="582" xr:uid="{00000000-0005-0000-0000-000046020000}"/>
    <cellStyle name="Comma [0] 2 2 2 2 2 4 2" xfId="583" xr:uid="{00000000-0005-0000-0000-000047020000}"/>
    <cellStyle name="Comma [0] 2 2 2 2 2 4 2 2" xfId="3434" xr:uid="{E2AE018C-D38B-41DA-B299-378A1CD21E7C}"/>
    <cellStyle name="Comma [0] 2 2 2 2 2 4 3" xfId="2925" xr:uid="{A759050E-D27B-4ACD-AF69-B645B0B10A9C}"/>
    <cellStyle name="Comma [0] 2 2 2 2 2 4 3 2" xfId="3879" xr:uid="{E5363CE2-D3E3-4EA7-AB56-B7DE9EF8A237}"/>
    <cellStyle name="Comma [0] 2 2 2 2 2 5" xfId="2918" xr:uid="{AB84DAE5-3105-48EE-AFA8-0E5AF34EEB9C}"/>
    <cellStyle name="Comma [0] 2 2 2 2 2 5 2" xfId="3872" xr:uid="{192AB187-BB2F-4993-A49F-7F1404B9FB90}"/>
    <cellStyle name="Comma [0] 2 2 2 2 2 6" xfId="3427" xr:uid="{B459BA53-34F3-4183-870C-E87634FEC86D}"/>
    <cellStyle name="Comma [0] 2 2 2 2 3" xfId="584" xr:uid="{00000000-0005-0000-0000-000048020000}"/>
    <cellStyle name="Comma [0] 2 2 2 2 3 2" xfId="2926" xr:uid="{18971653-2CA5-48DE-8267-773E1101B5DC}"/>
    <cellStyle name="Comma [0] 2 2 2 2 3 2 2" xfId="3880" xr:uid="{BCF76882-07C4-4BEB-9C88-012AB0F1277B}"/>
    <cellStyle name="Comma [0] 2 2 2 2 3 3" xfId="3435" xr:uid="{C8F328D7-A47E-4587-9AF4-0D4670AECB30}"/>
    <cellStyle name="Comma [0] 2 2 2 2 4" xfId="585" xr:uid="{00000000-0005-0000-0000-000049020000}"/>
    <cellStyle name="Comma [0] 2 2 2 2 4 2" xfId="2927" xr:uid="{E0FEAE12-E0E7-4348-8FEB-F32F57795C1C}"/>
    <cellStyle name="Comma [0] 2 2 2 2 4 2 2" xfId="3881" xr:uid="{DF9495C5-8DF5-4F84-9EAC-D31D397FEB5A}"/>
    <cellStyle name="Comma [0] 2 2 2 2 4 3" xfId="3436" xr:uid="{2B26A3BA-D3E6-444B-828F-74AE24BF6F9A}"/>
    <cellStyle name="Comma [0] 2 2 2 2 5" xfId="586" xr:uid="{00000000-0005-0000-0000-00004A020000}"/>
    <cellStyle name="Comma [0] 2 2 2 2 5 2" xfId="3437" xr:uid="{8999D5A9-7370-4CF9-8D94-E4553F24241A}"/>
    <cellStyle name="Comma [0] 2 2 2 2 6" xfId="2917" xr:uid="{D97EA94B-158F-47CC-98AF-D3820B4C63A3}"/>
    <cellStyle name="Comma [0] 2 2 2 2 6 2" xfId="3871" xr:uid="{8E705938-F0D2-4930-980B-449BA894C67B}"/>
    <cellStyle name="Comma [0] 2 2 2 3" xfId="587" xr:uid="{00000000-0005-0000-0000-00004B020000}"/>
    <cellStyle name="Comma [0] 2 2 2 3 2" xfId="588" xr:uid="{00000000-0005-0000-0000-00004C020000}"/>
    <cellStyle name="Comma [0] 2 2 2 3 2 2" xfId="3438" xr:uid="{DDAD2BE7-02B1-4F73-B378-D1327014BE6D}"/>
    <cellStyle name="Comma [0] 2 2 2 3 3" xfId="2928" xr:uid="{8F58E73F-7294-40B6-89C7-70A4DFE29434}"/>
    <cellStyle name="Comma [0] 2 2 2 3 3 2" xfId="3882" xr:uid="{47E345D3-2AB1-41BD-A0AF-2ACB2C7CAB30}"/>
    <cellStyle name="Comma [0] 2 2 2 4" xfId="589" xr:uid="{00000000-0005-0000-0000-00004D020000}"/>
    <cellStyle name="Comma [0] 2 2 2 4 2" xfId="590" xr:uid="{00000000-0005-0000-0000-00004E020000}"/>
    <cellStyle name="Comma [0] 2 2 2 4 2 2" xfId="3439" xr:uid="{7B261BF0-10EA-49A8-AEB3-9A24C8933C1A}"/>
    <cellStyle name="Comma [0] 2 2 2 4 3" xfId="2929" xr:uid="{E3A134D9-B0AD-4058-849B-3D50E615E9CC}"/>
    <cellStyle name="Comma [0] 2 2 2 4 3 2" xfId="3883" xr:uid="{E3956546-47F6-46BE-9183-C1E7E0366671}"/>
    <cellStyle name="Comma [0] 2 2 2 5" xfId="591" xr:uid="{00000000-0005-0000-0000-00004F020000}"/>
    <cellStyle name="Comma [0] 2 2 2 5 2" xfId="592" xr:uid="{00000000-0005-0000-0000-000050020000}"/>
    <cellStyle name="Comma [0] 2 2 2 5 2 2" xfId="3440" xr:uid="{A61BBE01-1CA4-4DC5-B236-387DAE5CAF07}"/>
    <cellStyle name="Comma [0] 2 2 2 5 3" xfId="2930" xr:uid="{86A4FE35-4158-4CB0-BDFA-84069A519708}"/>
    <cellStyle name="Comma [0] 2 2 2 5 3 2" xfId="3884" xr:uid="{F7CEA05E-E651-4D3E-A918-D9734089CCB6}"/>
    <cellStyle name="Comma [0] 2 2 2 6" xfId="593" xr:uid="{00000000-0005-0000-0000-000051020000}"/>
    <cellStyle name="Comma [0] 2 2 2 6 2" xfId="3441" xr:uid="{3A967A6D-84B5-4E40-910A-7E51F4662C88}"/>
    <cellStyle name="Comma [0] 2 2 2 7" xfId="2916" xr:uid="{18B6EB68-2BB8-4191-B63F-0E5543FD30D3}"/>
    <cellStyle name="Comma [0] 2 2 2 7 2" xfId="3870" xr:uid="{9EC867E4-968D-4C6F-AEB9-9FC28093293B}"/>
    <cellStyle name="Comma [0] 2 2 3" xfId="594" xr:uid="{00000000-0005-0000-0000-000052020000}"/>
    <cellStyle name="Comma [0] 2 2 3 2" xfId="2931" xr:uid="{32E5268B-9DF1-4288-BF30-D20B9C6D2E55}"/>
    <cellStyle name="Comma [0] 2 2 3 2 2" xfId="3885" xr:uid="{084BA315-6C88-4C02-BC92-35E8F5285507}"/>
    <cellStyle name="Comma [0] 2 2 3 3" xfId="3442" xr:uid="{E97FE8C1-E270-4E52-94F5-CB6FD6F6631E}"/>
    <cellStyle name="Comma [0] 2 2 4" xfId="595" xr:uid="{00000000-0005-0000-0000-000053020000}"/>
    <cellStyle name="Comma [0] 2 2 4 2" xfId="2932" xr:uid="{C9CCE147-48D5-4E4B-9D1E-96FC8DCB7AAC}"/>
    <cellStyle name="Comma [0] 2 2 4 2 2" xfId="3886" xr:uid="{671A649F-CD62-4B33-95B9-931C2B834D04}"/>
    <cellStyle name="Comma [0] 2 2 4 3" xfId="3443" xr:uid="{894F6F1D-ECE1-4D59-9E1A-59DF0A3E6462}"/>
    <cellStyle name="Comma [0] 2 2 5" xfId="596" xr:uid="{00000000-0005-0000-0000-000054020000}"/>
    <cellStyle name="Comma [0] 2 2 5 2" xfId="2933" xr:uid="{3BA5F741-83D3-4C00-B64C-5D0C44E1BDB1}"/>
    <cellStyle name="Comma [0] 2 2 5 2 2" xfId="3887" xr:uid="{F526F742-8ABB-449A-8362-29888C73DAE9}"/>
    <cellStyle name="Comma [0] 2 2 5 3" xfId="3444" xr:uid="{E1706A27-9008-4B8F-8B18-786758AB0B30}"/>
    <cellStyle name="Comma [0] 2 2 6" xfId="597" xr:uid="{00000000-0005-0000-0000-000055020000}"/>
    <cellStyle name="Comma [0] 2 2 6 2" xfId="598" xr:uid="{00000000-0005-0000-0000-000056020000}"/>
    <cellStyle name="Comma [0] 2 2 6 2 2" xfId="3445" xr:uid="{5E38F627-7D65-4ED8-9C07-71E8FC19714F}"/>
    <cellStyle name="Comma [0] 2 2 6 3" xfId="2934" xr:uid="{482C77AC-D95B-44E0-BFAB-442C37BE3C0B}"/>
    <cellStyle name="Comma [0] 2 2 6 3 2" xfId="3888" xr:uid="{370304C8-DBE2-4AE6-A199-984861B59DFE}"/>
    <cellStyle name="Comma [0] 2 2 7" xfId="2915" xr:uid="{2396C483-A35D-4CC6-BD57-D086B88A80BF}"/>
    <cellStyle name="Comma [0] 2 2 7 2" xfId="3869" xr:uid="{C28EAC8F-AA07-4380-A57F-040CA499CC02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2 2 2" xfId="3892" xr:uid="{A9EABBCD-C8ED-4EC1-9FAF-057A31920C72}"/>
    <cellStyle name="Comma [0] 2 3 2 2 3" xfId="603" xr:uid="{00000000-0005-0000-0000-00005B020000}"/>
    <cellStyle name="Comma [0] 2 3 2 2 3 2" xfId="2939" xr:uid="{596BCF8D-5EF1-48DD-9FFF-413CD04DFD17}"/>
    <cellStyle name="Comma [0] 2 3 2 2 3 2 2" xfId="3893" xr:uid="{4439F904-035A-44F8-9ECE-F94B6BA15166}"/>
    <cellStyle name="Comma [0] 2 3 2 2 4" xfId="604" xr:uid="{00000000-0005-0000-0000-00005C020000}"/>
    <cellStyle name="Comma [0] 2 3 2 2 4 2" xfId="2940" xr:uid="{ECB1F4D2-57F4-4718-9001-76BBE3F6A732}"/>
    <cellStyle name="Comma [0] 2 3 2 2 4 2 2" xfId="3894" xr:uid="{332448D5-7FE7-4252-817D-964CC2874AD9}"/>
    <cellStyle name="Comma [0] 2 3 2 2 5" xfId="2937" xr:uid="{4F2065BE-C375-489B-AD1D-DDE89C9B7E76}"/>
    <cellStyle name="Comma [0] 2 3 2 2 5 2" xfId="3891" xr:uid="{F910A8A9-A3D8-49CF-A73F-2C30F109C4E8}"/>
    <cellStyle name="Comma [0] 2 3 2 3" xfId="605" xr:uid="{00000000-0005-0000-0000-00005D020000}"/>
    <cellStyle name="Comma [0] 2 3 2 3 2" xfId="2941" xr:uid="{CED98DFE-1352-4E51-9F1A-3FA1B827D6EC}"/>
    <cellStyle name="Comma [0] 2 3 2 3 2 2" xfId="3895" xr:uid="{361BDEE3-D591-4B72-BFFE-50E0E61E30C8}"/>
    <cellStyle name="Comma [0] 2 3 2 4" xfId="606" xr:uid="{00000000-0005-0000-0000-00005E020000}"/>
    <cellStyle name="Comma [0] 2 3 2 4 2" xfId="2942" xr:uid="{E98C71C7-A7C3-4B73-9F2A-70516F14EC44}"/>
    <cellStyle name="Comma [0] 2 3 2 4 2 2" xfId="3896" xr:uid="{1EBD72BE-2DC9-4B1C-BD2B-8DB9FBED4089}"/>
    <cellStyle name="Comma [0] 2 3 2 5" xfId="607" xr:uid="{00000000-0005-0000-0000-00005F020000}"/>
    <cellStyle name="Comma [0] 2 3 2 5 2" xfId="2943" xr:uid="{554DB2DB-A28C-4ECE-853F-60478B697195}"/>
    <cellStyle name="Comma [0] 2 3 2 5 2 2" xfId="3897" xr:uid="{15D86CBA-DECD-4694-B8D9-EED4C6033D48}"/>
    <cellStyle name="Comma [0] 2 3 2 6" xfId="608" xr:uid="{00000000-0005-0000-0000-000060020000}"/>
    <cellStyle name="Comma [0] 2 3 2 6 2" xfId="3446" xr:uid="{7F36406C-02A5-427F-B672-23A2B20823E9}"/>
    <cellStyle name="Comma [0] 2 3 2 7" xfId="2936" xr:uid="{8FA5589C-A35D-4B07-817D-AC38D77B0272}"/>
    <cellStyle name="Comma [0] 2 3 2 7 2" xfId="3890" xr:uid="{6C43F415-C712-429C-9F40-8C7E260EF306}"/>
    <cellStyle name="Comma [0] 2 3 3" xfId="609" xr:uid="{00000000-0005-0000-0000-000061020000}"/>
    <cellStyle name="Comma [0] 2 3 3 2" xfId="2944" xr:uid="{75C07F8B-10FA-428F-B5AF-D7408772A93F}"/>
    <cellStyle name="Comma [0] 2 3 3 2 2" xfId="3898" xr:uid="{BF3C5B5E-4F51-482F-9247-287269970AC6}"/>
    <cellStyle name="Comma [0] 2 3 4" xfId="610" xr:uid="{00000000-0005-0000-0000-000062020000}"/>
    <cellStyle name="Comma [0] 2 3 4 2" xfId="2945" xr:uid="{99DA39E1-6D04-49F0-AA1D-4C9A9AA2DC2D}"/>
    <cellStyle name="Comma [0] 2 3 4 2 2" xfId="3899" xr:uid="{F4A0AED5-1599-4F22-BCD7-1006E2B5E972}"/>
    <cellStyle name="Comma [0] 2 3 5" xfId="611" xr:uid="{00000000-0005-0000-0000-000063020000}"/>
    <cellStyle name="Comma [0] 2 3 5 2" xfId="2946" xr:uid="{88EB56F1-C5A9-4CA0-9060-8E9A1D34AD43}"/>
    <cellStyle name="Comma [0] 2 3 5 2 2" xfId="3900" xr:uid="{4680B4C3-14B5-4CC6-A305-ED47596E1A3C}"/>
    <cellStyle name="Comma [0] 2 3 6" xfId="612" xr:uid="{00000000-0005-0000-0000-000064020000}"/>
    <cellStyle name="Comma [0] 2 3 6 2" xfId="2947" xr:uid="{0ABD82E6-C053-4F02-BAAF-725C3DAC707A}"/>
    <cellStyle name="Comma [0] 2 3 6 2 2" xfId="3901" xr:uid="{81C4B7A6-DDFA-4B3F-9D9B-DA648C79F37F}"/>
    <cellStyle name="Comma [0] 2 3 6 3" xfId="3447" xr:uid="{4CFC3C46-2676-44D4-911C-8D1B397FFB98}"/>
    <cellStyle name="Comma [0] 2 3 7" xfId="613" xr:uid="{00000000-0005-0000-0000-000065020000}"/>
    <cellStyle name="Comma [0] 2 3 7 2" xfId="3448" xr:uid="{1E321CCE-B138-42DD-B754-C813193FC043}"/>
    <cellStyle name="Comma [0] 2 3 8" xfId="614" xr:uid="{00000000-0005-0000-0000-000066020000}"/>
    <cellStyle name="Comma [0] 2 3 8 2" xfId="3449" xr:uid="{551DF9A7-3B9A-4533-A7CD-3EC33625E0DC}"/>
    <cellStyle name="Comma [0] 2 3 9" xfId="2935" xr:uid="{5B83C799-0C03-4FA7-941F-EAC9384A8349}"/>
    <cellStyle name="Comma [0] 2 3 9 2" xfId="3889" xr:uid="{7F53E884-C0F0-4229-8852-9A75121FE342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2 2 2" xfId="3902" xr:uid="{483095E8-0BF1-4B3D-AA60-E4949E5AFAEA}"/>
    <cellStyle name="Comma [0] 2 4 3" xfId="617" xr:uid="{00000000-0005-0000-0000-000069020000}"/>
    <cellStyle name="Comma [0] 2 4 3 2" xfId="2949" xr:uid="{D22154D5-FB0A-4B6D-AFFB-A32EB77CEC45}"/>
    <cellStyle name="Comma [0] 2 4 3 2 2" xfId="3903" xr:uid="{625C72D2-4D7F-42CE-B26C-CCFE3E236775}"/>
    <cellStyle name="Comma [0] 2 4 4" xfId="618" xr:uid="{00000000-0005-0000-0000-00006A020000}"/>
    <cellStyle name="Comma [0] 2 4 4 2" xfId="2950" xr:uid="{93EE83AB-F827-45C5-A385-BB151E117EA5}"/>
    <cellStyle name="Comma [0] 2 4 4 2 2" xfId="3904" xr:uid="{103B9DBC-BA50-4F60-9AA1-A2610A34E907}"/>
    <cellStyle name="Comma [0] 2 4 5" xfId="619" xr:uid="{00000000-0005-0000-0000-00006B020000}"/>
    <cellStyle name="Comma [0] 2 4 5 2" xfId="620" xr:uid="{00000000-0005-0000-0000-00006C020000}"/>
    <cellStyle name="Comma [0] 2 4 5 2 2" xfId="3450" xr:uid="{AA9FF4D5-065B-4BD2-93A0-F4E49C2BCB36}"/>
    <cellStyle name="Comma [0] 2 4 5 3" xfId="2951" xr:uid="{2F5E6198-7C1C-40ED-B127-FD6FB5EB3FE1}"/>
    <cellStyle name="Comma [0] 2 4 5 3 2" xfId="3905" xr:uid="{E5B5D2B1-EA56-49A6-B3FF-FBFCD6AB4244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2 2 2" xfId="3907" xr:uid="{06E418EB-0BBF-4571-8F49-8DF2E02BB0D0}"/>
    <cellStyle name="Comma [0] 2 5 3" xfId="624" xr:uid="{00000000-0005-0000-0000-000070020000}"/>
    <cellStyle name="Comma [0] 2 5 3 2" xfId="2954" xr:uid="{1CB494BF-573A-4AE9-9D86-1D5D1B966344}"/>
    <cellStyle name="Comma [0] 2 5 3 2 2" xfId="3908" xr:uid="{9B1F34DF-021B-47C6-8230-FE8424C3B6AB}"/>
    <cellStyle name="Comma [0] 2 5 4" xfId="625" xr:uid="{00000000-0005-0000-0000-000071020000}"/>
    <cellStyle name="Comma [0] 2 5 4 2" xfId="2955" xr:uid="{32F73D2A-93B2-43B1-BCA7-B5716CBCB738}"/>
    <cellStyle name="Comma [0] 2 5 4 2 2" xfId="3909" xr:uid="{DE23E2E9-ED01-4F08-9A2F-3A15611097D8}"/>
    <cellStyle name="Comma [0] 2 5 5" xfId="2952" xr:uid="{26B3FA34-240A-4F6F-9103-476214700031}"/>
    <cellStyle name="Comma [0] 2 5 5 2" xfId="3906" xr:uid="{86D02DAA-EF4B-4623-9230-84587A178769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2 2 2" xfId="3915" xr:uid="{9027EB43-FCF9-4F59-B5F2-E5D9575E1949}"/>
    <cellStyle name="Comma [0] 2 6 2 2 2 2 3" xfId="632" xr:uid="{00000000-0005-0000-0000-000078020000}"/>
    <cellStyle name="Comma [0] 2 6 2 2 2 2 3 2" xfId="2962" xr:uid="{5D16E8D0-318A-4419-8E68-6EFB4576E169}"/>
    <cellStyle name="Comma [0] 2 6 2 2 2 2 3 2 2" xfId="3916" xr:uid="{8FE5BE80-D12F-4BEB-B9D8-8B903F0C781A}"/>
    <cellStyle name="Comma [0] 2 6 2 2 2 2 4" xfId="633" xr:uid="{00000000-0005-0000-0000-000079020000}"/>
    <cellStyle name="Comma [0] 2 6 2 2 2 2 4 2" xfId="2963" xr:uid="{5187E8D2-8F63-4FBC-A55F-781986F95BA6}"/>
    <cellStyle name="Comma [0] 2 6 2 2 2 2 4 2 2" xfId="3917" xr:uid="{BE12191F-C7F6-4B71-ABD8-12AC8E94C2DE}"/>
    <cellStyle name="Comma [0] 2 6 2 2 2 2 5" xfId="634" xr:uid="{00000000-0005-0000-0000-00007A020000}"/>
    <cellStyle name="Comma [0] 2 6 2 2 2 2 5 2" xfId="2964" xr:uid="{36C86C94-3A2C-4805-8AD0-A9F48AA7FAFC}"/>
    <cellStyle name="Comma [0] 2 6 2 2 2 2 5 2 2" xfId="3918" xr:uid="{3B470B56-29DC-4C56-86D3-A47823AC7676}"/>
    <cellStyle name="Comma [0] 2 6 2 2 2 2 6" xfId="2960" xr:uid="{5ED57133-7263-4B49-8681-335DAB2B56FC}"/>
    <cellStyle name="Comma [0] 2 6 2 2 2 2 6 2" xfId="3914" xr:uid="{59CDAEBB-2425-47D1-91FB-49B0C3A801FB}"/>
    <cellStyle name="Comma [0] 2 6 2 2 2 3" xfId="635" xr:uid="{00000000-0005-0000-0000-00007B020000}"/>
    <cellStyle name="Comma [0] 2 6 2 2 2 3 2" xfId="2965" xr:uid="{573B27F4-3C50-4DA4-9535-A3CAB1A8E888}"/>
    <cellStyle name="Comma [0] 2 6 2 2 2 3 2 2" xfId="3919" xr:uid="{158A26FE-9A48-4F41-88AE-0160B0464FCD}"/>
    <cellStyle name="Comma [0] 2 6 2 2 2 4" xfId="636" xr:uid="{00000000-0005-0000-0000-00007C020000}"/>
    <cellStyle name="Comma [0] 2 6 2 2 2 4 2" xfId="2966" xr:uid="{CA51E3C2-AE26-4B5B-A1A9-E6D37D6FDB80}"/>
    <cellStyle name="Comma [0] 2 6 2 2 2 4 2 2" xfId="3920" xr:uid="{7F09452D-E7D5-4635-B562-DB04B57289A7}"/>
    <cellStyle name="Comma [0] 2 6 2 2 2 5" xfId="637" xr:uid="{00000000-0005-0000-0000-00007D020000}"/>
    <cellStyle name="Comma [0] 2 6 2 2 2 5 2" xfId="2967" xr:uid="{75C7D9BE-EBE6-48B5-AF3D-B42A805100BB}"/>
    <cellStyle name="Comma [0] 2 6 2 2 2 5 2 2" xfId="3921" xr:uid="{E8983AB0-5352-4973-A474-43FFDFA52A1B}"/>
    <cellStyle name="Comma [0] 2 6 2 2 2 6" xfId="2959" xr:uid="{64914DA9-E908-4050-BD49-E4F63989D574}"/>
    <cellStyle name="Comma [0] 2 6 2 2 2 6 2" xfId="3913" xr:uid="{319D8E7E-65AC-4D95-A157-93D852740E3C}"/>
    <cellStyle name="Comma [0] 2 6 2 2 3" xfId="638" xr:uid="{00000000-0005-0000-0000-00007E020000}"/>
    <cellStyle name="Comma [0] 2 6 2 2 3 2" xfId="2968" xr:uid="{5D5240EB-ACE1-45A4-AF40-BECDEBAE9853}"/>
    <cellStyle name="Comma [0] 2 6 2 2 3 2 2" xfId="3922" xr:uid="{6E1AE819-1D13-4A3A-A320-4AC6F006BA71}"/>
    <cellStyle name="Comma [0] 2 6 2 2 4" xfId="639" xr:uid="{00000000-0005-0000-0000-00007F020000}"/>
    <cellStyle name="Comma [0] 2 6 2 2 4 2" xfId="2969" xr:uid="{E7B1C0A4-7E2E-4353-8C1B-66B198346490}"/>
    <cellStyle name="Comma [0] 2 6 2 2 4 2 2" xfId="3923" xr:uid="{ACCD2B85-92E5-4EE0-8B92-1003B1B872BB}"/>
    <cellStyle name="Comma [0] 2 6 2 2 5" xfId="640" xr:uid="{00000000-0005-0000-0000-000080020000}"/>
    <cellStyle name="Comma [0] 2 6 2 2 5 2" xfId="2970" xr:uid="{1B776225-32D8-4A8E-AFC3-AF755FF1E99D}"/>
    <cellStyle name="Comma [0] 2 6 2 2 5 2 2" xfId="3924" xr:uid="{67D9B8D8-0373-4708-9FEE-A0F2D69F680C}"/>
    <cellStyle name="Comma [0] 2 6 2 2 6" xfId="2958" xr:uid="{80332999-120B-4891-AFDE-A9B76F570B94}"/>
    <cellStyle name="Comma [0] 2 6 2 2 6 2" xfId="3912" xr:uid="{E90FFBE3-B19F-4969-A65B-D81AB81234B4}"/>
    <cellStyle name="Comma [0] 2 6 2 3" xfId="641" xr:uid="{00000000-0005-0000-0000-000081020000}"/>
    <cellStyle name="Comma [0] 2 6 2 3 2" xfId="2971" xr:uid="{3DAD9B34-3DEA-4549-926C-F7996A1CD24F}"/>
    <cellStyle name="Comma [0] 2 6 2 3 2 2" xfId="3925" xr:uid="{48F3B410-EEAC-496A-ADF8-7B082CE5E85A}"/>
    <cellStyle name="Comma [0] 2 6 2 4" xfId="642" xr:uid="{00000000-0005-0000-0000-000082020000}"/>
    <cellStyle name="Comma [0] 2 6 2 4 2" xfId="2972" xr:uid="{DAC05CB6-3FDE-4AC4-AB10-6EDE70376440}"/>
    <cellStyle name="Comma [0] 2 6 2 4 2 2" xfId="3926" xr:uid="{C6CA9477-FE64-4240-A346-89C68F9C0AAD}"/>
    <cellStyle name="Comma [0] 2 6 2 5" xfId="643" xr:uid="{00000000-0005-0000-0000-000083020000}"/>
    <cellStyle name="Comma [0] 2 6 2 5 2" xfId="2973" xr:uid="{D82D8FF8-4E97-4260-B91E-9210B8F3D15D}"/>
    <cellStyle name="Comma [0] 2 6 2 5 2 2" xfId="3927" xr:uid="{57307E29-6116-4231-93EE-06BE6C572E5C}"/>
    <cellStyle name="Comma [0] 2 6 2 6" xfId="2957" xr:uid="{3A1A5F73-B882-4D93-AB58-C1ABC3864011}"/>
    <cellStyle name="Comma [0] 2 6 2 6 2" xfId="3911" xr:uid="{BE98A777-6CFF-4450-87F7-B54DC1B12D1C}"/>
    <cellStyle name="Comma [0] 2 6 3" xfId="644" xr:uid="{00000000-0005-0000-0000-000084020000}"/>
    <cellStyle name="Comma [0] 2 6 3 2" xfId="2974" xr:uid="{2AA3CDD8-31FA-4E05-B029-6287B40C5C2C}"/>
    <cellStyle name="Comma [0] 2 6 3 2 2" xfId="3928" xr:uid="{A60C4347-DBD4-4698-8C31-3EA5CB0AF539}"/>
    <cellStyle name="Comma [0] 2 6 4" xfId="645" xr:uid="{00000000-0005-0000-0000-000085020000}"/>
    <cellStyle name="Comma [0] 2 6 4 2" xfId="2975" xr:uid="{A45B843A-903C-4D28-BE2A-DFA62308DCEC}"/>
    <cellStyle name="Comma [0] 2 6 4 2 2" xfId="3929" xr:uid="{A3F81352-D84B-4712-8366-4F262B37079E}"/>
    <cellStyle name="Comma [0] 2 6 5" xfId="646" xr:uid="{00000000-0005-0000-0000-000086020000}"/>
    <cellStyle name="Comma [0] 2 6 5 2" xfId="2976" xr:uid="{39B9C1A7-0CD9-4C18-88BB-1E7F7D48F97B}"/>
    <cellStyle name="Comma [0] 2 6 5 2 2" xfId="3930" xr:uid="{8561B4F1-B0B4-43A3-BAA3-52B08A326A7C}"/>
    <cellStyle name="Comma [0] 2 6 6" xfId="2956" xr:uid="{A746D29E-45A2-45AE-9052-AD19E2FD2F49}"/>
    <cellStyle name="Comma [0] 2 6 6 2" xfId="3910" xr:uid="{E2383C7B-9F63-42E1-9098-4B6BE9EDAE46}"/>
    <cellStyle name="Comma [0] 2 7" xfId="647" xr:uid="{00000000-0005-0000-0000-000087020000}"/>
    <cellStyle name="Comma [0] 2 7 2" xfId="648" xr:uid="{00000000-0005-0000-0000-000088020000}"/>
    <cellStyle name="Comma [0] 2 7 2 2" xfId="3451" xr:uid="{9E16E7F9-D7E0-4086-B1C3-466646C2BFE3}"/>
    <cellStyle name="Comma [0] 2 7 3" xfId="2977" xr:uid="{9DED3F55-B962-4B15-A181-550B4AF4CFE4}"/>
    <cellStyle name="Comma [0] 2 7 3 2" xfId="3931" xr:uid="{8A82E506-9A2D-4934-84C6-FA786397F6CE}"/>
    <cellStyle name="Comma [0] 2 8" xfId="649" xr:uid="{00000000-0005-0000-0000-000089020000}"/>
    <cellStyle name="Comma [0] 2 8 2" xfId="2978" xr:uid="{3C7CD232-5543-4878-A7D0-A8E81E2AB151}"/>
    <cellStyle name="Comma [0] 2 8 2 2" xfId="3932" xr:uid="{32A04756-FC17-4617-88E9-BBE5EF84BA1A}"/>
    <cellStyle name="Comma [0] 2 9" xfId="650" xr:uid="{00000000-0005-0000-0000-00008A020000}"/>
    <cellStyle name="Comma [0] 2 9 2" xfId="2979" xr:uid="{2245032A-2CB2-471D-9872-56BBCE142C98}"/>
    <cellStyle name="Comma [0] 2 9 2 2" xfId="3933" xr:uid="{D33C8B58-9059-4ED7-B245-883F70078583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2 2" xfId="3934" xr:uid="{8FA2D365-8DE0-4546-A7DF-D57B856EC1E0}"/>
    <cellStyle name="Comma [0] 22 3" xfId="3452" xr:uid="{8BC53478-D9B4-4578-91D9-75BBFC9DCE28}"/>
    <cellStyle name="Comma [0] 23" xfId="656" xr:uid="{00000000-0005-0000-0000-000090020000}"/>
    <cellStyle name="Comma [0] 23 2" xfId="2981" xr:uid="{F1385260-B0CB-4E72-8E4C-691543042BAB}"/>
    <cellStyle name="Comma [0] 23 2 2" xfId="3935" xr:uid="{B93C475C-6F6D-461F-9F13-696FC22EB7D6}"/>
    <cellStyle name="Comma [0] 23 3" xfId="3453" xr:uid="{F42E7496-1956-4BF0-B940-026772BBB21D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454" xr:uid="{B02DEB30-5830-428B-9693-1C7724A1E2B0}"/>
    <cellStyle name="Comma [0] 24 2 3" xfId="2983" xr:uid="{D44D7F46-8DFB-4ED0-826F-5990A21DF477}"/>
    <cellStyle name="Comma [0] 24 2 3 2" xfId="3937" xr:uid="{37084BF6-DEB9-4559-97F9-9DB91D0C7DBB}"/>
    <cellStyle name="Comma [0] 24 3" xfId="660" xr:uid="{00000000-0005-0000-0000-000094020000}"/>
    <cellStyle name="Comma [0] 24 3 2" xfId="3455" xr:uid="{6A2E926D-EB5E-4A80-9496-CDE6568C0AC6}"/>
    <cellStyle name="Comma [0] 24 4" xfId="2982" xr:uid="{831DD181-2641-45C3-9EC6-10D3C9CC518B}"/>
    <cellStyle name="Comma [0] 24 4 2" xfId="3936" xr:uid="{AAA8B7AF-0D8B-478C-AFD5-B644264581D2}"/>
    <cellStyle name="Comma [0] 25" xfId="661" xr:uid="{00000000-0005-0000-0000-000095020000}"/>
    <cellStyle name="Comma [0] 25 2" xfId="2984" xr:uid="{6628C05C-7FA3-4B8D-A85D-4B8C4245C18D}"/>
    <cellStyle name="Comma [0] 25 2 2" xfId="3938" xr:uid="{219967EE-B100-4D98-AF02-186857C0C61F}"/>
    <cellStyle name="Comma [0] 25 3" xfId="3456" xr:uid="{824AE66B-B6A7-4B3D-93F3-059035EEACA4}"/>
    <cellStyle name="Comma [0] 26" xfId="662" xr:uid="{00000000-0005-0000-0000-000096020000}"/>
    <cellStyle name="Comma [0] 26 2" xfId="3457" xr:uid="{5EDF4027-36C8-49A8-A22B-0F27AFD233EC}"/>
    <cellStyle name="Comma [0] 27" xfId="663" xr:uid="{00000000-0005-0000-0000-000097020000}"/>
    <cellStyle name="Comma [0] 27 2" xfId="664" xr:uid="{00000000-0005-0000-0000-000098020000}"/>
    <cellStyle name="Comma [0] 27 2 2" xfId="3458" xr:uid="{CEF428ED-133A-4943-8CA0-545A3F54E88E}"/>
    <cellStyle name="Comma [0] 27 3" xfId="2985" xr:uid="{93C28C36-7A54-4C67-A9B8-2CB1E65E9557}"/>
    <cellStyle name="Comma [0] 27 3 2" xfId="3939" xr:uid="{AF18ED56-98CA-47D9-84F2-17A769B8A552}"/>
    <cellStyle name="Comma [0] 28" xfId="3847" xr:uid="{C7531F71-FC52-4AE7-AA82-32CF32DF67B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2 2 2" xfId="3941" xr:uid="{F96B64F0-0BAD-474E-A5F1-0AB4B5962270}"/>
    <cellStyle name="Comma [0] 3 2 3" xfId="668" xr:uid="{00000000-0005-0000-0000-00009C020000}"/>
    <cellStyle name="Comma [0] 3 2 3 2" xfId="3459" xr:uid="{AEAB2D51-620F-4C99-A238-BF7A63B67DE3}"/>
    <cellStyle name="Comma [0] 3 2 4" xfId="2986" xr:uid="{3E11F46F-86BF-457D-AAF8-F36350F33CFF}"/>
    <cellStyle name="Comma [0] 3 2 4 2" xfId="3940" xr:uid="{64E800E7-CCB6-44F7-840B-5E398BD26014}"/>
    <cellStyle name="Comma [0] 3 3" xfId="669" xr:uid="{00000000-0005-0000-0000-00009D020000}"/>
    <cellStyle name="Comma [0] 3 3 2" xfId="3460" xr:uid="{7E3362B0-7356-492E-AB46-21A442B5B401}"/>
    <cellStyle name="Comma [0] 3 4" xfId="2693" xr:uid="{06019007-843E-48D4-8660-79F251C430F9}"/>
    <cellStyle name="Comma [0] 3 4 2" xfId="3851" xr:uid="{E6EFB30B-A3CC-476B-B98C-46010EE098AB}"/>
    <cellStyle name="Comma [0] 32" xfId="670" xr:uid="{00000000-0005-0000-0000-00009E020000}"/>
    <cellStyle name="Comma [0] 32 2" xfId="671" xr:uid="{00000000-0005-0000-0000-00009F020000}"/>
    <cellStyle name="Comma [0] 32 2 2" xfId="3461" xr:uid="{5EB32809-6556-48DB-92EE-3FF3EA5E6CCA}"/>
    <cellStyle name="Comma [0] 32 3" xfId="2988" xr:uid="{260C6648-A96A-4401-97C7-6D708A1D393D}"/>
    <cellStyle name="Comma [0] 32 3 2" xfId="3942" xr:uid="{3195CF14-349F-4BC8-A97A-4CF8AF5CE195}"/>
    <cellStyle name="Comma [0] 35" xfId="672" xr:uid="{00000000-0005-0000-0000-0000A0020000}"/>
    <cellStyle name="Comma [0] 35 2" xfId="2989" xr:uid="{40F35AD8-CDA9-4210-A287-C9C7D75C0098}"/>
    <cellStyle name="Comma [0] 35 2 2" xfId="3943" xr:uid="{89524B98-A178-4071-8FEB-8C1971222A61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462" xr:uid="{D66F5999-90F6-454C-BD9C-50EA28D45058}"/>
    <cellStyle name="Comma [0] 4 2 3" xfId="2991" xr:uid="{5A0BD2ED-0F18-4EF9-A0EE-26594B54A475}"/>
    <cellStyle name="Comma [0] 4 2 3 2" xfId="3945" xr:uid="{D2287D71-45EA-4F8B-8E6B-9E6B2FA49A11}"/>
    <cellStyle name="Comma [0] 4 3" xfId="676" xr:uid="{00000000-0005-0000-0000-0000A4020000}"/>
    <cellStyle name="Comma [0] 4 3 2" xfId="677" xr:uid="{00000000-0005-0000-0000-0000A5020000}"/>
    <cellStyle name="Comma [0] 4 3 2 2" xfId="3463" xr:uid="{07ACAC2B-6B81-469C-8B04-49753E433BA2}"/>
    <cellStyle name="Comma [0] 4 3 3" xfId="2992" xr:uid="{4389622B-B0E1-426E-93D0-7F1D9F576110}"/>
    <cellStyle name="Comma [0] 4 3 3 2" xfId="3946" xr:uid="{90ADC0EC-EB07-4E16-8DFE-B787B1FCA342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464" xr:uid="{63939176-8DB8-411D-A398-7404148B4A58}"/>
    <cellStyle name="Comma [0] 4 6" xfId="681" xr:uid="{00000000-0005-0000-0000-0000A9020000}"/>
    <cellStyle name="Comma [0] 4 6 2" xfId="3465" xr:uid="{29E081B7-B25D-4400-8D42-EEDD4AA15747}"/>
    <cellStyle name="Comma [0] 4 7" xfId="2990" xr:uid="{584A83D2-2DB0-4440-A3F4-AC34826F5805}"/>
    <cellStyle name="Comma [0] 4 7 2" xfId="3944" xr:uid="{72A1638A-7ECC-41B1-82A1-D5A8E06981FD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2 2 2" xfId="3948" xr:uid="{CCACFFE8-3299-4394-80DC-41CD04193338}"/>
    <cellStyle name="Comma [0] 5 3" xfId="684" xr:uid="{00000000-0005-0000-0000-0000AC020000}"/>
    <cellStyle name="Comma [0] 5 3 2" xfId="2995" xr:uid="{C96C6F93-357F-45C2-AB12-52E153BFACDC}"/>
    <cellStyle name="Comma [0] 5 3 2 2" xfId="3949" xr:uid="{2D3A4A42-092B-4F20-853D-F81AC9F9A674}"/>
    <cellStyle name="Comma [0] 5 4" xfId="2993" xr:uid="{BCBC6E3E-D099-4B6C-A6E0-3D59FC851EEE}"/>
    <cellStyle name="Comma [0] 5 4 2" xfId="3947" xr:uid="{99249E44-806E-4D09-8832-8A2DBB281F1F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2 2 2" xfId="3951" xr:uid="{008A7C88-823C-480F-8584-40922BD6D119}"/>
    <cellStyle name="Comma [0] 6 3" xfId="687" xr:uid="{00000000-0005-0000-0000-0000AF020000}"/>
    <cellStyle name="Comma [0] 6 3 2" xfId="688" xr:uid="{00000000-0005-0000-0000-0000B0020000}"/>
    <cellStyle name="Comma [0] 6 3 2 2" xfId="3466" xr:uid="{15CF02B2-8C51-460A-AB0D-70E62F413844}"/>
    <cellStyle name="Comma [0] 6 3 3" xfId="2998" xr:uid="{CEC9136D-1201-44F7-8F55-5B4F4D851578}"/>
    <cellStyle name="Comma [0] 6 3 3 2" xfId="3952" xr:uid="{CF8580DD-2B16-40DF-A428-F48D9C26B5D7}"/>
    <cellStyle name="Comma [0] 6 4" xfId="2996" xr:uid="{689AA435-C4B9-449E-B61E-493F7683EB8D}"/>
    <cellStyle name="Comma [0] 6 4 2" xfId="3950" xr:uid="{28A70A05-3A46-4719-9CE3-1FBE94D85D22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467" xr:uid="{92BD59FB-5708-4280-AFFD-98DADF0A4CD8}"/>
    <cellStyle name="Comma [0] 7 2 3" xfId="2999" xr:uid="{364155C0-2E3D-4BA2-8A2E-9904044350FB}"/>
    <cellStyle name="Comma [0] 7 2 3 2" xfId="3953" xr:uid="{C94C7BD1-BCCC-4087-A3AA-9429E57FBE27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468" xr:uid="{A10FCB93-AB2C-4914-A7CB-306D198A295A}"/>
    <cellStyle name="Comma [0] 8 2 3" xfId="3001" xr:uid="{2EE20CAE-C42B-4908-892E-29A2FE96F83A}"/>
    <cellStyle name="Comma [0] 8 2 3 2" xfId="3955" xr:uid="{7E29A8AE-F4D1-4052-B350-2BE6261A825C}"/>
    <cellStyle name="Comma [0] 8 3" xfId="696" xr:uid="{00000000-0005-0000-0000-0000B8020000}"/>
    <cellStyle name="Comma [0] 8 3 2" xfId="697" xr:uid="{00000000-0005-0000-0000-0000B9020000}"/>
    <cellStyle name="Comma [0] 8 3 2 2" xfId="3469" xr:uid="{668268BB-B733-4EBE-A177-ECAE67849FBE}"/>
    <cellStyle name="Comma [0] 8 3 3" xfId="3002" xr:uid="{FD19AC32-37E0-467E-AD02-D38723F54C9E}"/>
    <cellStyle name="Comma [0] 8 3 3 2" xfId="3956" xr:uid="{CC76E9E7-A994-4379-A685-763B6B485B04}"/>
    <cellStyle name="Comma [0] 8 4" xfId="698" xr:uid="{00000000-0005-0000-0000-0000BA020000}"/>
    <cellStyle name="Comma [0] 8 4 2" xfId="3470" xr:uid="{71F2E021-24EC-4591-A2B6-1F39182B596E}"/>
    <cellStyle name="Comma [0] 8 5" xfId="3000" xr:uid="{9B9374DF-C3A1-44DF-9774-A1FB930B93BE}"/>
    <cellStyle name="Comma [0] 8 5 2" xfId="3954" xr:uid="{48979FA7-FB16-408A-9F7F-AF5FF8FE168C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471" xr:uid="{D1498558-17C7-400C-940E-F47CBB61740F}"/>
    <cellStyle name="Comma [0] 9 2 3" xfId="3004" xr:uid="{D3CE5C44-B65A-43F6-A17E-3A97422DD89C}"/>
    <cellStyle name="Comma [0] 9 2 3 2" xfId="3958" xr:uid="{E0B415AE-EFD6-48F2-BD87-BD3D4FBCDD48}"/>
    <cellStyle name="Comma [0] 9 3" xfId="702" xr:uid="{00000000-0005-0000-0000-0000BE020000}"/>
    <cellStyle name="Comma [0] 9 3 2" xfId="703" xr:uid="{00000000-0005-0000-0000-0000BF020000}"/>
    <cellStyle name="Comma [0] 9 3 2 2" xfId="3472" xr:uid="{20ECFB7B-FDCD-416E-AA46-0C3D1DD14A6F}"/>
    <cellStyle name="Comma [0] 9 3 3" xfId="3005" xr:uid="{E6AB02D5-953B-4829-8BB2-E1CF3E132D53}"/>
    <cellStyle name="Comma [0] 9 3 3 2" xfId="3959" xr:uid="{D0CC478B-27B3-4002-9A5B-1AF6A97FD304}"/>
    <cellStyle name="Comma [0] 9 4" xfId="3003" xr:uid="{F49A75C6-0625-46F4-9683-B2B3464141AF}"/>
    <cellStyle name="Comma [0] 9 4 2" xfId="3957" xr:uid="{70E2D2A5-74EA-4889-A705-D67C561F5C28}"/>
    <cellStyle name="Comma [0] 90" xfId="704" xr:uid="{00000000-0005-0000-0000-0000C0020000}"/>
    <cellStyle name="Comma [0] 90 2" xfId="705" xr:uid="{00000000-0005-0000-0000-0000C1020000}"/>
    <cellStyle name="Comma [0] 90 2 2" xfId="3473" xr:uid="{F735F186-8341-4380-9829-1B598A70E6DB}"/>
    <cellStyle name="Comma [0] 90 3" xfId="3006" xr:uid="{628D72EC-5D70-47CB-91B6-8C6E02BD8DAF}"/>
    <cellStyle name="Comma [0] 90 3 2" xfId="3960" xr:uid="{F5EDBE33-E8EC-4A7C-BD4B-AF9DA459847F}"/>
    <cellStyle name="Comma [0] 91" xfId="706" xr:uid="{00000000-0005-0000-0000-0000C2020000}"/>
    <cellStyle name="Comma [0] 91 2" xfId="707" xr:uid="{00000000-0005-0000-0000-0000C3020000}"/>
    <cellStyle name="Comma [0] 91 2 2" xfId="3474" xr:uid="{FEC05C0D-9839-4289-A6C8-6AE3308B25C2}"/>
    <cellStyle name="Comma [0] 91 3" xfId="3007" xr:uid="{5EE2001C-3365-470B-BFC7-B473AD723C29}"/>
    <cellStyle name="Comma [0] 91 3 2" xfId="3961" xr:uid="{468ED7D7-D73D-4AA3-AA7D-60207204E4B3}"/>
    <cellStyle name="Comma [0] 93" xfId="708" xr:uid="{00000000-0005-0000-0000-0000C4020000}"/>
    <cellStyle name="Comma [0] 93 2" xfId="709" xr:uid="{00000000-0005-0000-0000-0000C5020000}"/>
    <cellStyle name="Comma [0] 93 2 2" xfId="3475" xr:uid="{803F96D8-D40E-48E0-BBDC-7D88070B2905}"/>
    <cellStyle name="Comma [0] 93 3" xfId="3008" xr:uid="{13245267-8EC3-4BC1-9B8D-2E6966E1B07E}"/>
    <cellStyle name="Comma [0] 93 3 2" xfId="3962" xr:uid="{A32A8BD8-D3AF-4315-BA0E-A4436F9D42DD}"/>
    <cellStyle name="Comma [0] 94" xfId="710" xr:uid="{00000000-0005-0000-0000-0000C6020000}"/>
    <cellStyle name="Comma [0] 94 2" xfId="711" xr:uid="{00000000-0005-0000-0000-0000C7020000}"/>
    <cellStyle name="Comma [0] 94 2 2" xfId="3476" xr:uid="{DE04F83E-68E6-4A1B-9B2B-A7AB0D892369}"/>
    <cellStyle name="Comma [0] 94 3" xfId="3009" xr:uid="{5B4517B4-D4D3-4809-BC2B-28107A57AFCC}"/>
    <cellStyle name="Comma [0] 94 3 2" xfId="3963" xr:uid="{EDD9F567-31D7-4C83-AAD6-ADAB11A3A26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2 2 2" xfId="4181" xr:uid="{745D6852-74C6-4D60-AF3C-265B73C4A9A3}"/>
    <cellStyle name="Comma 10 2 2 3" xfId="3011" xr:uid="{E8BADA5B-B244-4ED0-8E19-35CF583BD885}"/>
    <cellStyle name="Comma 10 2 2 3 2" xfId="3965" xr:uid="{701C6C75-9118-460B-8195-5531E60C61ED}"/>
    <cellStyle name="Comma 10 2 3" xfId="718" xr:uid="{00000000-0005-0000-0000-0000CE020000}"/>
    <cellStyle name="Comma 10 2 3 2" xfId="3477" xr:uid="{6BB12431-5C7B-45C1-9566-72E650A29F0F}"/>
    <cellStyle name="Comma 10 2 4" xfId="3010" xr:uid="{99181324-E410-4597-9316-24B260B66653}"/>
    <cellStyle name="Comma 10 2 4 2" xfId="3964" xr:uid="{43609B2B-A925-4A09-A0A3-3A7A0ECC07DD}"/>
    <cellStyle name="Comma 10 3" xfId="719" xr:uid="{00000000-0005-0000-0000-0000CF020000}"/>
    <cellStyle name="Comma 10 3 2" xfId="720" xr:uid="{00000000-0005-0000-0000-0000D0020000}"/>
    <cellStyle name="Comma 10 3 2 2" xfId="3478" xr:uid="{44006675-AF58-4406-B719-E9BAA52F9A34}"/>
    <cellStyle name="Comma 10 3 3" xfId="3012" xr:uid="{1624CF20-D95A-4D5D-870D-F266408B6BF9}"/>
    <cellStyle name="Comma 10 3 3 2" xfId="3966" xr:uid="{F2C64CA3-9B2B-40CE-9319-C0D28BC54D40}"/>
    <cellStyle name="Comma 10 4" xfId="721" xr:uid="{00000000-0005-0000-0000-0000D1020000}"/>
    <cellStyle name="Comma 10 4 2" xfId="722" xr:uid="{00000000-0005-0000-0000-0000D2020000}"/>
    <cellStyle name="Comma 10 4 2 2" xfId="3479" xr:uid="{8D8FC684-998B-4EEE-A766-DB47BF5E26BE}"/>
    <cellStyle name="Comma 10 4 3" xfId="3013" xr:uid="{CBDB3A1A-05BF-42E2-88DB-16D724BCEA5D}"/>
    <cellStyle name="Comma 10 4 3 2" xfId="3967" xr:uid="{3A7A2949-0421-4CBC-B7F1-11A0B7712602}"/>
    <cellStyle name="Comma 10 5" xfId="723" xr:uid="{00000000-0005-0000-0000-0000D3020000}"/>
    <cellStyle name="Comma 10 5 2" xfId="724" xr:uid="{00000000-0005-0000-0000-0000D4020000}"/>
    <cellStyle name="Comma 10 5 2 2" xfId="3480" xr:uid="{1923F1C3-ED46-4B2E-B6FE-23BC14A8A73D}"/>
    <cellStyle name="Comma 10 5 3" xfId="3014" xr:uid="{E74DF241-6BBB-4A92-BBA4-0EC2E944545B}"/>
    <cellStyle name="Comma 10 5 3 2" xfId="3968" xr:uid="{297B0770-C469-449B-8521-3C25FDBB5AD0}"/>
    <cellStyle name="Comma 10 6" xfId="725" xr:uid="{00000000-0005-0000-0000-0000D5020000}"/>
    <cellStyle name="Comma 10 6 2" xfId="726" xr:uid="{00000000-0005-0000-0000-0000D6020000}"/>
    <cellStyle name="Comma 10 6 2 2" xfId="3481" xr:uid="{FDCAD016-F7C5-407F-9BE2-CEDF43402F4A}"/>
    <cellStyle name="Comma 10 6 3" xfId="3015" xr:uid="{D4296D05-C153-46E6-89B9-366396362C85}"/>
    <cellStyle name="Comma 10 6 3 2" xfId="3969" xr:uid="{004600EF-F75E-4EA9-A22E-B26D23F669A9}"/>
    <cellStyle name="Comma 10 7" xfId="727" xr:uid="{00000000-0005-0000-0000-0000D7020000}"/>
    <cellStyle name="Comma 10 7 2" xfId="3482" xr:uid="{180AB809-FD4C-4D59-B09B-6FC787F7673B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483" xr:uid="{A71856BD-A542-473F-888A-803E5D0F07F4}"/>
    <cellStyle name="Comma 11 3" xfId="3016" xr:uid="{9FC251BF-A771-4649-8466-627F29FEC021}"/>
    <cellStyle name="Comma 11 3 2" xfId="3970" xr:uid="{44D95DD0-B2B6-4384-85E4-A3ADDF23ED36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484" xr:uid="{6A4A0FF9-5E76-408E-B635-CA2A01295949}"/>
    <cellStyle name="Comma 12 2 3" xfId="3018" xr:uid="{0CE27C64-6D45-45A6-B755-C4C815B16A30}"/>
    <cellStyle name="Comma 12 2 3 2" xfId="3972" xr:uid="{15B63BEB-AD33-4D62-8B7D-61EC8AF4CAA5}"/>
    <cellStyle name="Comma 12 3" xfId="734" xr:uid="{00000000-0005-0000-0000-0000DE020000}"/>
    <cellStyle name="Comma 12 3 2" xfId="735" xr:uid="{00000000-0005-0000-0000-0000DF020000}"/>
    <cellStyle name="Comma 12 3 2 2" xfId="3485" xr:uid="{3C5FDE43-FC1B-40CC-A61D-1F309DFB4540}"/>
    <cellStyle name="Comma 12 3 3" xfId="3019" xr:uid="{EC12DBA7-118E-4954-A2ED-43568E70BEDA}"/>
    <cellStyle name="Comma 12 3 3 2" xfId="3973" xr:uid="{AE2B7022-C07E-4A1D-A371-9E54C8A3E9AB}"/>
    <cellStyle name="Comma 12 4" xfId="736" xr:uid="{00000000-0005-0000-0000-0000E0020000}"/>
    <cellStyle name="Comma 12 4 2" xfId="737" xr:uid="{00000000-0005-0000-0000-0000E1020000}"/>
    <cellStyle name="Comma 12 4 2 2" xfId="3486" xr:uid="{FB3C8AD6-C858-482C-A75D-5C5FA9ACA075}"/>
    <cellStyle name="Comma 12 4 3" xfId="3020" xr:uid="{B577EB1F-DDDA-4B07-A6D3-CA5525E99349}"/>
    <cellStyle name="Comma 12 4 3 2" xfId="3974" xr:uid="{2DE6AA37-9700-48FA-A21D-9B1C12942307}"/>
    <cellStyle name="Comma 12 5" xfId="738" xr:uid="{00000000-0005-0000-0000-0000E2020000}"/>
    <cellStyle name="Comma 12 5 2" xfId="739" xr:uid="{00000000-0005-0000-0000-0000E3020000}"/>
    <cellStyle name="Comma 12 5 2 2" xfId="3487" xr:uid="{FE063C50-4E0F-464A-835D-0F8CC351D1A8}"/>
    <cellStyle name="Comma 12 5 3" xfId="3021" xr:uid="{26212CBF-2E83-43C5-A1A5-C31C7EEAE8BB}"/>
    <cellStyle name="Comma 12 5 3 2" xfId="3975" xr:uid="{2C9B4D9B-3EC9-4E88-BBD8-EA1860E06D39}"/>
    <cellStyle name="Comma 12 6" xfId="740" xr:uid="{00000000-0005-0000-0000-0000E4020000}"/>
    <cellStyle name="Comma 12 6 2" xfId="741" xr:uid="{00000000-0005-0000-0000-0000E5020000}"/>
    <cellStyle name="Comma 12 6 2 2" xfId="3488" xr:uid="{34097A03-1ABB-427B-AD2C-CE13EE0781D1}"/>
    <cellStyle name="Comma 12 6 3" xfId="3022" xr:uid="{339E7626-38FF-4328-818B-93BEDF3DD077}"/>
    <cellStyle name="Comma 12 6 3 2" xfId="3976" xr:uid="{B0AE79BD-418E-4197-855A-785324DC3149}"/>
    <cellStyle name="Comma 12 7" xfId="742" xr:uid="{00000000-0005-0000-0000-0000E6020000}"/>
    <cellStyle name="Comma 12 7 2" xfId="3489" xr:uid="{EE53E6E5-207A-4D9F-ABA3-82A2B469A2F9}"/>
    <cellStyle name="Comma 12 8" xfId="3017" xr:uid="{9622A994-3874-46B0-958A-D389F7E731EE}"/>
    <cellStyle name="Comma 12 8 2" xfId="3971" xr:uid="{463FBBA6-44B7-456E-978B-A9F63F2203AA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490" xr:uid="{A0D0EADF-00DA-48FB-8336-F6C72961E8EB}"/>
    <cellStyle name="Comma 13 2 3" xfId="3024" xr:uid="{F1E36446-09C1-480C-B039-710911FC658F}"/>
    <cellStyle name="Comma 13 2 3 2" xfId="3978" xr:uid="{39EE9989-92C3-4886-BBED-2ACEB857B74D}"/>
    <cellStyle name="Comma 13 3" xfId="746" xr:uid="{00000000-0005-0000-0000-0000EA020000}"/>
    <cellStyle name="Comma 13 3 2" xfId="3491" xr:uid="{90BE6C34-0927-47D4-852D-51023B2E386B}"/>
    <cellStyle name="Comma 13 4" xfId="3023" xr:uid="{E775B676-91F3-4A22-9CFD-58DF5296FCB8}"/>
    <cellStyle name="Comma 13 4 2" xfId="3977" xr:uid="{C97ECE7C-A279-460B-B68B-0E165613C4AA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492" xr:uid="{F7B096A9-7536-44A6-9C2B-37F983B978F3}"/>
    <cellStyle name="Comma 14 2 2 3" xfId="3027" xr:uid="{83581F20-972A-43C9-8419-BFF7BF04B014}"/>
    <cellStyle name="Comma 14 2 2 3 2" xfId="3981" xr:uid="{8B17E173-554A-4826-87E5-169D191EC95E}"/>
    <cellStyle name="Comma 14 2 3" xfId="751" xr:uid="{00000000-0005-0000-0000-0000EF020000}"/>
    <cellStyle name="Comma 14 2 3 2" xfId="3493" xr:uid="{D4BF47B9-AEC7-42A4-9482-AC7D07229F13}"/>
    <cellStyle name="Comma 14 2 4" xfId="3026" xr:uid="{F8247EB5-E4C0-491D-8563-509141C72D57}"/>
    <cellStyle name="Comma 14 2 4 2" xfId="3980" xr:uid="{976D8CC0-7B2D-4A7A-BE86-62651D49B311}"/>
    <cellStyle name="Comma 14 3" xfId="752" xr:uid="{00000000-0005-0000-0000-0000F0020000}"/>
    <cellStyle name="Comma 14 3 2" xfId="3494" xr:uid="{63174409-E8FA-4C8F-AEE6-BF06F59D9860}"/>
    <cellStyle name="Comma 14 4" xfId="3025" xr:uid="{3E868230-2BCF-4773-82E0-2FE389D429C7}"/>
    <cellStyle name="Comma 14 4 2" xfId="3979" xr:uid="{57472967-048C-4E14-9252-702120F2084A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3495" xr:uid="{774864BE-7A89-4CDE-A3BE-7F6A93BEFD89}"/>
    <cellStyle name="Comma 15 2 3" xfId="3029" xr:uid="{E0483F5D-D232-4AE4-94C0-C42CD7321A70}"/>
    <cellStyle name="Comma 15 2 3 2" xfId="3983" xr:uid="{43720CD3-849A-4C44-AAA6-C83B861A2E61}"/>
    <cellStyle name="Comma 15 3" xfId="756" xr:uid="{00000000-0005-0000-0000-0000F4020000}"/>
    <cellStyle name="Comma 15 3 2" xfId="757" xr:uid="{00000000-0005-0000-0000-0000F5020000}"/>
    <cellStyle name="Comma 15 3 2 2" xfId="3496" xr:uid="{F658CA91-1EDB-419D-89D8-C8B1A3DCFE6E}"/>
    <cellStyle name="Comma 15 3 3" xfId="3030" xr:uid="{C1B63D54-D6EC-4F58-96FB-5D3460398CFC}"/>
    <cellStyle name="Comma 15 3 3 2" xfId="3984" xr:uid="{DF307759-0A7F-42AF-8876-837DB91794E4}"/>
    <cellStyle name="Comma 15 4" xfId="758" xr:uid="{00000000-0005-0000-0000-0000F6020000}"/>
    <cellStyle name="Comma 15 4 2" xfId="759" xr:uid="{00000000-0005-0000-0000-0000F7020000}"/>
    <cellStyle name="Comma 15 4 2 2" xfId="3497" xr:uid="{A5DECB45-9AFC-4029-99B7-EEE0EC3E84B2}"/>
    <cellStyle name="Comma 15 4 3" xfId="3031" xr:uid="{57FE5085-1B76-45BD-9075-347E7B7AF522}"/>
    <cellStyle name="Comma 15 4 3 2" xfId="3985" xr:uid="{EC159B08-1A21-4A6B-B57A-5F998AD8A8A5}"/>
    <cellStyle name="Comma 15 5" xfId="760" xr:uid="{00000000-0005-0000-0000-0000F8020000}"/>
    <cellStyle name="Comma 15 5 2" xfId="3498" xr:uid="{2AD489BB-2F23-45E9-8AA6-BB885DB655D9}"/>
    <cellStyle name="Comma 15 6" xfId="3028" xr:uid="{926798E8-FE64-4907-ABF2-6474000ACCCD}"/>
    <cellStyle name="Comma 15 6 2" xfId="3982" xr:uid="{04AD4F2A-F0D3-40E2-AF89-2B3459C92AD3}"/>
    <cellStyle name="Comma 16" xfId="761" xr:uid="{00000000-0005-0000-0000-0000F9020000}"/>
    <cellStyle name="Comma 16 2" xfId="762" xr:uid="{00000000-0005-0000-0000-0000FA020000}"/>
    <cellStyle name="Comma 16 2 2" xfId="3499" xr:uid="{9D803E46-F932-44C3-A33E-51DF929A97C7}"/>
    <cellStyle name="Comma 16 3" xfId="3032" xr:uid="{E83CAA48-E04A-4993-B356-EE20FCF63485}"/>
    <cellStyle name="Comma 16 3 2" xfId="3986" xr:uid="{2F7B6D53-BB90-46D4-BDD4-64C8085261F9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3500" xr:uid="{8E2C31D6-3133-4433-AD31-1C99F8459CC8}"/>
    <cellStyle name="Comma 17 2 3" xfId="3034" xr:uid="{9FB43039-52D9-4443-B3DC-1EC7323B277D}"/>
    <cellStyle name="Comma 17 2 3 2" xfId="3988" xr:uid="{803F70EC-4A73-466C-B908-13A546D88AB8}"/>
    <cellStyle name="Comma 17 3" xfId="3033" xr:uid="{818BF886-F484-4354-BBF0-E51D3F2320F9}"/>
    <cellStyle name="Comma 17 3 2" xfId="3987" xr:uid="{0B5506ED-DD3C-44D2-935D-AF6A351837BB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3501" xr:uid="{94EB9341-346B-4BC2-B8EC-D7948C4F1BB9}"/>
    <cellStyle name="Comma 18 2 3" xfId="3036" xr:uid="{79EB30D2-A693-4775-8421-B8C559DA9B2E}"/>
    <cellStyle name="Comma 18 2 3 2" xfId="3990" xr:uid="{AA899FEC-4D52-458A-A6A5-84B17B86FA65}"/>
    <cellStyle name="Comma 18 3" xfId="769" xr:uid="{00000000-0005-0000-0000-000001030000}"/>
    <cellStyle name="Comma 18 3 2" xfId="3502" xr:uid="{2C05B0EE-665D-480F-BE3E-D728C89513A5}"/>
    <cellStyle name="Comma 18 4" xfId="3035" xr:uid="{29BFFF8D-B5C7-4E68-A716-E2340A67FDF9}"/>
    <cellStyle name="Comma 18 4 2" xfId="3989" xr:uid="{F4766A70-19AD-43A8-AE72-54E0BB65871C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2 2 2" xfId="3992" xr:uid="{32DD7515-9CDE-4684-9EEF-DC475ABBB7C7}"/>
    <cellStyle name="Comma 19 3" xfId="772" xr:uid="{00000000-0005-0000-0000-000004030000}"/>
    <cellStyle name="Comma 19 3 2" xfId="3039" xr:uid="{7D4004BC-F4C9-4715-9D24-8C30366989F3}"/>
    <cellStyle name="Comma 19 3 2 2" xfId="3993" xr:uid="{BCB9B693-2F7A-481E-81B5-5EC69CC980E3}"/>
    <cellStyle name="Comma 19 4" xfId="773" xr:uid="{00000000-0005-0000-0000-000005030000}"/>
    <cellStyle name="Comma 19 4 2" xfId="3040" xr:uid="{45986635-CE21-460F-AF39-154B29ED41E2}"/>
    <cellStyle name="Comma 19 4 2 2" xfId="3994" xr:uid="{BEE2E453-031F-4285-9409-2CDA163301C9}"/>
    <cellStyle name="Comma 19 5" xfId="774" xr:uid="{00000000-0005-0000-0000-000006030000}"/>
    <cellStyle name="Comma 19 5 2" xfId="3503" xr:uid="{3F2BA526-70EB-4EC8-ADB2-C009DB32940F}"/>
    <cellStyle name="Comma 19 6" xfId="3037" xr:uid="{17B7C024-8B2E-412E-A021-999A180B4901}"/>
    <cellStyle name="Comma 19 6 2" xfId="3991" xr:uid="{36AF2BF9-7A0A-4989-8ACB-9B9DA4F8177C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3504" xr:uid="{DB889E9F-7E38-480A-AB0E-7C8FBF36F336}"/>
    <cellStyle name="Comma 2 10 3" xfId="3041" xr:uid="{AFDCCA69-8CEF-419A-B182-CBB2CE732D20}"/>
    <cellStyle name="Comma 2 10 3 2" xfId="3995" xr:uid="{B437CE8A-CAAF-42AD-BF83-C4A6E76FFA94}"/>
    <cellStyle name="Comma 2 11" xfId="778" xr:uid="{00000000-0005-0000-0000-00000A030000}"/>
    <cellStyle name="Comma 2 11 2" xfId="779" xr:uid="{00000000-0005-0000-0000-00000B030000}"/>
    <cellStyle name="Comma 2 11 2 2" xfId="3505" xr:uid="{419C2415-6447-4F75-BFEC-17F9A32F0322}"/>
    <cellStyle name="Comma 2 11 3" xfId="3042" xr:uid="{E310980C-D64F-4876-96FD-327EF60F17ED}"/>
    <cellStyle name="Comma 2 11 3 2" xfId="3996" xr:uid="{E930EBB4-9D53-4A76-BFE0-4B7492D7E293}"/>
    <cellStyle name="Comma 2 12" xfId="780" xr:uid="{00000000-0005-0000-0000-00000C030000}"/>
    <cellStyle name="Comma 2 12 2" xfId="781" xr:uid="{00000000-0005-0000-0000-00000D030000}"/>
    <cellStyle name="Comma 2 12 2 2" xfId="3506" xr:uid="{C21FC05B-455E-448E-87F7-23C3703A7AD3}"/>
    <cellStyle name="Comma 2 12 3" xfId="3043" xr:uid="{5377AD1D-0AC1-4406-905A-530FBD74D56B}"/>
    <cellStyle name="Comma 2 12 3 2" xfId="3997" xr:uid="{5B2C25D7-0373-4A1D-BE0E-3CD727A12515}"/>
    <cellStyle name="Comma 2 13" xfId="782" xr:uid="{00000000-0005-0000-0000-00000E030000}"/>
    <cellStyle name="Comma 2 13 2" xfId="783" xr:uid="{00000000-0005-0000-0000-00000F030000}"/>
    <cellStyle name="Comma 2 13 2 2" xfId="3507" xr:uid="{3DB00DC1-3E05-4692-B1CA-4A52433DCC77}"/>
    <cellStyle name="Comma 2 13 3" xfId="3044" xr:uid="{A199919F-E13B-4CE3-B1D7-593EF98959B7}"/>
    <cellStyle name="Comma 2 13 3 2" xfId="3998" xr:uid="{BBC37A27-F22D-4FD2-B00A-0177990B81A1}"/>
    <cellStyle name="Comma 2 14" xfId="784" xr:uid="{00000000-0005-0000-0000-000010030000}"/>
    <cellStyle name="Comma 2 14 2" xfId="785" xr:uid="{00000000-0005-0000-0000-000011030000}"/>
    <cellStyle name="Comma 2 14 2 2" xfId="3508" xr:uid="{F600D2C8-7FC6-4709-9EAC-5AD87A1768AF}"/>
    <cellStyle name="Comma 2 14 3" xfId="3045" xr:uid="{C1867373-29E9-44CF-972B-80471AB9ADD5}"/>
    <cellStyle name="Comma 2 14 3 2" xfId="3999" xr:uid="{8E53CB0B-E858-4952-95C2-106EFB40534F}"/>
    <cellStyle name="Comma 2 15" xfId="786" xr:uid="{00000000-0005-0000-0000-000012030000}"/>
    <cellStyle name="Comma 2 15 2" xfId="787" xr:uid="{00000000-0005-0000-0000-000013030000}"/>
    <cellStyle name="Comma 2 15 2 2" xfId="3509" xr:uid="{ECF85EBE-8C9E-4E4D-AF9B-5D5B5018D46E}"/>
    <cellStyle name="Comma 2 15 3" xfId="3046" xr:uid="{6D140B16-DFF5-4A8A-B483-1270625595C1}"/>
    <cellStyle name="Comma 2 15 3 2" xfId="4000" xr:uid="{6BF4FB99-7CFF-4F58-AF4C-F69C4B765B14}"/>
    <cellStyle name="Comma 2 16" xfId="788" xr:uid="{00000000-0005-0000-0000-000014030000}"/>
    <cellStyle name="Comma 2 16 2" xfId="789" xr:uid="{00000000-0005-0000-0000-000015030000}"/>
    <cellStyle name="Comma 2 16 2 2" xfId="3510" xr:uid="{8EBA9A3C-90B8-46CA-A4C7-C199AB7D2984}"/>
    <cellStyle name="Comma 2 16 3" xfId="3047" xr:uid="{AD5BC0A1-950A-4B5A-817C-07A09B538519}"/>
    <cellStyle name="Comma 2 16 3 2" xfId="4001" xr:uid="{2DA73EB1-2CED-439B-8CCC-B8EC3FFD08DC}"/>
    <cellStyle name="Comma 2 17" xfId="790" xr:uid="{00000000-0005-0000-0000-000016030000}"/>
    <cellStyle name="Comma 2 17 2" xfId="791" xr:uid="{00000000-0005-0000-0000-000017030000}"/>
    <cellStyle name="Comma 2 17 2 2" xfId="3511" xr:uid="{47DCFCA0-5A00-49B6-B4B8-F6D179E6DB9F}"/>
    <cellStyle name="Comma 2 17 3" xfId="3048" xr:uid="{F3A5BB1F-D4A4-43F7-88AF-17534208AEC9}"/>
    <cellStyle name="Comma 2 17 3 2" xfId="4002" xr:uid="{A0DF3F13-F8F6-461E-9E6E-61738CDCC041}"/>
    <cellStyle name="Comma 2 18" xfId="792" xr:uid="{00000000-0005-0000-0000-000018030000}"/>
    <cellStyle name="Comma 2 18 2" xfId="793" xr:uid="{00000000-0005-0000-0000-000019030000}"/>
    <cellStyle name="Comma 2 18 2 2" xfId="3512" xr:uid="{0362BF84-65B1-479E-9DC3-067920B272D3}"/>
    <cellStyle name="Comma 2 18 3" xfId="3049" xr:uid="{E838855B-EDCB-4EF6-8DD5-A81244DBBB83}"/>
    <cellStyle name="Comma 2 18 3 2" xfId="4003" xr:uid="{0FE7E80B-08AC-4827-ADE4-FEAC67F5300E}"/>
    <cellStyle name="Comma 2 19" xfId="794" xr:uid="{00000000-0005-0000-0000-00001A030000}"/>
    <cellStyle name="Comma 2 19 2" xfId="795" xr:uid="{00000000-0005-0000-0000-00001B030000}"/>
    <cellStyle name="Comma 2 19 2 2" xfId="3513" xr:uid="{69D82E87-DB20-4AC1-83B6-4BFE79EF8E84}"/>
    <cellStyle name="Comma 2 19 3" xfId="3050" xr:uid="{B0C17B82-5F9A-438B-B4A3-C807CF362E1C}"/>
    <cellStyle name="Comma 2 19 3 2" xfId="4004" xr:uid="{B1E0767D-A990-4FE2-8396-5A945839553E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3516" xr:uid="{9C9A539C-365F-4104-9480-57D29ADEBE6C}"/>
    <cellStyle name="Comma 2 2 2 2 2 2 2 2 3" xfId="3056" xr:uid="{CE538DE6-5D58-44B6-A6B2-39323CBDC972}"/>
    <cellStyle name="Comma 2 2 2 2 2 2 2 2 3 2" xfId="4010" xr:uid="{9F168B0F-6A5D-4EA8-A9F7-8BE998BBA643}"/>
    <cellStyle name="Comma 2 2 2 2 2 2 2 3" xfId="804" xr:uid="{00000000-0005-0000-0000-000024030000}"/>
    <cellStyle name="Comma 2 2 2 2 2 2 2 3 2" xfId="805" xr:uid="{00000000-0005-0000-0000-000025030000}"/>
    <cellStyle name="Comma 2 2 2 2 2 2 2 3 2 2" xfId="3517" xr:uid="{91B315BA-6918-4153-9FCA-1035C6F0DFEE}"/>
    <cellStyle name="Comma 2 2 2 2 2 2 2 3 3" xfId="3057" xr:uid="{A912B6DB-EE4A-4651-A2DC-3EF2FC964E42}"/>
    <cellStyle name="Comma 2 2 2 2 2 2 2 3 3 2" xfId="4011" xr:uid="{99A4F335-AF72-44D8-A832-E2060983E3F4}"/>
    <cellStyle name="Comma 2 2 2 2 2 2 2 4" xfId="3055" xr:uid="{A5F63825-5350-4D7B-9D88-09A52BA42B0B}"/>
    <cellStyle name="Comma 2 2 2 2 2 2 2 4 2" xfId="4009" xr:uid="{09F34B8B-7618-4E47-A66A-2CF8FE217DAB}"/>
    <cellStyle name="Comma 2 2 2 2 2 2 2 5" xfId="3515" xr:uid="{C03AE2B6-95BA-451B-848A-86A66C80E7A3}"/>
    <cellStyle name="Comma 2 2 2 2 2 2 3" xfId="806" xr:uid="{00000000-0005-0000-0000-000026030000}"/>
    <cellStyle name="Comma 2 2 2 2 2 2 3 2" xfId="3058" xr:uid="{4D2EF11E-6DB9-49E1-A02C-F3AC680431D3}"/>
    <cellStyle name="Comma 2 2 2 2 2 2 3 2 2" xfId="4012" xr:uid="{9811CD7E-6627-41D9-B045-2CEA8D9C6637}"/>
    <cellStyle name="Comma 2 2 2 2 2 2 3 3" xfId="3518" xr:uid="{48F66B7F-9E00-4E3D-9DEA-2D410402B3FF}"/>
    <cellStyle name="Comma 2 2 2 2 2 2 4" xfId="807" xr:uid="{00000000-0005-0000-0000-000027030000}"/>
    <cellStyle name="Comma 2 2 2 2 2 2 4 2" xfId="3519" xr:uid="{76281288-89A0-4BEA-8EB8-F7808EADD4E7}"/>
    <cellStyle name="Comma 2 2 2 2 2 2 5" xfId="3054" xr:uid="{434ED6B4-2D43-4A57-86AA-96BE2AA2CC6A}"/>
    <cellStyle name="Comma 2 2 2 2 2 2 5 2" xfId="4008" xr:uid="{FA9623C5-00E8-4540-B03A-A80CB354A066}"/>
    <cellStyle name="Comma 2 2 2 2 2 3" xfId="808" xr:uid="{00000000-0005-0000-0000-000028030000}"/>
    <cellStyle name="Comma 2 2 2 2 2 3 2" xfId="809" xr:uid="{00000000-0005-0000-0000-000029030000}"/>
    <cellStyle name="Comma 2 2 2 2 2 3 2 2" xfId="3520" xr:uid="{638F425B-73C6-4AC4-B077-50461327F18E}"/>
    <cellStyle name="Comma 2 2 2 2 2 3 3" xfId="3059" xr:uid="{9C1EF324-FD74-4990-9639-835EB22A52A4}"/>
    <cellStyle name="Comma 2 2 2 2 2 3 3 2" xfId="4013" xr:uid="{C256FB53-A0B3-4C7D-B6CE-78941981A8E3}"/>
    <cellStyle name="Comma 2 2 2 2 2 4" xfId="810" xr:uid="{00000000-0005-0000-0000-00002A030000}"/>
    <cellStyle name="Comma 2 2 2 2 2 4 2" xfId="811" xr:uid="{00000000-0005-0000-0000-00002B030000}"/>
    <cellStyle name="Comma 2 2 2 2 2 4 2 2" xfId="3521" xr:uid="{201772DD-A649-4118-9033-4BEC6A05FCC7}"/>
    <cellStyle name="Comma 2 2 2 2 2 4 3" xfId="3060" xr:uid="{C2B9D5D3-AEF7-4D9C-8441-9C787B46E48A}"/>
    <cellStyle name="Comma 2 2 2 2 2 4 3 2" xfId="4014" xr:uid="{D5A14305-F88A-4C54-B2A0-938A0F124290}"/>
    <cellStyle name="Comma 2 2 2 2 2 5" xfId="3053" xr:uid="{292E16A3-50C0-4300-B2A0-C61C77350C20}"/>
    <cellStyle name="Comma 2 2 2 2 2 5 2" xfId="4007" xr:uid="{81CE7728-89DE-45B9-8E4D-F9FA98EDA60C}"/>
    <cellStyle name="Comma 2 2 2 2 2 6" xfId="3514" xr:uid="{823AC3E5-4A5F-4755-B3DE-BC50030FA8DE}"/>
    <cellStyle name="Comma 2 2 2 2 3" xfId="812" xr:uid="{00000000-0005-0000-0000-00002C030000}"/>
    <cellStyle name="Comma 2 2 2 2 3 2" xfId="3061" xr:uid="{77E7F2D4-EB1C-49C4-B9B2-4930A683FA23}"/>
    <cellStyle name="Comma 2 2 2 2 3 2 2" xfId="4015" xr:uid="{13B13339-20E4-48DC-9EFC-910B74BE2FB4}"/>
    <cellStyle name="Comma 2 2 2 2 3 3" xfId="3522" xr:uid="{CCD717B2-97BB-4B8E-88D0-41C09C6FBBC4}"/>
    <cellStyle name="Comma 2 2 2 2 4" xfId="813" xr:uid="{00000000-0005-0000-0000-00002D030000}"/>
    <cellStyle name="Comma 2 2 2 2 4 2" xfId="3062" xr:uid="{EF259039-703B-4878-97EA-1EF79FAA0879}"/>
    <cellStyle name="Comma 2 2 2 2 4 2 2" xfId="4016" xr:uid="{EACFE3F8-AABD-460C-95E0-993496576119}"/>
    <cellStyle name="Comma 2 2 2 2 4 3" xfId="3523" xr:uid="{2DC0C0F2-7A13-4980-9C49-6F2774CCD57F}"/>
    <cellStyle name="Comma 2 2 2 2 5" xfId="814" xr:uid="{00000000-0005-0000-0000-00002E030000}"/>
    <cellStyle name="Comma 2 2 2 2 5 2" xfId="3524" xr:uid="{97238E40-1321-4835-8C1B-96CBF78EC2FD}"/>
    <cellStyle name="Comma 2 2 2 2 6" xfId="3052" xr:uid="{0373272B-0826-49BA-9FF1-39B70AE684DF}"/>
    <cellStyle name="Comma 2 2 2 2 6 2" xfId="4006" xr:uid="{BBCE700B-A16B-4188-8243-CF11DCF231F4}"/>
    <cellStyle name="Comma 2 2 2 3" xfId="815" xr:uid="{00000000-0005-0000-0000-00002F030000}"/>
    <cellStyle name="Comma 2 2 2 3 2" xfId="816" xr:uid="{00000000-0005-0000-0000-000030030000}"/>
    <cellStyle name="Comma 2 2 2 3 2 2" xfId="3525" xr:uid="{52D68806-EDB7-45C4-BD10-C9E9F33AB801}"/>
    <cellStyle name="Comma 2 2 2 3 3" xfId="3063" xr:uid="{B8EB6C39-C34F-4D87-9075-EEFBF0382F10}"/>
    <cellStyle name="Comma 2 2 2 3 3 2" xfId="4017" xr:uid="{E20EA5BD-94B7-4C17-82C5-6C6FF9919C5C}"/>
    <cellStyle name="Comma 2 2 2 4" xfId="817" xr:uid="{00000000-0005-0000-0000-000031030000}"/>
    <cellStyle name="Comma 2 2 2 4 2" xfId="818" xr:uid="{00000000-0005-0000-0000-000032030000}"/>
    <cellStyle name="Comma 2 2 2 4 2 2" xfId="3526" xr:uid="{EE8995A3-162E-4A47-A5C1-C45A98620FFD}"/>
    <cellStyle name="Comma 2 2 2 4 3" xfId="3064" xr:uid="{C8DB41C1-0628-4707-A6A3-C0449242A08C}"/>
    <cellStyle name="Comma 2 2 2 4 3 2" xfId="4018" xr:uid="{8BDCCB75-B5D8-47ED-A232-FBDE4FDA999B}"/>
    <cellStyle name="Comma 2 2 2 5" xfId="819" xr:uid="{00000000-0005-0000-0000-000033030000}"/>
    <cellStyle name="Comma 2 2 2 5 2" xfId="820" xr:uid="{00000000-0005-0000-0000-000034030000}"/>
    <cellStyle name="Comma 2 2 2 5 2 2" xfId="3527" xr:uid="{3F3BAFCD-E046-44BA-86D3-D7DFD11B6E0D}"/>
    <cellStyle name="Comma 2 2 2 5 3" xfId="3065" xr:uid="{2A1B62FC-872C-48CF-8C35-6E29BB6A25EB}"/>
    <cellStyle name="Comma 2 2 2 5 3 2" xfId="4019" xr:uid="{6CED82D2-770E-4E1E-8A10-356F0B35D22F}"/>
    <cellStyle name="Comma 2 2 2 6" xfId="3051" xr:uid="{6BB74C52-7C4A-42E6-8EEE-864D18B444ED}"/>
    <cellStyle name="Comma 2 2 2 6 2" xfId="4005" xr:uid="{67E1509E-C712-4A60-8ECE-30B8F71F3E67}"/>
    <cellStyle name="Comma 2 2 3" xfId="821" xr:uid="{00000000-0005-0000-0000-000035030000}"/>
    <cellStyle name="Comma 2 2 3 2" xfId="822" xr:uid="{00000000-0005-0000-0000-000036030000}"/>
    <cellStyle name="Comma 2 2 3 2 2" xfId="3528" xr:uid="{4FA7E1AA-1E8E-41C7-94A2-3DA45BEA4E65}"/>
    <cellStyle name="Comma 2 2 3 3" xfId="3066" xr:uid="{10AA6034-2BB7-45AC-AF3E-BA103CE5F44B}"/>
    <cellStyle name="Comma 2 2 3 3 2" xfId="4020" xr:uid="{D7606F29-E0A6-458A-BB26-F581D0138A27}"/>
    <cellStyle name="Comma 2 2 4" xfId="823" xr:uid="{00000000-0005-0000-0000-000037030000}"/>
    <cellStyle name="Comma 2 2 4 2" xfId="3067" xr:uid="{D327E1DC-367F-4D39-84A6-E24CC3A29998}"/>
    <cellStyle name="Comma 2 2 4 2 2" xfId="4021" xr:uid="{42CBC94B-01B7-43B3-85A5-FD807D43ED10}"/>
    <cellStyle name="Comma 2 2 4 3" xfId="3529" xr:uid="{1F2E9ECA-890F-4FF0-AC02-90DE47BAEC0B}"/>
    <cellStyle name="Comma 2 2 5" xfId="824" xr:uid="{00000000-0005-0000-0000-000038030000}"/>
    <cellStyle name="Comma 2 2 5 2" xfId="3068" xr:uid="{4BC0779D-8E6A-4D1A-A3B3-265220889FF9}"/>
    <cellStyle name="Comma 2 2 5 2 2" xfId="4022" xr:uid="{6786B2D8-193A-4B30-BE74-E97F8BBC9EE1}"/>
    <cellStyle name="Comma 2 2 5 3" xfId="3530" xr:uid="{8C11CE38-116F-422D-AB1E-3B35E6BCC40F}"/>
    <cellStyle name="Comma 2 2 6" xfId="825" xr:uid="{00000000-0005-0000-0000-000039030000}"/>
    <cellStyle name="Comma 2 2 6 2" xfId="3069" xr:uid="{FC8A6416-4D38-4252-93E9-24DDFD334EFF}"/>
    <cellStyle name="Comma 2 2 6 2 2" xfId="4023" xr:uid="{640EEDF6-7E4C-482B-AD08-A3F3EEC9EA25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3531" xr:uid="{3640CCD6-1E2C-4113-AC5B-62EDDDB3099A}"/>
    <cellStyle name="Comma 2 20 3" xfId="3070" xr:uid="{E8504335-EF0B-40B3-BB11-27915C02D1DC}"/>
    <cellStyle name="Comma 2 20 3 2" xfId="4024" xr:uid="{F5C4C7F5-90EF-48F4-BD49-F07D5284B368}"/>
    <cellStyle name="Comma 2 21" xfId="829" xr:uid="{00000000-0005-0000-0000-00003D030000}"/>
    <cellStyle name="Comma 2 21 2" xfId="830" xr:uid="{00000000-0005-0000-0000-00003E030000}"/>
    <cellStyle name="Comma 2 21 2 2" xfId="3532" xr:uid="{D286EAB5-6A0E-4CCE-BFD4-BA7265252F39}"/>
    <cellStyle name="Comma 2 21 3" xfId="3071" xr:uid="{534A85AA-F339-4927-8E0A-7F27368C88BB}"/>
    <cellStyle name="Comma 2 21 3 2" xfId="4025" xr:uid="{D337E417-0DC6-445D-B166-283ED3920669}"/>
    <cellStyle name="Comma 2 22" xfId="831" xr:uid="{00000000-0005-0000-0000-00003F030000}"/>
    <cellStyle name="Comma 2 22 2" xfId="832" xr:uid="{00000000-0005-0000-0000-000040030000}"/>
    <cellStyle name="Comma 2 22 2 2" xfId="3533" xr:uid="{B02ED323-F62C-4065-B5A3-74A10647E79E}"/>
    <cellStyle name="Comma 2 22 3" xfId="3072" xr:uid="{019EDD3C-1E42-4A89-9D85-4F854F325998}"/>
    <cellStyle name="Comma 2 22 3 2" xfId="4026" xr:uid="{D9F5862B-87F6-45AA-9EA9-265285B8EB1C}"/>
    <cellStyle name="Comma 2 23" xfId="833" xr:uid="{00000000-0005-0000-0000-000041030000}"/>
    <cellStyle name="Comma 2 23 2" xfId="834" xr:uid="{00000000-0005-0000-0000-000042030000}"/>
    <cellStyle name="Comma 2 23 2 2" xfId="3534" xr:uid="{7B9690D1-659A-46F5-A572-59A4497604AF}"/>
    <cellStyle name="Comma 2 23 3" xfId="3073" xr:uid="{CE5A0BC8-EFDA-470A-925C-0AE092386415}"/>
    <cellStyle name="Comma 2 23 3 2" xfId="4027" xr:uid="{E1157F54-495A-42C7-B375-A906078C836C}"/>
    <cellStyle name="Comma 2 24" xfId="835" xr:uid="{00000000-0005-0000-0000-000043030000}"/>
    <cellStyle name="Comma 2 24 2" xfId="836" xr:uid="{00000000-0005-0000-0000-000044030000}"/>
    <cellStyle name="Comma 2 24 2 2" xfId="3535" xr:uid="{5F483FC2-33AA-4DF4-9CC0-78FBAE8095F7}"/>
    <cellStyle name="Comma 2 24 3" xfId="3074" xr:uid="{66A82A04-1B58-4C2E-9645-23D94777C17A}"/>
    <cellStyle name="Comma 2 24 3 2" xfId="4028" xr:uid="{C07888D1-6456-4847-A3A1-77092B55FD38}"/>
    <cellStyle name="Comma 2 25" xfId="837" xr:uid="{00000000-0005-0000-0000-000045030000}"/>
    <cellStyle name="Comma 2 25 2" xfId="838" xr:uid="{00000000-0005-0000-0000-000046030000}"/>
    <cellStyle name="Comma 2 25 2 2" xfId="3536" xr:uid="{F670D034-C871-4580-B17A-E13A725D03C1}"/>
    <cellStyle name="Comma 2 25 3" xfId="3075" xr:uid="{D4192D6C-4BA9-41C4-A724-B2A0FF9D1918}"/>
    <cellStyle name="Comma 2 25 3 2" xfId="4029" xr:uid="{091C17BE-2254-4ADB-951F-5CFC8BAFAEDB}"/>
    <cellStyle name="Comma 2 26" xfId="839" xr:uid="{00000000-0005-0000-0000-000047030000}"/>
    <cellStyle name="Comma 2 26 2" xfId="840" xr:uid="{00000000-0005-0000-0000-000048030000}"/>
    <cellStyle name="Comma 2 26 2 2" xfId="3537" xr:uid="{374A052F-ED22-4575-86BA-0F6FF232F9FD}"/>
    <cellStyle name="Comma 2 26 3" xfId="3076" xr:uid="{735FA171-3D24-4D5C-AB35-83AB490C0D30}"/>
    <cellStyle name="Comma 2 26 3 2" xfId="4030" xr:uid="{CF07B0EB-4A6F-4BD8-A9DC-B5A1BACDCCB1}"/>
    <cellStyle name="Comma 2 27" xfId="841" xr:uid="{00000000-0005-0000-0000-000049030000}"/>
    <cellStyle name="Comma 2 27 2" xfId="842" xr:uid="{00000000-0005-0000-0000-00004A030000}"/>
    <cellStyle name="Comma 2 27 2 2" xfId="3538" xr:uid="{0666C85F-97B1-4F24-97F8-D097B6C8F281}"/>
    <cellStyle name="Comma 2 27 3" xfId="3077" xr:uid="{4F40CF85-B1C9-49D3-A52B-2C972B4DFC2A}"/>
    <cellStyle name="Comma 2 27 3 2" xfId="4031" xr:uid="{C6CDB323-5AC8-42A7-8300-3DA571E15D80}"/>
    <cellStyle name="Comma 2 28" xfId="843" xr:uid="{00000000-0005-0000-0000-00004B030000}"/>
    <cellStyle name="Comma 2 28 2" xfId="844" xr:uid="{00000000-0005-0000-0000-00004C030000}"/>
    <cellStyle name="Comma 2 28 2 2" xfId="3539" xr:uid="{33B967C3-DFC6-4D7E-A902-B2EB8C2F0D7E}"/>
    <cellStyle name="Comma 2 28 3" xfId="3078" xr:uid="{A4DA0430-6849-4B2C-A5F5-72BA4228DB00}"/>
    <cellStyle name="Comma 2 28 3 2" xfId="4032" xr:uid="{3D037B7C-DC53-45D1-90B4-C912AB533F5F}"/>
    <cellStyle name="Comma 2 29" xfId="845" xr:uid="{00000000-0005-0000-0000-00004D030000}"/>
    <cellStyle name="Comma 2 29 2" xfId="846" xr:uid="{00000000-0005-0000-0000-00004E030000}"/>
    <cellStyle name="Comma 2 29 2 2" xfId="3540" xr:uid="{0107C2B7-E8B1-4D4B-A4B8-642FE44F3120}"/>
    <cellStyle name="Comma 2 29 3" xfId="3079" xr:uid="{7BD30170-43AC-4F85-A55B-43E9215E9B3A}"/>
    <cellStyle name="Comma 2 29 3 2" xfId="4033" xr:uid="{0B7C9DB2-218C-42FE-9114-D99BC80D796E}"/>
    <cellStyle name="Comma 2 3" xfId="847" xr:uid="{00000000-0005-0000-0000-00004F030000}"/>
    <cellStyle name="Comma 2 3 2" xfId="848" xr:uid="{00000000-0005-0000-0000-000050030000}"/>
    <cellStyle name="Comma 2 3 2 2" xfId="3541" xr:uid="{1327B844-01C3-4D84-B64A-D19DA7CCF234}"/>
    <cellStyle name="Comma 2 3 3" xfId="3080" xr:uid="{60D14EEC-05C6-49B0-9F35-6D37685098FC}"/>
    <cellStyle name="Comma 2 3 3 2" xfId="4034" xr:uid="{75FF6308-4CB6-44D3-AFB9-0471537DC503}"/>
    <cellStyle name="Comma 2 30" xfId="849" xr:uid="{00000000-0005-0000-0000-000051030000}"/>
    <cellStyle name="Comma 2 30 2" xfId="850" xr:uid="{00000000-0005-0000-0000-000052030000}"/>
    <cellStyle name="Comma 2 30 2 2" xfId="3542" xr:uid="{ACB1DA21-C99E-4615-842F-5B195EFF633E}"/>
    <cellStyle name="Comma 2 30 3" xfId="3081" xr:uid="{548602E8-C7B2-4F42-BCEA-7A01F379E763}"/>
    <cellStyle name="Comma 2 30 3 2" xfId="4035" xr:uid="{5A13CCB4-B12C-48FD-87BD-B514E6930FFD}"/>
    <cellStyle name="Comma 2 31" xfId="851" xr:uid="{00000000-0005-0000-0000-000053030000}"/>
    <cellStyle name="Comma 2 31 2" xfId="852" xr:uid="{00000000-0005-0000-0000-000054030000}"/>
    <cellStyle name="Comma 2 31 2 2" xfId="3543" xr:uid="{FFD7A0B2-EF2E-499D-B6C3-F7375C5A27BB}"/>
    <cellStyle name="Comma 2 31 3" xfId="3082" xr:uid="{74D0E64C-66D9-49E9-9B5B-362590BC2750}"/>
    <cellStyle name="Comma 2 31 3 2" xfId="4036" xr:uid="{33EB03FF-7346-4109-88D3-5DC0954BFF0E}"/>
    <cellStyle name="Comma 2 32" xfId="853" xr:uid="{00000000-0005-0000-0000-000055030000}"/>
    <cellStyle name="Comma 2 32 2" xfId="854" xr:uid="{00000000-0005-0000-0000-000056030000}"/>
    <cellStyle name="Comma 2 32 2 2" xfId="3544" xr:uid="{8F3D8510-4AD0-47AF-A5E8-EC38498E5DB3}"/>
    <cellStyle name="Comma 2 32 3" xfId="3083" xr:uid="{0C681DF3-E95C-4D7B-B92D-5B49C8453D07}"/>
    <cellStyle name="Comma 2 32 3 2" xfId="4037" xr:uid="{6F4B5EFC-7540-48B6-8661-52BE290BC394}"/>
    <cellStyle name="Comma 2 33" xfId="855" xr:uid="{00000000-0005-0000-0000-000057030000}"/>
    <cellStyle name="Comma 2 33 2" xfId="856" xr:uid="{00000000-0005-0000-0000-000058030000}"/>
    <cellStyle name="Comma 2 33 2 2" xfId="3545" xr:uid="{8285B9EE-44A3-4978-A751-63CAFBA7727A}"/>
    <cellStyle name="Comma 2 33 3" xfId="3084" xr:uid="{98EEB5A4-45EA-41AF-817C-639CA65141CA}"/>
    <cellStyle name="Comma 2 33 3 2" xfId="4038" xr:uid="{7B6BE825-B4F6-4159-B422-A11617E0526B}"/>
    <cellStyle name="Comma 2 34" xfId="857" xr:uid="{00000000-0005-0000-0000-000059030000}"/>
    <cellStyle name="Comma 2 34 2" xfId="858" xr:uid="{00000000-0005-0000-0000-00005A030000}"/>
    <cellStyle name="Comma 2 34 2 2" xfId="3546" xr:uid="{4F81B537-F60B-461A-850D-748D171CB7DA}"/>
    <cellStyle name="Comma 2 34 3" xfId="3085" xr:uid="{95E30297-53F3-42D2-BF25-79B3DAB2AA0A}"/>
    <cellStyle name="Comma 2 34 3 2" xfId="4039" xr:uid="{B73BC324-0D00-4D1E-93E5-702017BF04FD}"/>
    <cellStyle name="Comma 2 35" xfId="859" xr:uid="{00000000-0005-0000-0000-00005B030000}"/>
    <cellStyle name="Comma 2 35 2" xfId="860" xr:uid="{00000000-0005-0000-0000-00005C030000}"/>
    <cellStyle name="Comma 2 35 2 2" xfId="3547" xr:uid="{FC60FC0C-0005-43C5-A9F7-732A54970A1A}"/>
    <cellStyle name="Comma 2 35 3" xfId="3086" xr:uid="{D49C1B0E-A666-45C7-AEE7-D8319AEFCB3D}"/>
    <cellStyle name="Comma 2 35 3 2" xfId="4040" xr:uid="{F786DD77-A8C7-475A-ADC5-F834AEB26B3B}"/>
    <cellStyle name="Comma 2 36" xfId="861" xr:uid="{00000000-0005-0000-0000-00005D030000}"/>
    <cellStyle name="Comma 2 36 2" xfId="862" xr:uid="{00000000-0005-0000-0000-00005E030000}"/>
    <cellStyle name="Comma 2 36 2 2" xfId="3548" xr:uid="{4861479F-5DFF-467F-8325-AE1997AF1D83}"/>
    <cellStyle name="Comma 2 36 3" xfId="3087" xr:uid="{9082B455-17FA-4C1A-8D63-E796ADE46D61}"/>
    <cellStyle name="Comma 2 36 3 2" xfId="4041" xr:uid="{D446C433-E71B-4AD4-A51A-54798B661308}"/>
    <cellStyle name="Comma 2 37" xfId="863" xr:uid="{00000000-0005-0000-0000-00005F030000}"/>
    <cellStyle name="Comma 2 37 2" xfId="864" xr:uid="{00000000-0005-0000-0000-000060030000}"/>
    <cellStyle name="Comma 2 37 2 2" xfId="3549" xr:uid="{1F938CD2-888E-42A4-AFC7-2FB0AD26298D}"/>
    <cellStyle name="Comma 2 37 3" xfId="3088" xr:uid="{6FD2996F-B042-47C1-A7A4-E645E12016AF}"/>
    <cellStyle name="Comma 2 37 3 2" xfId="4042" xr:uid="{9544FF8C-722F-4F73-9279-25A7FE5ACC74}"/>
    <cellStyle name="Comma 2 38" xfId="865" xr:uid="{00000000-0005-0000-0000-000061030000}"/>
    <cellStyle name="Comma 2 38 2" xfId="866" xr:uid="{00000000-0005-0000-0000-000062030000}"/>
    <cellStyle name="Comma 2 38 2 2" xfId="3550" xr:uid="{EB654148-73B1-4FC8-8691-1716857FC485}"/>
    <cellStyle name="Comma 2 38 3" xfId="3089" xr:uid="{19A2A224-DC0F-40C6-B85F-3C7438EB6AF8}"/>
    <cellStyle name="Comma 2 38 3 2" xfId="4043" xr:uid="{C53EEFBF-0ED1-4D6D-881C-034BF6668199}"/>
    <cellStyle name="Comma 2 39" xfId="867" xr:uid="{00000000-0005-0000-0000-000063030000}"/>
    <cellStyle name="Comma 2 39 2" xfId="868" xr:uid="{00000000-0005-0000-0000-000064030000}"/>
    <cellStyle name="Comma 2 39 2 2" xfId="3551" xr:uid="{0A1F7A9B-66A6-4968-8162-A6CD1939E3E5}"/>
    <cellStyle name="Comma 2 39 3" xfId="3090" xr:uid="{8D82E791-171C-48D3-B277-B43C69149260}"/>
    <cellStyle name="Comma 2 39 3 2" xfId="4044" xr:uid="{151AB1B2-28B3-474F-AEF2-BFC3E4D244C2}"/>
    <cellStyle name="Comma 2 4" xfId="869" xr:uid="{00000000-0005-0000-0000-000065030000}"/>
    <cellStyle name="Comma 2 4 2" xfId="870" xr:uid="{00000000-0005-0000-0000-000066030000}"/>
    <cellStyle name="Comma 2 4 2 2" xfId="3552" xr:uid="{3C10E33E-6D3C-4093-8C36-9517D45AB934}"/>
    <cellStyle name="Comma 2 4 3" xfId="871" xr:uid="{00000000-0005-0000-0000-000067030000}"/>
    <cellStyle name="Comma 2 4 3 2" xfId="3553" xr:uid="{B0701433-4DDF-42AC-84DD-57168E887F14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3554" xr:uid="{75CB06C4-BD24-4E32-9B84-B9AF859D9E43}"/>
    <cellStyle name="Comma 2 40 3" xfId="3091" xr:uid="{E1BE61A9-2B6C-484E-B003-1D61146AFE42}"/>
    <cellStyle name="Comma 2 40 3 2" xfId="4045" xr:uid="{4BA451FD-96E4-4D45-A498-3035B263C17E}"/>
    <cellStyle name="Comma 2 41" xfId="875" xr:uid="{00000000-0005-0000-0000-00006B030000}"/>
    <cellStyle name="Comma 2 41 2" xfId="876" xr:uid="{00000000-0005-0000-0000-00006C030000}"/>
    <cellStyle name="Comma 2 41 2 2" xfId="3555" xr:uid="{A8791D33-6017-4C45-A78F-60951516F723}"/>
    <cellStyle name="Comma 2 41 3" xfId="3092" xr:uid="{23D27F6F-D27C-4011-A778-6AFA311F3030}"/>
    <cellStyle name="Comma 2 41 3 2" xfId="4046" xr:uid="{D6359EB9-874F-475B-8CFF-FA36C072AB6B}"/>
    <cellStyle name="Comma 2 42" xfId="877" xr:uid="{00000000-0005-0000-0000-00006D030000}"/>
    <cellStyle name="Comma 2 42 2" xfId="878" xr:uid="{00000000-0005-0000-0000-00006E030000}"/>
    <cellStyle name="Comma 2 42 2 2" xfId="3556" xr:uid="{B8C32249-6F83-4B56-86C6-F54DD1DD755E}"/>
    <cellStyle name="Comma 2 42 3" xfId="3093" xr:uid="{CA392237-F2D7-41A8-BC19-3D872EA343EE}"/>
    <cellStyle name="Comma 2 42 3 2" xfId="4047" xr:uid="{99246C95-770F-4F2A-B611-73E165E80E96}"/>
    <cellStyle name="Comma 2 43" xfId="879" xr:uid="{00000000-0005-0000-0000-00006F030000}"/>
    <cellStyle name="Comma 2 43 2" xfId="880" xr:uid="{00000000-0005-0000-0000-000070030000}"/>
    <cellStyle name="Comma 2 43 2 2" xfId="3557" xr:uid="{4A249A9C-D93D-4518-B212-077683950F3E}"/>
    <cellStyle name="Comma 2 43 3" xfId="3094" xr:uid="{F11FB0F4-086E-4415-9358-B340202D30C7}"/>
    <cellStyle name="Comma 2 43 3 2" xfId="4048" xr:uid="{2FB709B9-E2F6-45DE-AE2A-3C0DFC1E0CF8}"/>
    <cellStyle name="Comma 2 44" xfId="881" xr:uid="{00000000-0005-0000-0000-000071030000}"/>
    <cellStyle name="Comma 2 44 2" xfId="882" xr:uid="{00000000-0005-0000-0000-000072030000}"/>
    <cellStyle name="Comma 2 44 2 2" xfId="3558" xr:uid="{B8C645CD-DD36-48B2-915C-5154F0FCAB5D}"/>
    <cellStyle name="Comma 2 44 3" xfId="3095" xr:uid="{6329D4E8-B5B6-4A54-842E-9AD756199C37}"/>
    <cellStyle name="Comma 2 44 3 2" xfId="4049" xr:uid="{DB160BA4-E40B-40C2-B5B8-70C13701E736}"/>
    <cellStyle name="Comma 2 45" xfId="883" xr:uid="{00000000-0005-0000-0000-000073030000}"/>
    <cellStyle name="Comma 2 45 2" xfId="884" xr:uid="{00000000-0005-0000-0000-000074030000}"/>
    <cellStyle name="Comma 2 45 2 2" xfId="3559" xr:uid="{851A0A27-BD30-4911-892A-58B1ABA7F14C}"/>
    <cellStyle name="Comma 2 45 3" xfId="3096" xr:uid="{16FABC5D-E010-497A-AF1C-7154B5FD46EF}"/>
    <cellStyle name="Comma 2 45 3 2" xfId="4050" xr:uid="{68CA1C5D-61B7-410B-B951-3D7FBA1CEC4C}"/>
    <cellStyle name="Comma 2 46" xfId="885" xr:uid="{00000000-0005-0000-0000-000075030000}"/>
    <cellStyle name="Comma 2 46 2" xfId="886" xr:uid="{00000000-0005-0000-0000-000076030000}"/>
    <cellStyle name="Comma 2 46 2 2" xfId="3560" xr:uid="{37529096-AFFC-4A27-BA30-16C678147BE7}"/>
    <cellStyle name="Comma 2 46 3" xfId="3097" xr:uid="{DE889437-008A-4667-A4D6-E2E669833A90}"/>
    <cellStyle name="Comma 2 46 3 2" xfId="4051" xr:uid="{0AAC2DEA-99A6-4ED4-86D7-7D3E85E705AD}"/>
    <cellStyle name="Comma 2 47" xfId="887" xr:uid="{00000000-0005-0000-0000-000077030000}"/>
    <cellStyle name="Comma 2 47 2" xfId="888" xr:uid="{00000000-0005-0000-0000-000078030000}"/>
    <cellStyle name="Comma 2 47 2 2" xfId="3561" xr:uid="{3A263FE3-2D1F-4BBE-BFCA-582C3F06ED45}"/>
    <cellStyle name="Comma 2 47 3" xfId="3098" xr:uid="{86213DB4-6907-449B-B678-5A16F2F75006}"/>
    <cellStyle name="Comma 2 47 3 2" xfId="4052" xr:uid="{69472B06-34C9-4BD8-BFD7-A47EE0E6E4A9}"/>
    <cellStyle name="Comma 2 48" xfId="889" xr:uid="{00000000-0005-0000-0000-000079030000}"/>
    <cellStyle name="Comma 2 48 2" xfId="890" xr:uid="{00000000-0005-0000-0000-00007A030000}"/>
    <cellStyle name="Comma 2 48 2 2" xfId="3562" xr:uid="{34140ECC-196A-4AEA-B83D-6BEA07141615}"/>
    <cellStyle name="Comma 2 48 3" xfId="3099" xr:uid="{4E3EB5AA-72F2-4A49-8B5C-5C72FC9C2979}"/>
    <cellStyle name="Comma 2 48 3 2" xfId="4053" xr:uid="{8214F71F-0663-4D2C-8986-D7D0071A8C66}"/>
    <cellStyle name="Comma 2 49" xfId="891" xr:uid="{00000000-0005-0000-0000-00007B030000}"/>
    <cellStyle name="Comma 2 49 2" xfId="892" xr:uid="{00000000-0005-0000-0000-00007C030000}"/>
    <cellStyle name="Comma 2 49 2 2" xfId="3563" xr:uid="{46F50816-932F-48E5-9263-CE193E9E7563}"/>
    <cellStyle name="Comma 2 49 3" xfId="3100" xr:uid="{C69917E3-0734-4657-BEA3-AC98A4F91924}"/>
    <cellStyle name="Comma 2 49 3 2" xfId="4054" xr:uid="{3D5B16D1-E856-4BCC-AB02-2500F4EAF345}"/>
    <cellStyle name="Comma 2 5" xfId="893" xr:uid="{00000000-0005-0000-0000-00007D030000}"/>
    <cellStyle name="Comma 2 5 2" xfId="894" xr:uid="{00000000-0005-0000-0000-00007E030000}"/>
    <cellStyle name="Comma 2 5 2 2" xfId="3564" xr:uid="{0800B6D1-9450-4D93-892B-054721FC1DB5}"/>
    <cellStyle name="Comma 2 5 3" xfId="3101" xr:uid="{E3E5D57C-90D3-4AC1-B755-B3438091000A}"/>
    <cellStyle name="Comma 2 5 3 2" xfId="4055" xr:uid="{E2FCE864-93A4-4868-97FA-A1E2B1534FDB}"/>
    <cellStyle name="Comma 2 50" xfId="895" xr:uid="{00000000-0005-0000-0000-00007F030000}"/>
    <cellStyle name="Comma 2 50 2" xfId="896" xr:uid="{00000000-0005-0000-0000-000080030000}"/>
    <cellStyle name="Comma 2 50 2 2" xfId="3565" xr:uid="{93D8B3A0-59D1-4848-B875-1DF4C34EE1F1}"/>
    <cellStyle name="Comma 2 50 3" xfId="3102" xr:uid="{56BB6E67-307E-4BE6-84D2-B9A61B7F67D9}"/>
    <cellStyle name="Comma 2 50 3 2" xfId="4056" xr:uid="{C53903C9-5569-415F-95B8-4F477078ED1A}"/>
    <cellStyle name="Comma 2 51" xfId="897" xr:uid="{00000000-0005-0000-0000-000081030000}"/>
    <cellStyle name="Comma 2 51 2" xfId="898" xr:uid="{00000000-0005-0000-0000-000082030000}"/>
    <cellStyle name="Comma 2 51 2 2" xfId="3566" xr:uid="{168F0B59-E643-4060-A786-5F48D2050D69}"/>
    <cellStyle name="Comma 2 51 3" xfId="3103" xr:uid="{8DEF2FC8-3DB7-46F2-A6B9-77FB00CE3C2E}"/>
    <cellStyle name="Comma 2 51 3 2" xfId="4057" xr:uid="{75352B42-33F2-450E-845E-4919CB7F42F9}"/>
    <cellStyle name="Comma 2 52" xfId="899" xr:uid="{00000000-0005-0000-0000-000083030000}"/>
    <cellStyle name="Comma 2 52 2" xfId="900" xr:uid="{00000000-0005-0000-0000-000084030000}"/>
    <cellStyle name="Comma 2 52 2 2" xfId="3567" xr:uid="{79719DFC-DB2C-40DE-93DB-D9ADBD368213}"/>
    <cellStyle name="Comma 2 52 3" xfId="3104" xr:uid="{9730646B-60A6-4736-8081-35235C4DA134}"/>
    <cellStyle name="Comma 2 52 3 2" xfId="4058" xr:uid="{15DBE421-BAB4-4FCD-AF24-7B4DDC3E6477}"/>
    <cellStyle name="Comma 2 53" xfId="901" xr:uid="{00000000-0005-0000-0000-000085030000}"/>
    <cellStyle name="Comma 2 53 2" xfId="902" xr:uid="{00000000-0005-0000-0000-000086030000}"/>
    <cellStyle name="Comma 2 53 2 2" xfId="3568" xr:uid="{2E631199-9E16-4BCA-ACB9-82D949B12FA7}"/>
    <cellStyle name="Comma 2 53 3" xfId="3105" xr:uid="{18E9A742-7482-4343-B446-6A74407F4B89}"/>
    <cellStyle name="Comma 2 53 3 2" xfId="4059" xr:uid="{1A3EB5F6-4738-47E0-A904-5CFF1C4BB01E}"/>
    <cellStyle name="Comma 2 54" xfId="903" xr:uid="{00000000-0005-0000-0000-000087030000}"/>
    <cellStyle name="Comma 2 54 2" xfId="904" xr:uid="{00000000-0005-0000-0000-000088030000}"/>
    <cellStyle name="Comma 2 54 2 2" xfId="3569" xr:uid="{2B9CDBE3-F37B-4C0B-9116-A01051AA0A42}"/>
    <cellStyle name="Comma 2 54 3" xfId="3106" xr:uid="{1AF6AE64-DB8F-4B33-80B7-97EB80C88A92}"/>
    <cellStyle name="Comma 2 54 3 2" xfId="4060" xr:uid="{8352EDE5-BC51-4990-92A7-A8F85DCC7022}"/>
    <cellStyle name="Comma 2 55" xfId="905" xr:uid="{00000000-0005-0000-0000-000089030000}"/>
    <cellStyle name="Comma 2 55 2" xfId="906" xr:uid="{00000000-0005-0000-0000-00008A030000}"/>
    <cellStyle name="Comma 2 55 2 2" xfId="3570" xr:uid="{B5017B51-3C62-4530-8B1B-201A861C7081}"/>
    <cellStyle name="Comma 2 55 3" xfId="3107" xr:uid="{8A08F75A-DF72-405E-83F6-F80F4A04D56D}"/>
    <cellStyle name="Comma 2 55 3 2" xfId="4061" xr:uid="{9915B202-D770-4B12-9559-49446DBA1EFD}"/>
    <cellStyle name="Comma 2 56" xfId="907" xr:uid="{00000000-0005-0000-0000-00008B030000}"/>
    <cellStyle name="Comma 2 56 2" xfId="908" xr:uid="{00000000-0005-0000-0000-00008C030000}"/>
    <cellStyle name="Comma 2 56 2 2" xfId="3571" xr:uid="{89C211ED-C890-4627-A0EC-EC0E366F78EC}"/>
    <cellStyle name="Comma 2 56 3" xfId="3108" xr:uid="{8577900C-603E-45C0-A1C8-DDCCCB68F57B}"/>
    <cellStyle name="Comma 2 56 3 2" xfId="4062" xr:uid="{E60CF351-390E-44E8-AF97-FD7F9AE0C3C5}"/>
    <cellStyle name="Comma 2 57" xfId="909" xr:uid="{00000000-0005-0000-0000-00008D030000}"/>
    <cellStyle name="Comma 2 57 2" xfId="910" xr:uid="{00000000-0005-0000-0000-00008E030000}"/>
    <cellStyle name="Comma 2 57 2 2" xfId="3572" xr:uid="{AC427DBE-07E5-48F5-A716-89197BD1D1A6}"/>
    <cellStyle name="Comma 2 57 3" xfId="3109" xr:uid="{4548BFEC-6F08-43C1-908B-AE03047B0833}"/>
    <cellStyle name="Comma 2 57 3 2" xfId="4063" xr:uid="{5ABAE0AB-A319-4542-A92B-D5A16B232F87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3573" xr:uid="{7C9FAC1C-D93C-4F13-84BB-4E8EAD3214C5}"/>
    <cellStyle name="Comma 2 58 2 3" xfId="3111" xr:uid="{78A87053-F310-469E-B75E-8F3C3CE3B64F}"/>
    <cellStyle name="Comma 2 58 2 3 2" xfId="4065" xr:uid="{5002859F-5314-465D-893A-1DB8B946EF07}"/>
    <cellStyle name="Comma 2 58 3" xfId="914" xr:uid="{00000000-0005-0000-0000-000092030000}"/>
    <cellStyle name="Comma 2 58 3 2" xfId="915" xr:uid="{00000000-0005-0000-0000-000093030000}"/>
    <cellStyle name="Comma 2 58 3 2 2" xfId="3574" xr:uid="{AE407DE4-9302-4366-B2A3-1335470010E6}"/>
    <cellStyle name="Comma 2 58 3 3" xfId="3112" xr:uid="{E5C93B72-736D-4014-A3A7-8119EA45EA36}"/>
    <cellStyle name="Comma 2 58 3 3 2" xfId="4066" xr:uid="{2D1C7A96-C889-4C02-A54A-BBB122F6BE66}"/>
    <cellStyle name="Comma 2 58 4" xfId="916" xr:uid="{00000000-0005-0000-0000-000094030000}"/>
    <cellStyle name="Comma 2 58 4 2" xfId="917" xr:uid="{00000000-0005-0000-0000-000095030000}"/>
    <cellStyle name="Comma 2 58 4 2 2" xfId="3575" xr:uid="{8B83C4A2-BF27-4AAD-A7DC-619CAF32B039}"/>
    <cellStyle name="Comma 2 58 4 3" xfId="3113" xr:uid="{12B0CA1A-DD18-42EB-8EA2-C30D64AB2CDB}"/>
    <cellStyle name="Comma 2 58 4 3 2" xfId="4067" xr:uid="{9A24551F-5D05-48E9-A8E2-8EE1D717D747}"/>
    <cellStyle name="Comma 2 58 5" xfId="918" xr:uid="{00000000-0005-0000-0000-000096030000}"/>
    <cellStyle name="Comma 2 58 5 2" xfId="3576" xr:uid="{B97E909E-50E1-4535-BA41-6FC66F75A42D}"/>
    <cellStyle name="Comma 2 58 6" xfId="3110" xr:uid="{ABE3D2C6-A385-4141-8220-5CF5002296B0}"/>
    <cellStyle name="Comma 2 58 6 2" xfId="4064" xr:uid="{474DBDA9-10FA-4E34-9945-E5AFFA6B7DC2}"/>
    <cellStyle name="Comma 2 59" xfId="919" xr:uid="{00000000-0005-0000-0000-000097030000}"/>
    <cellStyle name="Comma 2 59 2" xfId="920" xr:uid="{00000000-0005-0000-0000-000098030000}"/>
    <cellStyle name="Comma 2 59 2 2" xfId="3577" xr:uid="{6F93F5C3-1855-458D-B685-2E2A9775C90E}"/>
    <cellStyle name="Comma 2 59 3" xfId="3114" xr:uid="{966D8D74-63D8-4F83-86F7-D90B48B13ADE}"/>
    <cellStyle name="Comma 2 59 3 2" xfId="4068" xr:uid="{CF2BF75A-8663-4529-B121-D64B81FA5672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3578" xr:uid="{D705FBC8-97CF-4DB8-8E2C-37DFA6148BEA}"/>
    <cellStyle name="Comma 2 60 3" xfId="3115" xr:uid="{CBA10FC1-71F5-491F-A746-48348529D2D0}"/>
    <cellStyle name="Comma 2 60 3 2" xfId="4069" xr:uid="{AF957BE8-21D5-4C0E-A06D-BF3EC09E7332}"/>
    <cellStyle name="Comma 2 61" xfId="2691" xr:uid="{119929EB-FFF5-4EB7-A063-EB1046313570}"/>
    <cellStyle name="Comma 2 61 2" xfId="3849" xr:uid="{59F8127E-F668-4555-9F82-F3E42FF41EFC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3579" xr:uid="{2A9BCDC6-734C-4952-8BD2-99A4FBBAE7C2}"/>
    <cellStyle name="Comma 2 8 3" xfId="3116" xr:uid="{7895E14F-6B9F-4E5D-987E-6DCCE641A2AB}"/>
    <cellStyle name="Comma 2 8 3 2" xfId="4070" xr:uid="{625FB882-20E9-4A59-A9DC-7ADA7A22052D}"/>
    <cellStyle name="Comma 2 9" xfId="948" xr:uid="{00000000-0005-0000-0000-0000B4030000}"/>
    <cellStyle name="Comma 2 9 2" xfId="949" xr:uid="{00000000-0005-0000-0000-0000B5030000}"/>
    <cellStyle name="Comma 2 9 2 2" xfId="3580" xr:uid="{ED495D8D-3E26-49AB-8936-4C16BBDE68A8}"/>
    <cellStyle name="Comma 2 9 3" xfId="3117" xr:uid="{3C0C8D29-A8FC-4B22-B2C2-CD5619F4FCE5}"/>
    <cellStyle name="Comma 2 9 3 2" xfId="4071" xr:uid="{9C903522-51AD-4233-AE6C-F7ACFED6FF34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3581" xr:uid="{95A6B5AE-EF7A-40BF-8D79-E07B0A83B1B4}"/>
    <cellStyle name="Comma 20 2 3" xfId="3119" xr:uid="{BBE64F19-6DDB-4B0E-855F-8DBE7DE85715}"/>
    <cellStyle name="Comma 20 2 3 2" xfId="4073" xr:uid="{287C77A5-59A2-4203-9DB1-338A890AECEB}"/>
    <cellStyle name="Comma 20 3" xfId="953" xr:uid="{00000000-0005-0000-0000-0000B9030000}"/>
    <cellStyle name="Comma 20 3 2" xfId="3582" xr:uid="{74A1CE81-6425-4429-B3CD-9D723F84506B}"/>
    <cellStyle name="Comma 20 4" xfId="3118" xr:uid="{8DA3A481-B15C-44B5-8BD9-7EF501D94F04}"/>
    <cellStyle name="Comma 20 4 2" xfId="4072" xr:uid="{21441518-ED52-44B6-A67C-D39AD4C061B9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3583" xr:uid="{C62C89BD-330D-4346-AC34-79F0E8632E78}"/>
    <cellStyle name="Comma 21 2 3" xfId="3121" xr:uid="{1ADD6D14-A05B-40A4-8BC2-B83F674A8B02}"/>
    <cellStyle name="Comma 21 2 3 2" xfId="4075" xr:uid="{E1883475-5AC6-49FE-92F0-31FB52380FA1}"/>
    <cellStyle name="Comma 21 3" xfId="957" xr:uid="{00000000-0005-0000-0000-0000BD030000}"/>
    <cellStyle name="Comma 21 3 2" xfId="3584" xr:uid="{B12E3F90-13D4-4250-B6CD-F9B6DAD7DF93}"/>
    <cellStyle name="Comma 21 4" xfId="3120" xr:uid="{6560BB67-FD92-48F6-89B1-3B42D040D167}"/>
    <cellStyle name="Comma 21 4 2" xfId="4074" xr:uid="{879410ED-DF19-4971-8054-5152E180F46E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3585" xr:uid="{7243EF3B-557B-4748-94BF-37609FE484D2}"/>
    <cellStyle name="Comma 22 2 3" xfId="3123" xr:uid="{8662D34A-87FE-4E93-8D66-C4B9E2E8EC06}"/>
    <cellStyle name="Comma 22 2 3 2" xfId="4077" xr:uid="{29C0FE06-46C9-42C1-9706-CE6B30890F5D}"/>
    <cellStyle name="Comma 22 3" xfId="961" xr:uid="{00000000-0005-0000-0000-0000C1030000}"/>
    <cellStyle name="Comma 22 3 2" xfId="3586" xr:uid="{B78814B3-A213-4735-9350-577FA3544698}"/>
    <cellStyle name="Comma 22 4" xfId="3122" xr:uid="{AB787142-AA86-4106-9348-74B1F9707EEB}"/>
    <cellStyle name="Comma 22 4 2" xfId="4076" xr:uid="{A42B9F03-DD3A-42F5-910E-B0AA1BCAC911}"/>
    <cellStyle name="Comma 23" xfId="962" xr:uid="{00000000-0005-0000-0000-0000C2030000}"/>
    <cellStyle name="Comma 23 2" xfId="963" xr:uid="{00000000-0005-0000-0000-0000C3030000}"/>
    <cellStyle name="Comma 23 2 2" xfId="3587" xr:uid="{3B140FD2-2674-4B8A-8647-E3E6D200BEE6}"/>
    <cellStyle name="Comma 23 3" xfId="3124" xr:uid="{C3C12BA6-2BD7-45B0-B747-B5DF41DE496F}"/>
    <cellStyle name="Comma 23 3 2" xfId="4078" xr:uid="{3F739FD4-1AD7-40B5-A13B-E00D1F5534B3}"/>
    <cellStyle name="Comma 24" xfId="964" xr:uid="{00000000-0005-0000-0000-0000C4030000}"/>
    <cellStyle name="Comma 24 2" xfId="965" xr:uid="{00000000-0005-0000-0000-0000C5030000}"/>
    <cellStyle name="Comma 24 2 2" xfId="3588" xr:uid="{6CCDAB3A-775D-4926-9505-68E171565DB5}"/>
    <cellStyle name="Comma 24 3" xfId="3125" xr:uid="{D1D0B624-15C5-4D4F-AB58-7A0B51960085}"/>
    <cellStyle name="Comma 24 3 2" xfId="4079" xr:uid="{09E8CF6D-9156-4A67-B8C5-6DE888C6385D}"/>
    <cellStyle name="Comma 25" xfId="966" xr:uid="{00000000-0005-0000-0000-0000C6030000}"/>
    <cellStyle name="Comma 25 2" xfId="967" xr:uid="{00000000-0005-0000-0000-0000C7030000}"/>
    <cellStyle name="Comma 25 2 2" xfId="3589" xr:uid="{F4271F52-DA50-49B3-B06E-F29410B6CFBC}"/>
    <cellStyle name="Comma 25 3" xfId="3126" xr:uid="{1ABB76CA-D37E-40F3-8545-FC2C2CD95BAC}"/>
    <cellStyle name="Comma 25 3 2" xfId="4080" xr:uid="{F48B5C1B-7B2C-4E7F-A9AC-F30D0B8490BF}"/>
    <cellStyle name="Comma 26" xfId="968" xr:uid="{00000000-0005-0000-0000-0000C8030000}"/>
    <cellStyle name="Comma 26 2" xfId="969" xr:uid="{00000000-0005-0000-0000-0000C9030000}"/>
    <cellStyle name="Comma 26 2 2" xfId="3590" xr:uid="{DEFEBD68-A3A0-41D5-A4F2-4B705AE624B8}"/>
    <cellStyle name="Comma 26 3" xfId="3127" xr:uid="{FB999719-5279-46B4-9C20-889A05C67A86}"/>
    <cellStyle name="Comma 26 3 2" xfId="4081" xr:uid="{A5C4273E-DEC0-42E4-A16A-D9CBDF1A7054}"/>
    <cellStyle name="Comma 27" xfId="970" xr:uid="{00000000-0005-0000-0000-0000CA030000}"/>
    <cellStyle name="Comma 27 2" xfId="3128" xr:uid="{C30E9176-0C1A-48BE-B80B-5D2B7874FBD2}"/>
    <cellStyle name="Comma 27 2 2" xfId="4082" xr:uid="{83BB483D-61B3-47AB-B22D-DB76C0CF00B7}"/>
    <cellStyle name="Comma 27 3" xfId="3591" xr:uid="{30D1BB29-E584-4D34-AABA-8634C078CB9A}"/>
    <cellStyle name="Comma 28" xfId="971" xr:uid="{00000000-0005-0000-0000-0000CB030000}"/>
    <cellStyle name="Comma 28 2" xfId="972" xr:uid="{00000000-0005-0000-0000-0000CC030000}"/>
    <cellStyle name="Comma 28 2 2" xfId="3592" xr:uid="{FDC1E32C-AD53-4185-8400-321FA7C0D6B4}"/>
    <cellStyle name="Comma 28 3" xfId="3129" xr:uid="{85586FC9-F66B-4578-A216-BA54751C58DB}"/>
    <cellStyle name="Comma 28 3 2" xfId="4083" xr:uid="{BDCED31A-BB41-4CDA-BC3C-48AB0C53DD00}"/>
    <cellStyle name="Comma 29" xfId="973" xr:uid="{00000000-0005-0000-0000-0000CD030000}"/>
    <cellStyle name="Comma 29 2" xfId="974" xr:uid="{00000000-0005-0000-0000-0000CE030000}"/>
    <cellStyle name="Comma 29 2 2" xfId="3593" xr:uid="{F7A63D75-B044-4424-8A84-555E8F4DA948}"/>
    <cellStyle name="Comma 29 3" xfId="3130" xr:uid="{558B8A42-9040-4FDA-A128-90AF94E0CF18}"/>
    <cellStyle name="Comma 29 3 2" xfId="4084" xr:uid="{A5005837-01DF-4003-8B43-586C318714A9}"/>
    <cellStyle name="Comma 3" xfId="975" xr:uid="{00000000-0005-0000-0000-0000CF030000}"/>
    <cellStyle name="Comma 3 10" xfId="976" xr:uid="{00000000-0005-0000-0000-0000D0030000}"/>
    <cellStyle name="Comma 3 10 2" xfId="3594" xr:uid="{AABA5984-29F3-43FB-BE6F-663BDDA20269}"/>
    <cellStyle name="Comma 3 11" xfId="3131" xr:uid="{1C12E760-6CAF-4BD4-BD12-3F13EC8F6950}"/>
    <cellStyle name="Comma 3 11 2" xfId="4085" xr:uid="{6E99F786-1DA5-40FA-9520-D5223987DE6B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2 2 2" xfId="4089" xr:uid="{D1935AEF-9F8B-4426-A12B-F46A101B0476}"/>
    <cellStyle name="Comma 3 2 2 2 3" xfId="981" xr:uid="{00000000-0005-0000-0000-0000D5030000}"/>
    <cellStyle name="Comma 3 2 2 2 3 2" xfId="3136" xr:uid="{8EEF7E98-A6E6-4B52-9E47-B6350A63318C}"/>
    <cellStyle name="Comma 3 2 2 2 3 2 2" xfId="4090" xr:uid="{DEDF397C-A0A2-4D2F-AE10-96F3177ECC4D}"/>
    <cellStyle name="Comma 3 2 2 2 4" xfId="982" xr:uid="{00000000-0005-0000-0000-0000D6030000}"/>
    <cellStyle name="Comma 3 2 2 2 4 2" xfId="3137" xr:uid="{9A2DF3B3-EB7A-4424-B65F-7B12AC49DE9B}"/>
    <cellStyle name="Comma 3 2 2 2 4 2 2" xfId="4091" xr:uid="{DFD2452D-E3CE-4619-9AD5-C3AF062B304C}"/>
    <cellStyle name="Comma 3 2 2 2 5" xfId="3134" xr:uid="{F3332EE1-586C-4AEB-B321-EFC9BBFEE295}"/>
    <cellStyle name="Comma 3 2 2 2 5 2" xfId="4088" xr:uid="{486E9242-5240-4233-B1DE-067BED166FA3}"/>
    <cellStyle name="Comma 3 2 2 3" xfId="983" xr:uid="{00000000-0005-0000-0000-0000D7030000}"/>
    <cellStyle name="Comma 3 2 2 3 2" xfId="3138" xr:uid="{767F3952-CD37-427F-94F9-42C19890A6F9}"/>
    <cellStyle name="Comma 3 2 2 3 2 2" xfId="4092" xr:uid="{DB87433F-ECC9-41A3-8A2B-00980546D765}"/>
    <cellStyle name="Comma 3 2 2 4" xfId="984" xr:uid="{00000000-0005-0000-0000-0000D8030000}"/>
    <cellStyle name="Comma 3 2 2 4 2" xfId="3139" xr:uid="{C6207382-D4E7-4B74-B8B7-F8E01C04BF7F}"/>
    <cellStyle name="Comma 3 2 2 4 2 2" xfId="4093" xr:uid="{B41109D1-EB9B-42D7-B9F1-7F4E2AB1E029}"/>
    <cellStyle name="Comma 3 2 2 5" xfId="985" xr:uid="{00000000-0005-0000-0000-0000D9030000}"/>
    <cellStyle name="Comma 3 2 2 5 2" xfId="3140" xr:uid="{7F06C688-C1FE-46D2-BEBE-4D6C53B90CE0}"/>
    <cellStyle name="Comma 3 2 2 5 2 2" xfId="4094" xr:uid="{1485CF12-D08B-4740-A518-7EE5DCE888BA}"/>
    <cellStyle name="Comma 3 2 2 6" xfId="3133" xr:uid="{510301FD-500C-4E5E-A635-63EF1EEAD036}"/>
    <cellStyle name="Comma 3 2 2 6 2" xfId="4087" xr:uid="{6E98ACD0-9884-4152-AF46-46C1282DEB98}"/>
    <cellStyle name="Comma 3 2 3" xfId="986" xr:uid="{00000000-0005-0000-0000-0000DA030000}"/>
    <cellStyle name="Comma 3 2 3 2" xfId="3141" xr:uid="{EF0D8DE0-3C5E-4E75-914A-88F2701EAB23}"/>
    <cellStyle name="Comma 3 2 3 2 2" xfId="4095" xr:uid="{C95528A1-88AE-4B19-8330-1A2FFA40DEAD}"/>
    <cellStyle name="Comma 3 2 4" xfId="987" xr:uid="{00000000-0005-0000-0000-0000DB030000}"/>
    <cellStyle name="Comma 3 2 4 2" xfId="3142" xr:uid="{F770057D-8D5F-4B9E-AEDB-33A888FFAA72}"/>
    <cellStyle name="Comma 3 2 4 2 2" xfId="4096" xr:uid="{364BF95C-E0CC-425D-BF62-7103949DD483}"/>
    <cellStyle name="Comma 3 2 5" xfId="988" xr:uid="{00000000-0005-0000-0000-0000DC030000}"/>
    <cellStyle name="Comma 3 2 5 2" xfId="3143" xr:uid="{D1950CEB-18F2-406D-879E-1ACA57621145}"/>
    <cellStyle name="Comma 3 2 5 2 2" xfId="4097" xr:uid="{BCA857B8-0F22-451D-8E82-6C1C087BBF9C}"/>
    <cellStyle name="Comma 3 2 6" xfId="989" xr:uid="{00000000-0005-0000-0000-0000DD030000}"/>
    <cellStyle name="Comma 3 2 6 2" xfId="3595" xr:uid="{D60C6EA1-602F-4142-A98B-7968837E25DF}"/>
    <cellStyle name="Comma 3 2 7" xfId="3132" xr:uid="{876C8944-47A0-4EF2-AF00-52615A4B248D}"/>
    <cellStyle name="Comma 3 2 7 2" xfId="4086" xr:uid="{3A2E3D4F-9DC5-42C2-A538-4233D60D3D46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2 2 2" xfId="4099" xr:uid="{EEE67805-9D47-43B5-A46D-C141DEEB6C14}"/>
    <cellStyle name="Comma 3 3 3" xfId="992" xr:uid="{00000000-0005-0000-0000-0000E0030000}"/>
    <cellStyle name="Comma 3 3 3 2" xfId="3146" xr:uid="{33DE9018-6CD5-4817-9680-C7B6CACC0BA4}"/>
    <cellStyle name="Comma 3 3 3 2 2" xfId="4100" xr:uid="{08929FED-2FB6-4AFB-ADD9-30E996463B7B}"/>
    <cellStyle name="Comma 3 3 4" xfId="993" xr:uid="{00000000-0005-0000-0000-0000E1030000}"/>
    <cellStyle name="Comma 3 3 4 2" xfId="3147" xr:uid="{262BCFD5-2872-49B4-A206-7369120B3481}"/>
    <cellStyle name="Comma 3 3 4 2 2" xfId="4101" xr:uid="{C74E130A-7B05-4773-997B-80E17D4D9267}"/>
    <cellStyle name="Comma 3 3 5" xfId="3144" xr:uid="{1131D518-BDB7-488A-B1F2-B2C8942B1862}"/>
    <cellStyle name="Comma 3 3 5 2" xfId="4098" xr:uid="{B1AAF97F-DA4F-4375-A7DA-6DD769A3302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2 2 2" xfId="4103" xr:uid="{1C646CB4-9534-4E53-A912-459B480CE965}"/>
    <cellStyle name="Comma 3 4 3" xfId="996" xr:uid="{00000000-0005-0000-0000-0000E4030000}"/>
    <cellStyle name="Comma 3 4 3 2" xfId="3150" xr:uid="{0C120D9D-80D9-4E59-86B9-95540507C15C}"/>
    <cellStyle name="Comma 3 4 3 2 2" xfId="4104" xr:uid="{203D3792-E07C-4295-BC6B-71B861F2A46F}"/>
    <cellStyle name="Comma 3 4 4" xfId="997" xr:uid="{00000000-0005-0000-0000-0000E5030000}"/>
    <cellStyle name="Comma 3 4 4 2" xfId="3151" xr:uid="{A3FED434-C322-43AF-A473-349673162E1B}"/>
    <cellStyle name="Comma 3 4 4 2 2" xfId="4105" xr:uid="{D2A1DE3C-1555-4C8C-9397-CE20DCF2B22E}"/>
    <cellStyle name="Comma 3 4 5" xfId="3148" xr:uid="{3447AD81-1124-4869-9F48-2EC210490C11}"/>
    <cellStyle name="Comma 3 4 5 2" xfId="4102" xr:uid="{5DF1B68F-82FB-4D63-838A-4B55D12D1F2B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2 2 2" xfId="4111" xr:uid="{F8913564-D992-494E-8EA5-CB85068EB4BA}"/>
    <cellStyle name="Comma 3 5 2 2 2 2 3" xfId="1004" xr:uid="{00000000-0005-0000-0000-0000EC030000}"/>
    <cellStyle name="Comma 3 5 2 2 2 2 3 2" xfId="3158" xr:uid="{2005CAB7-DAF1-43F4-B804-BDA5D9AADB9F}"/>
    <cellStyle name="Comma 3 5 2 2 2 2 3 2 2" xfId="4112" xr:uid="{A20D7192-C927-42C6-8E3D-E4C8FDD420A5}"/>
    <cellStyle name="Comma 3 5 2 2 2 2 4" xfId="1005" xr:uid="{00000000-0005-0000-0000-0000ED030000}"/>
    <cellStyle name="Comma 3 5 2 2 2 2 4 2" xfId="3159" xr:uid="{40A8EAD9-8C14-4309-AEE0-BDD768DF57AF}"/>
    <cellStyle name="Comma 3 5 2 2 2 2 4 2 2" xfId="4113" xr:uid="{6958B8E7-5C12-4498-9A65-27768A2B5505}"/>
    <cellStyle name="Comma 3 5 2 2 2 2 5" xfId="1006" xr:uid="{00000000-0005-0000-0000-0000EE030000}"/>
    <cellStyle name="Comma 3 5 2 2 2 2 5 2" xfId="3160" xr:uid="{B80D2D68-E28B-40B6-9B5B-001B91B876A7}"/>
    <cellStyle name="Comma 3 5 2 2 2 2 5 2 2" xfId="4114" xr:uid="{0064D561-3D8A-4EDD-BEE7-D355C46E7D44}"/>
    <cellStyle name="Comma 3 5 2 2 2 2 6" xfId="3156" xr:uid="{3857FC0A-1FC3-4D3B-AD6C-F4AF28714095}"/>
    <cellStyle name="Comma 3 5 2 2 2 2 6 2" xfId="4110" xr:uid="{00C52102-3A75-499C-87FF-C341CAE324AE}"/>
    <cellStyle name="Comma 3 5 2 2 2 3" xfId="1007" xr:uid="{00000000-0005-0000-0000-0000EF030000}"/>
    <cellStyle name="Comma 3 5 2 2 2 3 2" xfId="3161" xr:uid="{C31BD69B-4DC1-4840-A42D-1DC8A7F5135B}"/>
    <cellStyle name="Comma 3 5 2 2 2 3 2 2" xfId="4115" xr:uid="{8395B988-8270-44FC-A3C4-F03382527CFE}"/>
    <cellStyle name="Comma 3 5 2 2 2 4" xfId="1008" xr:uid="{00000000-0005-0000-0000-0000F0030000}"/>
    <cellStyle name="Comma 3 5 2 2 2 4 2" xfId="3162" xr:uid="{D1293590-74C9-48A2-BF7A-789FD6F13F62}"/>
    <cellStyle name="Comma 3 5 2 2 2 4 2 2" xfId="4116" xr:uid="{0FC7E6E8-87A0-4EBC-A394-E1E778C6951E}"/>
    <cellStyle name="Comma 3 5 2 2 2 5" xfId="1009" xr:uid="{00000000-0005-0000-0000-0000F1030000}"/>
    <cellStyle name="Comma 3 5 2 2 2 5 2" xfId="3163" xr:uid="{DDB635BC-7792-4AA2-80F1-4D933746255A}"/>
    <cellStyle name="Comma 3 5 2 2 2 5 2 2" xfId="4117" xr:uid="{28BFD92D-F62D-40E9-ADA5-DE69921543AF}"/>
    <cellStyle name="Comma 3 5 2 2 2 6" xfId="3155" xr:uid="{685EB41F-89B6-4981-B598-311A336FE9CD}"/>
    <cellStyle name="Comma 3 5 2 2 2 6 2" xfId="4109" xr:uid="{F29C9F10-44E8-401C-8D5E-A21D69CCE6AB}"/>
    <cellStyle name="Comma 3 5 2 2 3" xfId="1010" xr:uid="{00000000-0005-0000-0000-0000F2030000}"/>
    <cellStyle name="Comma 3 5 2 2 3 2" xfId="3164" xr:uid="{F168003E-ACDA-4971-B3FE-E779BF6B1582}"/>
    <cellStyle name="Comma 3 5 2 2 3 2 2" xfId="4118" xr:uid="{F7E46C74-DA3A-4458-9D91-2F46EAFFDA7F}"/>
    <cellStyle name="Comma 3 5 2 2 4" xfId="1011" xr:uid="{00000000-0005-0000-0000-0000F3030000}"/>
    <cellStyle name="Comma 3 5 2 2 4 2" xfId="3165" xr:uid="{AE03CCA9-E1E4-424E-9559-4104058C84F2}"/>
    <cellStyle name="Comma 3 5 2 2 4 2 2" xfId="4119" xr:uid="{462ADAD2-D9DC-4C6A-9A62-CD18F421F52D}"/>
    <cellStyle name="Comma 3 5 2 2 5" xfId="1012" xr:uid="{00000000-0005-0000-0000-0000F4030000}"/>
    <cellStyle name="Comma 3 5 2 2 5 2" xfId="3166" xr:uid="{F379E24D-982A-4DA2-A4E7-BADDC47ACF0D}"/>
    <cellStyle name="Comma 3 5 2 2 5 2 2" xfId="4120" xr:uid="{5DB8B113-9135-4031-AEA3-AB83396F8817}"/>
    <cellStyle name="Comma 3 5 2 2 6" xfId="3154" xr:uid="{98D8CABE-A6EE-40E8-B814-FEB8908F3E34}"/>
    <cellStyle name="Comma 3 5 2 2 6 2" xfId="4108" xr:uid="{424BEB72-B6B2-4DA6-929B-8A8337987532}"/>
    <cellStyle name="Comma 3 5 2 3" xfId="1013" xr:uid="{00000000-0005-0000-0000-0000F5030000}"/>
    <cellStyle name="Comma 3 5 2 3 2" xfId="3167" xr:uid="{38C63C08-3075-4F4B-8573-856AC1CDEE63}"/>
    <cellStyle name="Comma 3 5 2 3 2 2" xfId="4121" xr:uid="{B9E4D09D-072F-4DCC-B299-E91A0DD3F754}"/>
    <cellStyle name="Comma 3 5 2 4" xfId="1014" xr:uid="{00000000-0005-0000-0000-0000F6030000}"/>
    <cellStyle name="Comma 3 5 2 4 2" xfId="3168" xr:uid="{060EF659-4517-41F9-AA73-A1916C5A3B28}"/>
    <cellStyle name="Comma 3 5 2 4 2 2" xfId="4122" xr:uid="{81282C27-8A31-48ED-97B6-BB2BCBC571DD}"/>
    <cellStyle name="Comma 3 5 2 5" xfId="1015" xr:uid="{00000000-0005-0000-0000-0000F7030000}"/>
    <cellStyle name="Comma 3 5 2 5 2" xfId="3169" xr:uid="{4D25AC0A-33FD-49EE-8E49-0A462C22678D}"/>
    <cellStyle name="Comma 3 5 2 5 2 2" xfId="4123" xr:uid="{DD83CA1B-FCD5-4C2B-ACEB-EA2202D3E268}"/>
    <cellStyle name="Comma 3 5 2 6" xfId="3153" xr:uid="{7C4D74B8-52C8-4AB0-A2E7-2AC1DC9422C4}"/>
    <cellStyle name="Comma 3 5 2 6 2" xfId="4107" xr:uid="{BC30DC8E-2333-4707-BBD6-890F2C6AC5E0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2 2 2" xfId="4125" xr:uid="{C1EB4E8F-6DAB-417D-A448-E7967529CCCB}"/>
    <cellStyle name="Comma 3 5 3 3" xfId="1018" xr:uid="{00000000-0005-0000-0000-0000FA030000}"/>
    <cellStyle name="Comma 3 5 3 3 2" xfId="3172" xr:uid="{6E7C0D8E-CAE6-4087-AE74-EB1FC9E6EE97}"/>
    <cellStyle name="Comma 3 5 3 3 2 2" xfId="4126" xr:uid="{0CAEE24F-16FC-4B46-A049-A99A66FFB5CA}"/>
    <cellStyle name="Comma 3 5 3 4" xfId="1019" xr:uid="{00000000-0005-0000-0000-0000FB030000}"/>
    <cellStyle name="Comma 3 5 3 4 2" xfId="3173" xr:uid="{960A11AB-DDDE-4472-8E7F-3B703287FE67}"/>
    <cellStyle name="Comma 3 5 3 4 2 2" xfId="4127" xr:uid="{8C228492-6848-4760-9299-6C9A421BC994}"/>
    <cellStyle name="Comma 3 5 3 5" xfId="3170" xr:uid="{FA321AEC-0517-42B4-A463-8676DDCC91B8}"/>
    <cellStyle name="Comma 3 5 3 5 2" xfId="4124" xr:uid="{3D549AAD-692E-49C1-A117-ED4F2C49BF84}"/>
    <cellStyle name="Comma 3 5 4" xfId="1020" xr:uid="{00000000-0005-0000-0000-0000FC030000}"/>
    <cellStyle name="Comma 3 5 4 2" xfId="3174" xr:uid="{4889B9FC-8607-4130-9BE7-92A0236736E5}"/>
    <cellStyle name="Comma 3 5 4 2 2" xfId="4128" xr:uid="{AE4684FD-D2FD-4278-A477-82347CBCDCF5}"/>
    <cellStyle name="Comma 3 5 5" xfId="1021" xr:uid="{00000000-0005-0000-0000-0000FD030000}"/>
    <cellStyle name="Comma 3 5 5 2" xfId="3175" xr:uid="{A2030E3F-08FC-48E9-A02D-95E70DB3D81C}"/>
    <cellStyle name="Comma 3 5 5 2 2" xfId="4129" xr:uid="{807D7A53-1FA0-4ADB-B237-D6CEB3EA025F}"/>
    <cellStyle name="Comma 3 5 6" xfId="1022" xr:uid="{00000000-0005-0000-0000-0000FE030000}"/>
    <cellStyle name="Comma 3 5 6 2" xfId="3176" xr:uid="{0B894AB4-20EC-4670-965E-4E6C9E2FFF60}"/>
    <cellStyle name="Comma 3 5 6 2 2" xfId="4130" xr:uid="{0C09501B-8BCB-4766-9726-5A7CA740C259}"/>
    <cellStyle name="Comma 3 5 7" xfId="3152" xr:uid="{17672DDB-D8B5-4B3D-815A-9C588A497E52}"/>
    <cellStyle name="Comma 3 5 7 2" xfId="4106" xr:uid="{87F354B4-49D9-4A4D-967F-AED0D07F5986}"/>
    <cellStyle name="Comma 3 6" xfId="1023" xr:uid="{00000000-0005-0000-0000-0000FF030000}"/>
    <cellStyle name="Comma 3 6 2" xfId="3177" xr:uid="{08DBC276-C119-426D-847F-735FD99AA96B}"/>
    <cellStyle name="Comma 3 6 2 2" xfId="4131" xr:uid="{06736D46-A1BD-48CE-916F-92DCA2D05551}"/>
    <cellStyle name="Comma 3 7" xfId="1024" xr:uid="{00000000-0005-0000-0000-000000040000}"/>
    <cellStyle name="Comma 3 7 2" xfId="3178" xr:uid="{0B70389D-AAA6-42F3-ABB8-F7B0BBA02B7F}"/>
    <cellStyle name="Comma 3 7 2 2" xfId="4132" xr:uid="{10A8A50D-54C6-4811-85C3-D43DF8D85B40}"/>
    <cellStyle name="Comma 3 8" xfId="1025" xr:uid="{00000000-0005-0000-0000-000001040000}"/>
    <cellStyle name="Comma 3 8 2" xfId="3179" xr:uid="{451AFB79-B914-461E-821A-03ACD7FA0605}"/>
    <cellStyle name="Comma 3 8 2 2" xfId="4133" xr:uid="{1EC75439-5AC1-435E-8B86-C5E83CC4EFC5}"/>
    <cellStyle name="Comma 3 9" xfId="1026" xr:uid="{00000000-0005-0000-0000-000002040000}"/>
    <cellStyle name="Comma 3 9 2" xfId="2672" xr:uid="{A762D8F6-0846-4D2D-8159-B2CFDFB2A653}"/>
    <cellStyle name="Comma 3 9 2 2" xfId="3843" xr:uid="{E25F8004-085E-42BB-813D-860085A673AA}"/>
    <cellStyle name="Comma 3 9 3" xfId="3596" xr:uid="{9AC42021-7D96-427D-A679-738CD1ADC69B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3597" xr:uid="{65EA85E1-8604-41AD-90C2-30819177D8D3}"/>
    <cellStyle name="Comma 30 3" xfId="3180" xr:uid="{DBE703DA-CA5C-4F97-8D00-7C1C36D015D4}"/>
    <cellStyle name="Comma 30 3 2" xfId="4134" xr:uid="{60B3DB8E-2737-4EE8-89F3-CA2D142C8E60}"/>
    <cellStyle name="Comma 31" xfId="1030" xr:uid="{00000000-0005-0000-0000-000006040000}"/>
    <cellStyle name="Comma 31 2" xfId="1031" xr:uid="{00000000-0005-0000-0000-000007040000}"/>
    <cellStyle name="Comma 31 2 2" xfId="3598" xr:uid="{88A02D9D-784D-49E4-9F6E-BF04F77518E9}"/>
    <cellStyle name="Comma 31 3" xfId="3181" xr:uid="{8BD5B314-B7AA-4484-84BE-A0C67953456F}"/>
    <cellStyle name="Comma 31 3 2" xfId="4135" xr:uid="{495AE0F7-68DE-4076-96C2-CEEA442CF72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3601" xr:uid="{73976333-B9F8-498D-88B7-0858746E8F9E}"/>
    <cellStyle name="Comma 33 2 3" xfId="3600" xr:uid="{421AE471-CF23-4B31-A64D-2336D5AC475B}"/>
    <cellStyle name="Comma 33 3" xfId="1037" xr:uid="{00000000-0005-0000-0000-00000D040000}"/>
    <cellStyle name="Comma 33 3 2" xfId="3602" xr:uid="{176CB46D-5E9C-4061-B838-358A1E96C63F}"/>
    <cellStyle name="Comma 33 4" xfId="3182" xr:uid="{9F82FAF5-27C0-45C9-84D7-C51609381F8D}"/>
    <cellStyle name="Comma 33 4 2" xfId="4136" xr:uid="{C3ADF428-2C87-44CC-8141-ADD1E1CC5EC5}"/>
    <cellStyle name="Comma 33 5" xfId="3599" xr:uid="{56CF7AEF-0EA3-45F7-8D9D-64BD861BD60E}"/>
    <cellStyle name="Comma 34" xfId="1038" xr:uid="{00000000-0005-0000-0000-00000E040000}"/>
    <cellStyle name="Comma 34 2" xfId="1039" xr:uid="{00000000-0005-0000-0000-00000F040000}"/>
    <cellStyle name="Comma 34 2 2" xfId="3603" xr:uid="{A7517462-420C-484D-A222-E73F13A39D70}"/>
    <cellStyle name="Comma 34 3" xfId="3183" xr:uid="{290D026B-C2AE-4BFB-95A7-23045EB5D076}"/>
    <cellStyle name="Comma 34 3 2" xfId="4137" xr:uid="{6F1F91EA-25B6-41CB-AEC6-A5AF6BAE7342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3604" xr:uid="{363B394D-017D-47C2-A19B-AE1E4A4FE047}"/>
    <cellStyle name="Comma 37 3" xfId="3184" xr:uid="{CFB81A28-96E9-4FC7-B4DE-5FA54AF0B23B}"/>
    <cellStyle name="Comma 37 3 2" xfId="4138" xr:uid="{EDED28F6-6E83-4CA5-8CFB-2537834DC74C}"/>
    <cellStyle name="Comma 38" xfId="1044" xr:uid="{00000000-0005-0000-0000-000014040000}"/>
    <cellStyle name="Comma 38 2" xfId="1045" xr:uid="{00000000-0005-0000-0000-000015040000}"/>
    <cellStyle name="Comma 38 2 2" xfId="3606" xr:uid="{AC7980AD-1B87-4254-8333-600A71ABF184}"/>
    <cellStyle name="Comma 38 3" xfId="3605" xr:uid="{74275E4D-69F0-4723-86EB-F16E0FCE5BF4}"/>
    <cellStyle name="Comma 39" xfId="1046" xr:uid="{00000000-0005-0000-0000-000016040000}"/>
    <cellStyle name="Comma 39 2" xfId="3607" xr:uid="{5E4B87FF-F04B-4641-BBC1-CC8C072D545A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3608" xr:uid="{7230D6EC-BF5B-4BD8-8FA3-E2707A7E3CFB}"/>
    <cellStyle name="Comma 4 2 3" xfId="3186" xr:uid="{F7828FDB-280A-4DB2-A34D-13055E70D125}"/>
    <cellStyle name="Comma 4 2 3 2" xfId="4140" xr:uid="{D3FF7A78-7E6E-4B76-8325-E8F56AB4A991}"/>
    <cellStyle name="Comma 4 3" xfId="1050" xr:uid="{00000000-0005-0000-0000-00001A040000}"/>
    <cellStyle name="Comma 4 3 2" xfId="3609" xr:uid="{BB197E85-D5F9-44E1-A320-F3C2B79E0DBB}"/>
    <cellStyle name="Comma 4 4" xfId="1051" xr:uid="{00000000-0005-0000-0000-00001B040000}"/>
    <cellStyle name="Comma 4 4 2" xfId="3610" xr:uid="{7796C5DF-1B91-41CE-BB53-6BD3B25751A5}"/>
    <cellStyle name="Comma 4 5" xfId="1052" xr:uid="{00000000-0005-0000-0000-00001C040000}"/>
    <cellStyle name="Comma 4 5 2" xfId="3611" xr:uid="{A29B612E-A31B-4154-B247-CF7D285B9A1F}"/>
    <cellStyle name="Comma 4 6" xfId="3185" xr:uid="{DB7B830A-8ED3-475D-9BE0-A00F7F10C261}"/>
    <cellStyle name="Comma 4 6 2" xfId="4139" xr:uid="{33E08AFA-6EB4-4119-A1D6-CEB69FF37B71}"/>
    <cellStyle name="Comma 40" xfId="1053" xr:uid="{00000000-0005-0000-0000-00001D040000}"/>
    <cellStyle name="Comma 40 2" xfId="3612" xr:uid="{9DDA15DA-9A3B-4DC3-A592-E8AF02BEB3E7}"/>
    <cellStyle name="Comma 41" xfId="3410" xr:uid="{04DF8B19-7E9F-4F57-B469-CF584691FCB8}"/>
    <cellStyle name="Comma 42" xfId="1054" xr:uid="{00000000-0005-0000-0000-00001E040000}"/>
    <cellStyle name="Comma 42 2" xfId="1055" xr:uid="{00000000-0005-0000-0000-00001F040000}"/>
    <cellStyle name="Comma 42 2 2" xfId="3613" xr:uid="{8908BB76-5D00-4F3B-BE97-863B692DF3EA}"/>
    <cellStyle name="Comma 42 3" xfId="3187" xr:uid="{C0A33045-EC4F-4689-9FC0-9AACC9E26ED7}"/>
    <cellStyle name="Comma 42 3 2" xfId="4141" xr:uid="{50F305CB-9AAC-4B42-89F4-9BF42CAE767E}"/>
    <cellStyle name="Comma 45" xfId="1056" xr:uid="{00000000-0005-0000-0000-000020040000}"/>
    <cellStyle name="Comma 45 2" xfId="1057" xr:uid="{00000000-0005-0000-0000-000021040000}"/>
    <cellStyle name="Comma 45 2 2" xfId="3614" xr:uid="{4BE2B25E-69C2-48C7-A707-5151E77BA824}"/>
    <cellStyle name="Comma 45 3" xfId="3188" xr:uid="{0B8CEAE7-25EB-4EB1-976A-B083792EC9F7}"/>
    <cellStyle name="Comma 45 3 2" xfId="4142" xr:uid="{F1A11120-B401-44A4-ABF5-A6B358BE72DA}"/>
    <cellStyle name="Comma 46" xfId="1058" xr:uid="{00000000-0005-0000-0000-000022040000}"/>
    <cellStyle name="Comma 46 2" xfId="1059" xr:uid="{00000000-0005-0000-0000-000023040000}"/>
    <cellStyle name="Comma 46 2 2" xfId="3615" xr:uid="{7B3DDBB6-DE3C-495C-A364-B59099A2AE64}"/>
    <cellStyle name="Comma 46 3" xfId="3189" xr:uid="{1F6CA30F-699C-407F-B511-70F041083585}"/>
    <cellStyle name="Comma 46 3 2" xfId="4143" xr:uid="{C0BFEB7C-308B-416D-BC30-56699BFFB529}"/>
    <cellStyle name="Comma 47" xfId="1060" xr:uid="{00000000-0005-0000-0000-000024040000}"/>
    <cellStyle name="Comma 47 2" xfId="1061" xr:uid="{00000000-0005-0000-0000-000025040000}"/>
    <cellStyle name="Comma 47 2 2" xfId="3616" xr:uid="{70D8BA60-E672-4F43-B0AD-F20C3126C0F5}"/>
    <cellStyle name="Comma 47 3" xfId="3190" xr:uid="{AEBE1380-B8FF-46B3-904B-55EC2EF60ED2}"/>
    <cellStyle name="Comma 47 3 2" xfId="4144" xr:uid="{25A26366-7024-4458-8D71-887A3C354872}"/>
    <cellStyle name="Comma 48" xfId="1062" xr:uid="{00000000-0005-0000-0000-000026040000}"/>
    <cellStyle name="Comma 48 2" xfId="1063" xr:uid="{00000000-0005-0000-0000-000027040000}"/>
    <cellStyle name="Comma 48 2 2" xfId="3617" xr:uid="{CE677E62-6D5F-4260-907B-78954B0BF348}"/>
    <cellStyle name="Comma 48 3" xfId="3191" xr:uid="{5D415D29-14F6-4D51-B808-4067398BE1C0}"/>
    <cellStyle name="Comma 48 3 2" xfId="4145" xr:uid="{48D5C0D7-C273-4FE5-9B8E-4442F025A2AD}"/>
    <cellStyle name="Comma 49" xfId="1064" xr:uid="{00000000-0005-0000-0000-000028040000}"/>
    <cellStyle name="Comma 49 2" xfId="1065" xr:uid="{00000000-0005-0000-0000-000029040000}"/>
    <cellStyle name="Comma 49 2 2" xfId="3618" xr:uid="{D73618F3-0D6C-4729-8037-844961B5817F}"/>
    <cellStyle name="Comma 49 3" xfId="3192" xr:uid="{E9F78AAF-A5FE-49F1-B348-5828CC61D922}"/>
    <cellStyle name="Comma 49 3 2" xfId="4146" xr:uid="{FF48605B-DC7B-4F09-A20B-4005E9FA3964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3619" xr:uid="{99FDC5E0-022E-4BDE-921C-21D1690EE22E}"/>
    <cellStyle name="Comma 5 2 3" xfId="3193" xr:uid="{11197C28-5A30-4D7F-B516-24F3CC8C711E}"/>
    <cellStyle name="Comma 5 2 3 2" xfId="4147" xr:uid="{7CE66DAE-2B13-4BE1-AAD2-D1D62B98FBDF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3620" xr:uid="{907DA658-C9A8-4C36-866B-6F772C338368}"/>
    <cellStyle name="Comma 50 3" xfId="3194" xr:uid="{F38B95C0-2520-4988-A7C3-052494202073}"/>
    <cellStyle name="Comma 50 3 2" xfId="4148" xr:uid="{04C5A421-A64E-4539-AF95-8C2455340308}"/>
    <cellStyle name="Comma 51" xfId="1072" xr:uid="{00000000-0005-0000-0000-000030040000}"/>
    <cellStyle name="Comma 51 2" xfId="1073" xr:uid="{00000000-0005-0000-0000-000031040000}"/>
    <cellStyle name="Comma 51 2 2" xfId="3621" xr:uid="{2ADA74C0-C0A8-4717-BB5C-2B236BE67F9C}"/>
    <cellStyle name="Comma 51 3" xfId="3195" xr:uid="{78123E01-2BFA-4228-BD91-30EA91418C39}"/>
    <cellStyle name="Comma 51 3 2" xfId="4149" xr:uid="{CA8DDAFD-3A0A-474C-85F5-66CFAA8E43E6}"/>
    <cellStyle name="Comma 52" xfId="1074" xr:uid="{00000000-0005-0000-0000-000032040000}"/>
    <cellStyle name="Comma 52 2" xfId="1075" xr:uid="{00000000-0005-0000-0000-000033040000}"/>
    <cellStyle name="Comma 52 2 2" xfId="3622" xr:uid="{8C873AB9-1426-4D13-967F-5A9D199E8880}"/>
    <cellStyle name="Comma 52 3" xfId="3196" xr:uid="{617E6A58-3CD2-4746-8BB7-1993A4ABE718}"/>
    <cellStyle name="Comma 52 3 2" xfId="4150" xr:uid="{2CFF8673-717D-416D-B411-98886A49C44E}"/>
    <cellStyle name="Comma 58" xfId="1076" xr:uid="{00000000-0005-0000-0000-000034040000}"/>
    <cellStyle name="Comma 58 2" xfId="1077" xr:uid="{00000000-0005-0000-0000-000035040000}"/>
    <cellStyle name="Comma 58 2 2" xfId="3623" xr:uid="{F2A29D8E-77EE-41E2-B5E8-0B9E2F2E6E38}"/>
    <cellStyle name="Comma 58 3" xfId="3197" xr:uid="{FF6F2D01-C2D5-4BD3-8A80-F034540D2D0B}"/>
    <cellStyle name="Comma 58 3 2" xfId="4151" xr:uid="{A2E707F4-0B31-46AF-A7B9-3BA9B710F418}"/>
    <cellStyle name="Comma 59" xfId="1078" xr:uid="{00000000-0005-0000-0000-000036040000}"/>
    <cellStyle name="Comma 59 2" xfId="1079" xr:uid="{00000000-0005-0000-0000-000037040000}"/>
    <cellStyle name="Comma 59 2 2" xfId="3624" xr:uid="{3CBA6967-666A-42A2-897E-3733E39F8FF3}"/>
    <cellStyle name="Comma 59 3" xfId="3198" xr:uid="{3CD6B4B8-BC11-4563-A15D-E1F35A8DD545}"/>
    <cellStyle name="Comma 59 3 2" xfId="4152" xr:uid="{AF40B92C-355A-4D3F-A44B-3F3E70EDFD39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3625" xr:uid="{DABC464F-0F3C-4F14-95CE-6F527E6A0F94}"/>
    <cellStyle name="Comma 6 2 3" xfId="3200" xr:uid="{CE698371-5B17-48D0-A1C8-7248F3664BE6}"/>
    <cellStyle name="Comma 6 2 3 2" xfId="4154" xr:uid="{FB917BD1-F8F7-4680-B134-FEBAAF0DF588}"/>
    <cellStyle name="Comma 6 3" xfId="3199" xr:uid="{931473CD-1404-47D7-B23E-F95DB265C92C}"/>
    <cellStyle name="Comma 6 3 2" xfId="4153" xr:uid="{4379839C-8F94-4499-B1CE-6EA1E5D77AB1}"/>
    <cellStyle name="Comma 62" xfId="1083" xr:uid="{00000000-0005-0000-0000-00003B040000}"/>
    <cellStyle name="Comma 62 2" xfId="1084" xr:uid="{00000000-0005-0000-0000-00003C040000}"/>
    <cellStyle name="Comma 62 2 2" xfId="3626" xr:uid="{10258EDC-00CD-4973-8307-93F8DDEE6A57}"/>
    <cellStyle name="Comma 62 3" xfId="3201" xr:uid="{74D48D40-EEEB-4642-8E2F-0F1E1A72FB61}"/>
    <cellStyle name="Comma 62 3 2" xfId="4155" xr:uid="{53841878-EF6D-4B2C-A36F-E42FDA461AE0}"/>
    <cellStyle name="Comma 63" xfId="1085" xr:uid="{00000000-0005-0000-0000-00003D040000}"/>
    <cellStyle name="Comma 63 2" xfId="1086" xr:uid="{00000000-0005-0000-0000-00003E040000}"/>
    <cellStyle name="Comma 63 2 2" xfId="3627" xr:uid="{90FC7300-84E3-474C-8094-C8F4A2DEF26F}"/>
    <cellStyle name="Comma 63 3" xfId="3202" xr:uid="{D85E5FCF-6A48-459E-AB81-A49ECBD3157C}"/>
    <cellStyle name="Comma 63 3 2" xfId="4156" xr:uid="{48FD79AE-DCF9-4C80-884F-E464C6A9B131}"/>
    <cellStyle name="Comma 66" xfId="1087" xr:uid="{00000000-0005-0000-0000-00003F040000}"/>
    <cellStyle name="Comma 66 2" xfId="3203" xr:uid="{5B849F2D-25FB-4A0C-86EA-AD9A31722FC6}"/>
    <cellStyle name="Comma 66 2 2" xfId="4157" xr:uid="{0B0EF76C-9ED8-4B91-9E84-F041F8758B17}"/>
    <cellStyle name="Comma 67" xfId="1088" xr:uid="{00000000-0005-0000-0000-000040040000}"/>
    <cellStyle name="Comma 67 2" xfId="1089" xr:uid="{00000000-0005-0000-0000-000041040000}"/>
    <cellStyle name="Comma 67 2 2" xfId="3628" xr:uid="{E6174152-14EB-4821-9A85-7303ED2BAC16}"/>
    <cellStyle name="Comma 67 3" xfId="3204" xr:uid="{9158DC6C-F342-4405-91FA-89D24E5F151A}"/>
    <cellStyle name="Comma 67 3 2" xfId="4158" xr:uid="{77B7DFD5-6A2E-44AC-94E3-CA4382BFC2DB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3630" xr:uid="{CC49EC60-C751-4916-A4C9-149EC4959B07}"/>
    <cellStyle name="Comma 7 2 3" xfId="3206" xr:uid="{8E31267B-C2A8-4C73-9DC7-B87522850602}"/>
    <cellStyle name="Comma 7 2 3 2" xfId="4160" xr:uid="{5E2407D8-820B-4416-87E4-CAC5CD782FFB}"/>
    <cellStyle name="Comma 7 3" xfId="1093" xr:uid="{00000000-0005-0000-0000-000045040000}"/>
    <cellStyle name="Comma 7 3 2" xfId="1094" xr:uid="{00000000-0005-0000-0000-000046040000}"/>
    <cellStyle name="Comma 7 3 2 2" xfId="3631" xr:uid="{EB492F84-87CB-4315-93C4-9FC1803F4CA5}"/>
    <cellStyle name="Comma 7 3 3" xfId="3207" xr:uid="{648F0BE3-19F6-40CE-8536-897CE90C6E10}"/>
    <cellStyle name="Comma 7 3 3 2" xfId="4161" xr:uid="{CA3D8845-C1BB-433E-9BDF-39A48092F319}"/>
    <cellStyle name="Comma 7 4" xfId="3205" xr:uid="{B12EFE5C-D056-4BAE-B5DA-7C1A3BF49D5E}"/>
    <cellStyle name="Comma 7 4 2" xfId="4159" xr:uid="{42A5167A-0D08-48D9-A677-217A65E8D76F}"/>
    <cellStyle name="Comma 7 5" xfId="3629" xr:uid="{47CD388A-FCE0-4653-93D4-377E8CA537A1}"/>
    <cellStyle name="Comma 72" xfId="1095" xr:uid="{00000000-0005-0000-0000-000047040000}"/>
    <cellStyle name="Comma 72 2" xfId="3208" xr:uid="{139C9FD7-F04C-4FBE-A742-C8277169828F}"/>
    <cellStyle name="Comma 72 2 2" xfId="4162" xr:uid="{1FEEBCCB-93A2-48E9-810E-59AE0AB37BF1}"/>
    <cellStyle name="Comma 74" xfId="1096" xr:uid="{00000000-0005-0000-0000-000048040000}"/>
    <cellStyle name="Comma 74 2" xfId="1097" xr:uid="{00000000-0005-0000-0000-000049040000}"/>
    <cellStyle name="Comma 74 2 2" xfId="3632" xr:uid="{ACC65584-FF59-47C1-BACA-16BD9F4F36A2}"/>
    <cellStyle name="Comma 74 3" xfId="3209" xr:uid="{A83B0356-F25D-40E1-88D6-CB99F31B36AC}"/>
    <cellStyle name="Comma 74 3 2" xfId="4163" xr:uid="{94F134F4-CA2A-4EAC-B7B8-1E0CD22DAA0F}"/>
    <cellStyle name="Comma 75" xfId="1098" xr:uid="{00000000-0005-0000-0000-00004A040000}"/>
    <cellStyle name="Comma 75 2" xfId="1099" xr:uid="{00000000-0005-0000-0000-00004B040000}"/>
    <cellStyle name="Comma 75 2 2" xfId="3633" xr:uid="{F7AC48A0-E262-45FD-B4FD-2EF53D29EC06}"/>
    <cellStyle name="Comma 75 3" xfId="3210" xr:uid="{B3B9310D-B0DE-4223-9104-E83DC45A99B8}"/>
    <cellStyle name="Comma 75 3 2" xfId="4164" xr:uid="{BD3E70C8-BC24-4083-8015-20319CB8D594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3634" xr:uid="{6DF8F9A7-AC9D-4BA3-AFB3-1E4F4675377F}"/>
    <cellStyle name="Comma 8 2 2 3" xfId="3213" xr:uid="{8971175D-897D-4AE1-AD6B-222E20BFBB24}"/>
    <cellStyle name="Comma 8 2 2 3 2" xfId="4167" xr:uid="{AFF1DE12-2007-44B9-9A8E-122D8EA0F2D8}"/>
    <cellStyle name="Comma 8 2 3" xfId="1104" xr:uid="{00000000-0005-0000-0000-000050040000}"/>
    <cellStyle name="Comma 8 2 3 2" xfId="3635" xr:uid="{6861B102-6567-4837-947A-35893C7B68EA}"/>
    <cellStyle name="Comma 8 2 4" xfId="3212" xr:uid="{27C17A73-FA94-4E80-84C4-AD3DCC26A00F}"/>
    <cellStyle name="Comma 8 2 4 2" xfId="4166" xr:uid="{2091B12B-1E25-4C21-9E8D-2FBAD43D3313}"/>
    <cellStyle name="Comma 8 3" xfId="1105" xr:uid="{00000000-0005-0000-0000-000051040000}"/>
    <cellStyle name="Comma 8 3 2" xfId="3636" xr:uid="{8B233952-E764-4CB6-8090-038F97ADA1EE}"/>
    <cellStyle name="Comma 8 4" xfId="3211" xr:uid="{AB0C3E73-BFFB-41C9-B5BA-01B4275A2DA9}"/>
    <cellStyle name="Comma 8 4 2" xfId="4165" xr:uid="{9E77FC74-C057-416E-A621-7590924E4919}"/>
    <cellStyle name="Comma 82" xfId="1106" xr:uid="{00000000-0005-0000-0000-000052040000}"/>
    <cellStyle name="Comma 82 2" xfId="1107" xr:uid="{00000000-0005-0000-0000-000053040000}"/>
    <cellStyle name="Comma 82 2 2" xfId="3637" xr:uid="{FF0D6AF6-8B9E-4052-A5A7-1687640AEBA7}"/>
    <cellStyle name="Comma 82 3" xfId="3214" xr:uid="{D687BE1B-E3BB-4964-BA0E-8280A9CAA302}"/>
    <cellStyle name="Comma 82 3 2" xfId="4168" xr:uid="{E0F65BB8-58E1-4B96-B9FF-65B4443C8B65}"/>
    <cellStyle name="Comma 83" xfId="1108" xr:uid="{00000000-0005-0000-0000-000054040000}"/>
    <cellStyle name="Comma 83 2" xfId="1109" xr:uid="{00000000-0005-0000-0000-000055040000}"/>
    <cellStyle name="Comma 83 2 2" xfId="3638" xr:uid="{6BF5B01A-10DD-46E7-8A8C-1C631CAB136B}"/>
    <cellStyle name="Comma 83 3" xfId="3215" xr:uid="{780B7EE8-5550-4279-82AB-1E74BF71339B}"/>
    <cellStyle name="Comma 83 3 2" xfId="4169" xr:uid="{09C808AA-1256-4AB2-97BA-79343319AE1A}"/>
    <cellStyle name="Comma 85" xfId="1110" xr:uid="{00000000-0005-0000-0000-000056040000}"/>
    <cellStyle name="Comma 85 2" xfId="1111" xr:uid="{00000000-0005-0000-0000-000057040000}"/>
    <cellStyle name="Comma 85 2 2" xfId="3639" xr:uid="{780A859D-6630-4785-A1FA-66ECBE126ED5}"/>
    <cellStyle name="Comma 85 3" xfId="3216" xr:uid="{1DAA1A9F-27B1-45A2-B55C-7067F16DAD86}"/>
    <cellStyle name="Comma 85 3 2" xfId="4170" xr:uid="{77747AC9-BFC8-48F1-84D4-B25626A985F1}"/>
    <cellStyle name="Comma 86" xfId="1112" xr:uid="{00000000-0005-0000-0000-000058040000}"/>
    <cellStyle name="Comma 86 2" xfId="1113" xr:uid="{00000000-0005-0000-0000-000059040000}"/>
    <cellStyle name="Comma 86 2 2" xfId="3640" xr:uid="{00F97B8A-676F-4EBA-91FF-C8437E990DE1}"/>
    <cellStyle name="Comma 86 3" xfId="3217" xr:uid="{AD1EB67B-94CC-4400-BD5E-B645041C80CB}"/>
    <cellStyle name="Comma 86 3 2" xfId="4171" xr:uid="{402C62E4-8B54-417F-A40C-1EF97C069A28}"/>
    <cellStyle name="Comma 89" xfId="1114" xr:uid="{00000000-0005-0000-0000-00005A040000}"/>
    <cellStyle name="Comma 89 2" xfId="3218" xr:uid="{B0087802-3BF4-4FDE-AA2C-B664F360661D}"/>
    <cellStyle name="Comma 89 2 2" xfId="4172" xr:uid="{8247A142-1DDA-4E70-8509-93E28E2F5FFF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2 2 2" xfId="4174" xr:uid="{4A052CB3-DD1B-4616-99C0-95A1DC50357A}"/>
    <cellStyle name="Comma 9 3" xfId="1117" xr:uid="{00000000-0005-0000-0000-00005D040000}"/>
    <cellStyle name="Comma 9 3 2" xfId="3221" xr:uid="{51C18A76-9A74-4396-9DBF-C25BC8B4C409}"/>
    <cellStyle name="Comma 9 3 2 2" xfId="4175" xr:uid="{C0ECAA69-C8CA-45FF-BC36-130A84E78ECF}"/>
    <cellStyle name="Comma 9 4" xfId="1118" xr:uid="{00000000-0005-0000-0000-00005E040000}"/>
    <cellStyle name="Comma 9 4 2" xfId="3641" xr:uid="{FB7274E2-1475-45C0-9881-ED390D9DAFA5}"/>
    <cellStyle name="Comma 9 5" xfId="3219" xr:uid="{1EE17F7A-D5B8-4A73-A9A0-00424B40BDD0}"/>
    <cellStyle name="Comma 9 5 2" xfId="4173" xr:uid="{A35E051F-38E5-47C5-A154-2CBE02D17D22}"/>
    <cellStyle name="Comma 98" xfId="1119" xr:uid="{00000000-0005-0000-0000-00005F040000}"/>
    <cellStyle name="Comma 98 2" xfId="3222" xr:uid="{72830CE0-02C4-4D46-8A97-7DC21722AAAD}"/>
    <cellStyle name="Comma 98 2 2" xfId="4176" xr:uid="{B6F6D015-2516-4AB8-B565-DAE2FA29C2D5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2 2" xfId="4177" xr:uid="{FD26864B-5CD9-45D8-8CB8-68F45B3CAB04}"/>
    <cellStyle name="Currency [0] 3 3" xfId="3642" xr:uid="{5F162189-FD2E-4B0A-B13F-C913E4932619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3645" xr:uid="{9A7D41A6-829E-4EA5-9ABF-340544E3E8ED}"/>
    <cellStyle name="Format a column of totals 2 3" xfId="3644" xr:uid="{6D14243B-0054-458A-B2F4-CE621EE91025}"/>
    <cellStyle name="Format a column of totals 3" xfId="1206" xr:uid="{00000000-0005-0000-0000-0000B6040000}"/>
    <cellStyle name="Format a column of totals 3 2" xfId="3646" xr:uid="{A3A3D606-5D5B-4AFC-AD67-07EB8A9BF183}"/>
    <cellStyle name="Format a column of totals 4" xfId="3643" xr:uid="{A3D284A5-FF37-4C62-BCF4-D708F018133F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2 3" xfId="3647" xr:uid="{4FA44A12-F3F0-4ADB-83E9-CEFB33CFEB08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 2 2 2" xfId="3650" xr:uid="{9082D9B3-4797-4EC1-880A-A1629BB7C19B}"/>
    <cellStyle name="Normal 101 2 3" xfId="3649" xr:uid="{FDBBDEC9-080E-402E-81FB-809ABEE3D9C1}"/>
    <cellStyle name="Normal 101 3" xfId="3648" xr:uid="{72A29FD5-9E53-414F-9D2B-31CE2BD2EE50}"/>
    <cellStyle name="Normal 101_FORMAT SKK luncuran" xfId="1475" xr:uid="{00000000-0005-0000-0000-0000C4050000}"/>
    <cellStyle name="Normal 102" xfId="1476" xr:uid="{00000000-0005-0000-0000-0000C5050000}"/>
    <cellStyle name="Normal 102 2" xfId="3651" xr:uid="{47262E68-C189-46D5-B7FC-CCBED1294070}"/>
    <cellStyle name="Normal 103" xfId="1477" xr:uid="{00000000-0005-0000-0000-0000C6050000}"/>
    <cellStyle name="Normal 103 2" xfId="3652" xr:uid="{A807C243-27F0-4398-B93B-DD1246799C76}"/>
    <cellStyle name="Normal 104" xfId="1478" xr:uid="{00000000-0005-0000-0000-0000C7050000}"/>
    <cellStyle name="Normal 104 2" xfId="3653" xr:uid="{660636F4-AF86-4D6E-BE3E-3749AC2E5CA8}"/>
    <cellStyle name="Normal 105" xfId="1479" xr:uid="{00000000-0005-0000-0000-0000C8050000}"/>
    <cellStyle name="Normal 105 2" xfId="3654" xr:uid="{89117328-98CA-494F-99F5-BE98859B0043}"/>
    <cellStyle name="Normal 106" xfId="1480" xr:uid="{00000000-0005-0000-0000-0000C9050000}"/>
    <cellStyle name="Normal 107" xfId="1481" xr:uid="{00000000-0005-0000-0000-0000CA050000}"/>
    <cellStyle name="Normal 107 2" xfId="3655" xr:uid="{03D8B392-CB5E-4225-B281-86C67CF0EAD8}"/>
    <cellStyle name="Normal 108" xfId="1482" xr:uid="{00000000-0005-0000-0000-0000CB050000}"/>
    <cellStyle name="Normal 108 2" xfId="3656" xr:uid="{0B326FD1-F7CE-4C61-B260-A1CCE627F0A1}"/>
    <cellStyle name="Normal 109" xfId="1483" xr:uid="{00000000-0005-0000-0000-0000CC050000}"/>
    <cellStyle name="Normal 109 2" xfId="3657" xr:uid="{342BB524-F7B6-41B5-A91F-64409CE32485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 7" xfId="3658" xr:uid="{8109F21C-FBE7-4BD6-B930-4E3B812D5695}"/>
    <cellStyle name="Normal 11_Book3" xfId="1495" xr:uid="{00000000-0005-0000-0000-0000D8050000}"/>
    <cellStyle name="Normal 110" xfId="1496" xr:uid="{00000000-0005-0000-0000-0000D9050000}"/>
    <cellStyle name="Normal 110 2" xfId="3659" xr:uid="{B3C81D48-9220-4984-A44F-796458677722}"/>
    <cellStyle name="Normal 111" xfId="1497" xr:uid="{00000000-0005-0000-0000-0000DA050000}"/>
    <cellStyle name="Normal 111 2" xfId="3660" xr:uid="{8C056A41-497E-42FB-9549-66444E2C1105}"/>
    <cellStyle name="Normal 112" xfId="1498" xr:uid="{00000000-0005-0000-0000-0000DB050000}"/>
    <cellStyle name="Normal 112 2" xfId="3661" xr:uid="{54A1DAD7-99AA-4B1A-A4E6-4405E6F59EBF}"/>
    <cellStyle name="Normal 113" xfId="1499" xr:uid="{00000000-0005-0000-0000-0000DC050000}"/>
    <cellStyle name="Normal 113 2" xfId="3662" xr:uid="{3A50BE97-E88C-4875-B6DF-5143954BD40E}"/>
    <cellStyle name="Normal 114" xfId="1500" xr:uid="{00000000-0005-0000-0000-0000DD050000}"/>
    <cellStyle name="Normal 114 2" xfId="3663" xr:uid="{29B1D26A-4832-4963-ADFB-1A3C514A0432}"/>
    <cellStyle name="Normal 115" xfId="1501" xr:uid="{00000000-0005-0000-0000-0000DE050000}"/>
    <cellStyle name="Normal 115 2" xfId="3664" xr:uid="{5B292496-A6DA-4ECE-81D4-95DF551D00B8}"/>
    <cellStyle name="Normal 116" xfId="1502" xr:uid="{00000000-0005-0000-0000-0000DF050000}"/>
    <cellStyle name="Normal 116 2" xfId="3665" xr:uid="{F4EC1D94-BF91-4E5E-BA12-5AD8C1A9B3A8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7 2 2 2" xfId="3668" xr:uid="{D52518E0-03EA-4E4D-9958-8D21A6B9EEE6}"/>
    <cellStyle name="Normal 117 2 3" xfId="3667" xr:uid="{B340C431-A41C-4A94-B931-FBF66CA291BE}"/>
    <cellStyle name="Normal 117 3" xfId="3666" xr:uid="{6A2C5C57-2801-493E-AE33-5BF5F96A3079}"/>
    <cellStyle name="Normal 118" xfId="1506" xr:uid="{00000000-0005-0000-0000-0000E3050000}"/>
    <cellStyle name="Normal 118 2" xfId="3669" xr:uid="{B1E86CB6-5624-4AAF-BA04-0C662400B472}"/>
    <cellStyle name="Normal 119" xfId="1507" xr:uid="{00000000-0005-0000-0000-0000E4050000}"/>
    <cellStyle name="Normal 119 2" xfId="3670" xr:uid="{34929F54-E326-4AED-960E-DA1EB41FFD11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0 2" xfId="3671" xr:uid="{54FAE34B-626A-4437-94A9-C11F19BA7803}"/>
    <cellStyle name="Normal 121" xfId="1513" xr:uid="{00000000-0005-0000-0000-0000EA050000}"/>
    <cellStyle name="Normal 121 2" xfId="3672" xr:uid="{C62630CE-7CD4-4FE8-8F44-AE62A710EA48}"/>
    <cellStyle name="Normal 122" xfId="1514" xr:uid="{00000000-0005-0000-0000-0000EB050000}"/>
    <cellStyle name="Normal 122 2" xfId="3673" xr:uid="{DB9E4729-6506-4155-AE33-8F5E4C85F62B}"/>
    <cellStyle name="Normal 123" xfId="1515" xr:uid="{00000000-0005-0000-0000-0000EC050000}"/>
    <cellStyle name="Normal 123 2" xfId="3674" xr:uid="{B3034E32-EB30-4566-8852-D45DE8D14CF0}"/>
    <cellStyle name="Normal 124" xfId="1516" xr:uid="{00000000-0005-0000-0000-0000ED050000}"/>
    <cellStyle name="Normal 124 2" xfId="3675" xr:uid="{AC287236-97B6-4F8F-8224-0D6F998768BA}"/>
    <cellStyle name="Normal 125" xfId="1517" xr:uid="{00000000-0005-0000-0000-0000EE050000}"/>
    <cellStyle name="Normal 125 2" xfId="3676" xr:uid="{CF95637B-1D01-4B04-9F1F-981D38E01BF4}"/>
    <cellStyle name="Normal 126" xfId="1518" xr:uid="{00000000-0005-0000-0000-0000EF050000}"/>
    <cellStyle name="Normal 126 2" xfId="1519" xr:uid="{00000000-0005-0000-0000-0000F0050000}"/>
    <cellStyle name="Normal 126 2 2" xfId="3678" xr:uid="{534F561E-7FCE-47B6-AB0A-F6D4211C1D07}"/>
    <cellStyle name="Normal 126 3" xfId="3677" xr:uid="{610BAF44-A92A-4D6C-A71E-9D90F7450D13}"/>
    <cellStyle name="Normal 127" xfId="1520" xr:uid="{00000000-0005-0000-0000-0000F1050000}"/>
    <cellStyle name="Normal 127 2" xfId="3679" xr:uid="{E1A5C5AC-4CE5-44EA-A143-B44078494AD5}"/>
    <cellStyle name="Normal 128" xfId="1521" xr:uid="{00000000-0005-0000-0000-0000F2050000}"/>
    <cellStyle name="Normal 128 2" xfId="3680" xr:uid="{87D7476A-BB91-49EE-A240-BA6EDEBDBF78}"/>
    <cellStyle name="Normal 129" xfId="1522" xr:uid="{00000000-0005-0000-0000-0000F3050000}"/>
    <cellStyle name="Normal 129 2" xfId="3681" xr:uid="{B1F937FA-F119-461E-9DC8-BCFE95EE2052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0 2" xfId="3682" xr:uid="{2AAAB25E-940B-432A-A146-B8DA8C64EE3B}"/>
    <cellStyle name="Normal 131" xfId="1531" xr:uid="{00000000-0005-0000-0000-0000FC050000}"/>
    <cellStyle name="Normal 131 2" xfId="3683" xr:uid="{78CFD8F9-7CE8-4AF9-98B9-A7C86C2BFBF8}"/>
    <cellStyle name="Normal 132" xfId="1532" xr:uid="{00000000-0005-0000-0000-0000FD050000}"/>
    <cellStyle name="Normal 132 2" xfId="3684" xr:uid="{FB30F503-D340-4164-9293-321B1BB54965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3686" xr:uid="{E0D49A7A-D85F-4C37-9D4C-D856B524C83B}"/>
    <cellStyle name="Normal 134 3" xfId="3685" xr:uid="{5E85A8AA-B6A8-4846-AA05-DB2C1DCD4B69}"/>
    <cellStyle name="Normal 135" xfId="1536" xr:uid="{00000000-0005-0000-0000-000001060000}"/>
    <cellStyle name="Normal 135 2" xfId="3687" xr:uid="{55ACEEE6-95BA-4DF7-B180-804293B17A95}"/>
    <cellStyle name="Normal 136" xfId="1537" xr:uid="{00000000-0005-0000-0000-000002060000}"/>
    <cellStyle name="Normal 136 2" xfId="3688" xr:uid="{E1FBA509-907B-4776-A076-043E41BBB26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3844" xr:uid="{465B9F83-8403-42B7-B158-1C0F100AD5D6}"/>
    <cellStyle name="Normal 137 2 3" xfId="3690" xr:uid="{3FB50C29-E843-4D33-8531-F8F7B4097AEB}"/>
    <cellStyle name="Normal 137 3" xfId="2670" xr:uid="{DE2FAB10-EC26-4C42-9A25-5D9F87A07F8A}"/>
    <cellStyle name="Normal 137 3 2" xfId="3842" xr:uid="{0567B275-5D00-461F-B4E1-55CA697CDA47}"/>
    <cellStyle name="Normal 137 4" xfId="3689" xr:uid="{31434876-5477-4534-9F09-FCE59F0608A8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 3" xfId="3692" xr:uid="{D70F1F7A-D97F-465A-8B61-30B23E94E54D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 4" xfId="3691" xr:uid="{7835A8DD-35C4-465A-BEA6-367BEFB4A00F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 3" xfId="3693" xr:uid="{86F9C3A2-D838-4AEA-9DA2-D839458C03C5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 3" xfId="3694" xr:uid="{0E3F30C3-195F-4AE8-A9F4-95BFA9E4A317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3 2" xfId="3695" xr:uid="{3611F634-611E-4E04-8CEF-24ABAE4672B5}"/>
    <cellStyle name="Normal 14 4" xfId="1567" xr:uid="{00000000-0005-0000-0000-000020060000}"/>
    <cellStyle name="Normal 14 4 2" xfId="3696" xr:uid="{6463930C-4183-46DE-93A7-F5EA2A8A1A07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6 2" xfId="3697" xr:uid="{93629B1A-D7B4-4A67-9405-EE0E51139FE8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3698" xr:uid="{A92AF028-4DC8-431D-A8D5-416853B4AF6D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" xfId="3700" xr:uid="{5CB79337-7CE8-4713-A123-BDC26CA8AF55}"/>
    <cellStyle name="Normal 2 108 3" xfId="3699" xr:uid="{1DE45CE7-DD56-49E2-A488-7DA8A7AEDC63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4 2" xfId="3701" xr:uid="{B55145BB-A08C-47AB-9DBA-772B40C5A3E3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2 2" xfId="3703" xr:uid="{F5782CD4-398E-400E-8445-087B1627670C}"/>
    <cellStyle name="Normal 2 2 2 2 3 3" xfId="1652" xr:uid="{00000000-0005-0000-0000-000075060000}"/>
    <cellStyle name="Normal 2 2 2 2 3 3 2" xfId="1653" xr:uid="{00000000-0005-0000-0000-000076060000}"/>
    <cellStyle name="Normal 2 2 2 2 3 3 2 2" xfId="3705" xr:uid="{1DFC4423-3610-4874-8164-29704F754AA2}"/>
    <cellStyle name="Normal 2 2 2 2 3 3 3" xfId="3704" xr:uid="{CAD4F969-D67E-4B88-BEED-61BF78AF4326}"/>
    <cellStyle name="Normal 2 2 2 2 3 4" xfId="3702" xr:uid="{764E541C-EF2B-4134-A85B-23E3466BF6DE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3 4" xfId="3706" xr:uid="{47585D8C-21EA-465F-AADD-669249FD1F0A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4 2" xfId="3707" xr:uid="{81BC2C55-57F3-4D92-96B2-8B5A4F55CB21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2 2" xfId="3708" xr:uid="{95944D43-D18C-44DC-8EE8-05BC05F1639A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4 2" xfId="3709" xr:uid="{39303F6F-6532-4524-9C5B-5D5587EE2D8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8 2" xfId="3710" xr:uid="{2D7FDF39-4DC1-4A14-A0CF-BDA84DCE1AE6}"/>
    <cellStyle name="Normal 2 39" xfId="1725" xr:uid="{00000000-0005-0000-0000-0000BE060000}"/>
    <cellStyle name="Normal 2 39 2" xfId="3711" xr:uid="{729AF676-C6FD-4915-8486-7489C7479B84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0 2" xfId="3712" xr:uid="{A1D26370-B7A8-4ED3-B515-2627B47BBF46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3715" xr:uid="{59F02996-5596-4CBD-9041-E4C236448424}"/>
    <cellStyle name="Normal 2 5 2 3" xfId="3714" xr:uid="{7FFA475E-187D-41DE-B98C-3F392C1ABD86}"/>
    <cellStyle name="Normal 2 5 3" xfId="1754" xr:uid="{00000000-0005-0000-0000-0000DB060000}"/>
    <cellStyle name="Normal 2 5 3 2" xfId="3716" xr:uid="{4651A6B6-285E-4A97-89B7-A3B974FD2DC9}"/>
    <cellStyle name="Normal 2 5 4" xfId="2694" xr:uid="{B37BEAAF-FB27-40B1-9038-FD4B8C20F131}"/>
    <cellStyle name="Normal 2 5 4 2" xfId="3852" xr:uid="{147206BB-D74E-40D1-BD40-30D30AADECFE}"/>
    <cellStyle name="Normal 2 5 5" xfId="3713" xr:uid="{F736FDB4-B799-4491-9BD1-16CBCC2480E4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6 2" xfId="3717" xr:uid="{D41082A7-90C2-49E0-9A88-B496399F21EB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 3" xfId="3718" xr:uid="{4A870F59-19C3-4556-9C6E-6040B1B2A7F5}"/>
    <cellStyle name="Normal 28_Book2" xfId="1900" xr:uid="{00000000-0005-0000-0000-00006D070000}"/>
    <cellStyle name="Normal 29" xfId="1901" xr:uid="{00000000-0005-0000-0000-00006E070000}"/>
    <cellStyle name="Normal 29 2" xfId="3719" xr:uid="{8A35A854-7BE5-4194-8FFF-8C9F39A87242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5 2 2" xfId="3721" xr:uid="{1530E6C6-7022-484E-848A-997B2AEDC093}"/>
    <cellStyle name="Normal 3 5 3" xfId="3720" xr:uid="{0A35084B-17DF-4856-B1C8-0F2EC3D7101C}"/>
    <cellStyle name="Normal 3 6" xfId="1915" xr:uid="{00000000-0005-0000-0000-00007C070000}"/>
    <cellStyle name="Normal 3 6 2" xfId="3722" xr:uid="{C59DB443-067E-4FBE-941A-F105EA70D724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3 2" xfId="3723" xr:uid="{37AD6A56-0FA8-4039-B589-77E5CFDDB051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3 2" xfId="3725" xr:uid="{34A35387-40D4-4617-ACB0-DA9C5AF471D1}"/>
    <cellStyle name="Normal 4 4" xfId="1941" xr:uid="{00000000-0005-0000-0000-000096070000}"/>
    <cellStyle name="Normal 4 4 2" xfId="3726" xr:uid="{4A9D941B-C4DA-43DC-A241-34A64D050BFE}"/>
    <cellStyle name="Normal 4 5" xfId="2692" xr:uid="{44F62430-6188-47B9-AE7F-EB79CCC4D478}"/>
    <cellStyle name="Normal 4 5 2" xfId="3850" xr:uid="{CBC5F525-521E-4B98-9D91-99F4B1E3AA0A}"/>
    <cellStyle name="Normal 4 6" xfId="3724" xr:uid="{B9EE77C1-C51F-4D37-AA4E-5DEB8A70E3FB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3 2" xfId="3727" xr:uid="{8A40B604-7F8C-4C00-BAFC-5089AB39515F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3 2" xfId="3728" xr:uid="{3DF6D46A-C374-4CE5-8C99-AA285BBE0B2D}"/>
    <cellStyle name="Normal 5 4" xfId="1966" xr:uid="{00000000-0005-0000-0000-0000AF070000}"/>
    <cellStyle name="Normal 5 4 2" xfId="3729" xr:uid="{2EBE699C-327C-4F0D-84B1-DACB105B92BC}"/>
    <cellStyle name="Normal 5 5" xfId="1967" xr:uid="{00000000-0005-0000-0000-0000B0070000}"/>
    <cellStyle name="Normal 5 5 2" xfId="3730" xr:uid="{9C4C8DAD-C547-4F17-8B26-2A0927BFEAA8}"/>
    <cellStyle name="Normal 5 6" xfId="1968" xr:uid="{00000000-0005-0000-0000-0000B1070000}"/>
    <cellStyle name="Normal 5 6 2" xfId="3731" xr:uid="{C1745100-6372-480D-B63D-A8A085AE9A6C}"/>
    <cellStyle name="Normal 5 7" xfId="1969" xr:uid="{00000000-0005-0000-0000-0000B2070000}"/>
    <cellStyle name="Normal 5 7 2" xfId="3732" xr:uid="{5063A99B-4F41-46B3-8939-18C792EF7152}"/>
    <cellStyle name="Normal 5 8" xfId="1970" xr:uid="{00000000-0005-0000-0000-0000B3070000}"/>
    <cellStyle name="Normal 5 8 2" xfId="3733" xr:uid="{FADAC6CD-8E85-40F7-B4FC-F9C437311ECA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1 2" xfId="3734" xr:uid="{61AE593E-B5AD-4120-A82E-37A6D3C52A56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5 2" xfId="3735" xr:uid="{D6218FD2-0E5E-4555-982F-8F5D1B0F1057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7 2" xfId="3736" xr:uid="{AF1D590A-D0D4-48C4-8DD9-6414284BB5BE}"/>
    <cellStyle name="Normal 58" xfId="1986" xr:uid="{00000000-0005-0000-0000-0000C3070000}"/>
    <cellStyle name="Normal 58 2" xfId="3737" xr:uid="{D4ABECED-B387-4F1B-A876-12B19A1FE97B}"/>
    <cellStyle name="Normal 59" xfId="1987" xr:uid="{00000000-0005-0000-0000-0000C4070000}"/>
    <cellStyle name="Normal 59 2" xfId="3738" xr:uid="{404AA8C1-78BC-4BA6-9424-D699A028BC8A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0 2" xfId="3739" xr:uid="{5C9693F2-0040-4EA5-A6D1-F94E41B4162A}"/>
    <cellStyle name="Normal 61" xfId="1996" xr:uid="{00000000-0005-0000-0000-0000CD070000}"/>
    <cellStyle name="Normal 61 2" xfId="3740" xr:uid="{9FC0CC33-3969-43F7-A62A-1B2E65C0F065}"/>
    <cellStyle name="Normal 62" xfId="1997" xr:uid="{00000000-0005-0000-0000-0000CE070000}"/>
    <cellStyle name="Normal 62 2" xfId="3741" xr:uid="{01CEDD2D-747A-4A4C-B7C0-8D7D690326DB}"/>
    <cellStyle name="Normal 63" xfId="1998" xr:uid="{00000000-0005-0000-0000-0000CF070000}"/>
    <cellStyle name="Normal 63 2" xfId="3742" xr:uid="{6CEE4BE1-18CD-4182-B4B9-E3C085B6E175}"/>
    <cellStyle name="Normal 64" xfId="1999" xr:uid="{00000000-0005-0000-0000-0000D0070000}"/>
    <cellStyle name="Normal 64 2" xfId="3743" xr:uid="{906DA337-BAE2-433C-8790-1D99002E5972}"/>
    <cellStyle name="Normal 65" xfId="2000" xr:uid="{00000000-0005-0000-0000-0000D1070000}"/>
    <cellStyle name="Normal 65 2" xfId="3744" xr:uid="{BBEE0D8E-3126-4D72-A3CE-A1297C951420}"/>
    <cellStyle name="Normal 66" xfId="2001" xr:uid="{00000000-0005-0000-0000-0000D2070000}"/>
    <cellStyle name="Normal 66 2" xfId="3745" xr:uid="{F87B2713-0529-4D80-B74C-54E8A9D48F67}"/>
    <cellStyle name="Normal 67" xfId="2002" xr:uid="{00000000-0005-0000-0000-0000D3070000}"/>
    <cellStyle name="Normal 67 2" xfId="3746" xr:uid="{1E1B32F7-93F5-4867-A652-A0BDD9A5F59F}"/>
    <cellStyle name="Normal 68" xfId="2003" xr:uid="{00000000-0005-0000-0000-0000D4070000}"/>
    <cellStyle name="Normal 68 2" xfId="3747" xr:uid="{3166EFCD-F16A-426E-908D-6C3AD78D9184}"/>
    <cellStyle name="Normal 69" xfId="2004" xr:uid="{00000000-0005-0000-0000-0000D5070000}"/>
    <cellStyle name="Normal 69 2" xfId="3748" xr:uid="{74C2AF0A-DEAF-4255-9D58-65B45C2B5D99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0 2" xfId="3749" xr:uid="{0AE0A034-60B1-4962-A586-6F0FDAAFA96E}"/>
    <cellStyle name="Normal 71" xfId="2013" xr:uid="{00000000-0005-0000-0000-0000DE070000}"/>
    <cellStyle name="Normal 71 2" xfId="3750" xr:uid="{D60DA629-1919-4E53-A323-51FE6CBF9E79}"/>
    <cellStyle name="Normal 72" xfId="2014" xr:uid="{00000000-0005-0000-0000-0000DF070000}"/>
    <cellStyle name="Normal 72 2" xfId="3751" xr:uid="{86B3B6CF-2A44-4134-9ECF-71525FA0388A}"/>
    <cellStyle name="Normal 73" xfId="2015" xr:uid="{00000000-0005-0000-0000-0000E0070000}"/>
    <cellStyle name="Normal 73 2" xfId="3752" xr:uid="{20D0F174-7B3D-47C9-9AE3-9BAF9E42F655}"/>
    <cellStyle name="Normal 74" xfId="2016" xr:uid="{00000000-0005-0000-0000-0000E1070000}"/>
    <cellStyle name="Normal 74 2" xfId="3753" xr:uid="{2E1DF2B9-A02C-494C-8BD4-29EC4E2D3BE2}"/>
    <cellStyle name="Normal 75" xfId="2017" xr:uid="{00000000-0005-0000-0000-0000E2070000}"/>
    <cellStyle name="Normal 75 2" xfId="3754" xr:uid="{0802801F-FD06-494D-8CC2-1CF18DAD316B}"/>
    <cellStyle name="Normal 76" xfId="2018" xr:uid="{00000000-0005-0000-0000-0000E3070000}"/>
    <cellStyle name="Normal 76 2" xfId="3755" xr:uid="{EEDC31E6-8A44-4A4C-A5DC-358E4F14420C}"/>
    <cellStyle name="Normal 77" xfId="2019" xr:uid="{00000000-0005-0000-0000-0000E4070000}"/>
    <cellStyle name="Normal 77 2" xfId="3756" xr:uid="{E488990E-6950-4BBE-A4AF-62CF30E8C7B3}"/>
    <cellStyle name="Normal 78" xfId="2020" xr:uid="{00000000-0005-0000-0000-0000E5070000}"/>
    <cellStyle name="Normal 78 2" xfId="3757" xr:uid="{7B7245C8-6DFA-429B-8A0F-CF286BF49FE9}"/>
    <cellStyle name="Normal 79" xfId="2021" xr:uid="{00000000-0005-0000-0000-0000E6070000}"/>
    <cellStyle name="Normal 79 2" xfId="3758" xr:uid="{3DE74A42-1F40-47FE-BC84-D508086F789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3760" xr:uid="{135BEF71-429A-4BF4-A991-96AED4EC5386}"/>
    <cellStyle name="Normal 8 4" xfId="3260" xr:uid="{E2C51F0A-73AE-43E6-AC62-98B10C0EB78F}"/>
    <cellStyle name="Normal 8 4 2" xfId="4178" xr:uid="{20ED795B-1BAD-4714-88AA-9F59576050B4}"/>
    <cellStyle name="Normal 8 5" xfId="3759" xr:uid="{DC219485-8973-41EA-A2C5-0B44220AFBF9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0 2" xfId="3761" xr:uid="{18B50E6C-9581-42EC-8278-F3FF9FDA3D7D}"/>
    <cellStyle name="Normal 81" xfId="2027" xr:uid="{00000000-0005-0000-0000-0000EC070000}"/>
    <cellStyle name="Normal 81 2" xfId="3762" xr:uid="{E232C428-48AE-4EBA-B7A3-B8D988BCA22D}"/>
    <cellStyle name="Normal 82" xfId="2028" xr:uid="{00000000-0005-0000-0000-0000ED070000}"/>
    <cellStyle name="Normal 82 2" xfId="3763" xr:uid="{D95BD0AE-F99A-4D8F-95FD-373424C4B090}"/>
    <cellStyle name="Normal 83" xfId="2029" xr:uid="{00000000-0005-0000-0000-0000EE070000}"/>
    <cellStyle name="Normal 83 2" xfId="3764" xr:uid="{ABA4C740-6110-47E0-9E5E-7F0D815CDBCC}"/>
    <cellStyle name="Normal 84" xfId="2030" xr:uid="{00000000-0005-0000-0000-0000EF070000}"/>
    <cellStyle name="Normal 84 2" xfId="3765" xr:uid="{43B7934B-BE98-44E9-AD0B-92A2D13131AF}"/>
    <cellStyle name="Normal 85" xfId="2031" xr:uid="{00000000-0005-0000-0000-0000F0070000}"/>
    <cellStyle name="Normal 85 2" xfId="3766" xr:uid="{AA8D7480-B063-437C-9BA4-B3BE80C316C9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3768" xr:uid="{3463F7D7-07E3-48DC-AA8A-92820DEE3DE6}"/>
    <cellStyle name="Normal 9 8" xfId="3262" xr:uid="{7D930580-CBA0-45C0-962B-5257BAEA215B}"/>
    <cellStyle name="Normal 9 8 2" xfId="4179" xr:uid="{2A6A14A3-D783-4725-BBE3-E5B1EB6E932A}"/>
    <cellStyle name="Normal 9 9" xfId="3767" xr:uid="{EC8495BA-27A0-4AE2-A6A5-E616AC913EF5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2 2" xfId="3769" xr:uid="{12BE948C-8FA5-48A7-B7CF-C599FACC9BEC}"/>
    <cellStyle name="Normal 93" xfId="2083" xr:uid="{00000000-0005-0000-0000-000024080000}"/>
    <cellStyle name="Normal 93 2" xfId="3770" xr:uid="{3573A9D0-8EE5-4E20-8F8B-4B701DEA6CAE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5 2" xfId="3771" xr:uid="{2FB7BF69-CCC7-4316-BD3B-7E667F54AAC8}"/>
    <cellStyle name="Normal 96" xfId="2087" xr:uid="{00000000-0005-0000-0000-000028080000}"/>
    <cellStyle name="Normal 96 2" xfId="3772" xr:uid="{4C8572F6-958B-43BE-A381-2C565C85E549}"/>
    <cellStyle name="Normal 97" xfId="2088" xr:uid="{00000000-0005-0000-0000-000029080000}"/>
    <cellStyle name="Normal 97 2" xfId="3773" xr:uid="{94B63FD5-55AF-4EF8-80A2-5A100F720993}"/>
    <cellStyle name="Normal 98" xfId="2089" xr:uid="{00000000-0005-0000-0000-00002A080000}"/>
    <cellStyle name="Normal 98 2" xfId="3774" xr:uid="{5B60632A-AEC2-4D67-9828-E418A1C83CBF}"/>
    <cellStyle name="Normal 99" xfId="2090" xr:uid="{00000000-0005-0000-0000-00002B080000}"/>
    <cellStyle name="Normal 99 2" xfId="3775" xr:uid="{F7250F7D-8D0F-4044-ADA7-23B53B571AEC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3 2" xfId="3776" xr:uid="{C14291AD-302D-4BA1-A8E4-D3F981C1FFFA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3 2" xfId="3777" xr:uid="{8F0E0820-2218-46C8-8A53-F63DD8BB680F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3 2" xfId="3778" xr:uid="{402E51B0-EFDD-4AEA-AC76-BE14F6391583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3 2" xfId="3779" xr:uid="{B1CF2D29-FD4D-425F-A3E4-69DCB995498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3 2" xfId="3780" xr:uid="{E1423F5D-8A25-43B3-858B-D4A7D11A7072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3 2" xfId="3781" xr:uid="{02AEB00A-3DB8-48F6-8C96-549BD619B8F9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3 2" xfId="3782" xr:uid="{BF30EFA3-937D-4A82-9F5C-581980E4AE77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3 2" xfId="3783" xr:uid="{FEA3E86E-3086-4EDC-A181-FC57FE44ACC5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3 2" xfId="3784" xr:uid="{7FB19566-E68E-43B7-9762-5F09655EA52F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3 2" xfId="3785" xr:uid="{61E1E3A9-3C02-4E18-95C6-81668BA9DA2A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3 2" xfId="3786" xr:uid="{37A00DE3-F7E2-4A64-A0C4-BB016AEABCD8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3 2" xfId="3787" xr:uid="{46E31DF1-9FCA-4E03-9B09-E3C72ED6F42C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3 2" xfId="3788" xr:uid="{BB05FD94-3842-434D-A5B9-FD195866AE16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3 2" xfId="3789" xr:uid="{C2A61211-3023-45A3-92B9-9AB479776099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3 2" xfId="3790" xr:uid="{C21A0440-C37C-44AC-8A6E-B80E1E84FCA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3 2" xfId="3791" xr:uid="{B3D609CC-9BEF-4D04-BEED-236A6E86EE21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3 2" xfId="3792" xr:uid="{695D7343-2794-452E-AE63-74B0AC35CC1E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3 2" xfId="3793" xr:uid="{C13077C3-0A4A-4715-A308-3CFB754D332C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3 2" xfId="3794" xr:uid="{42502478-748F-429A-A358-F7C541BEF77D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3 2" xfId="3795" xr:uid="{769A87B1-22C5-405E-BFAF-A459DBC1F5FC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3 2" xfId="3796" xr:uid="{8B95DC80-4B28-4655-AF06-652D56E8561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3 2" xfId="3797" xr:uid="{A3E9DCEB-52B5-4FD8-82C3-789E40F0EA68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3 2" xfId="3798" xr:uid="{ECEA4B8A-72E7-40AA-8F3E-726E31959271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3 2" xfId="3799" xr:uid="{99CEA8E4-BA8C-48C3-BE20-4D71F81D9481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3 2" xfId="3800" xr:uid="{59C51326-05E0-462F-A9C2-33AA128E6D7B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3 2" xfId="3801" xr:uid="{43CDC858-A0C3-4BC7-BF20-AC601377EBF3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3 2" xfId="3802" xr:uid="{0AE37FE1-B174-4C31-A1C8-5D4726202DB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3 2" xfId="3803" xr:uid="{943D651A-7A63-4E23-8D4D-B47B1DEBFC44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3 2" xfId="3804" xr:uid="{21D0418F-7F64-4BA4-9E5F-1BAC33D3F852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3 2" xfId="3805" xr:uid="{65D763CB-5E37-41C1-8657-0434BBCDC354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3 2" xfId="3806" xr:uid="{DB835FB3-99C6-4771-A646-BB5CC12A4707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3 2" xfId="3807" xr:uid="{E0919C3E-6E7D-4A8D-BBA5-C9A67D739059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3 2" xfId="3808" xr:uid="{83A5145B-9D69-4179-88C4-F53CE330BDBE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3 2" xfId="3809" xr:uid="{57548C90-CCF2-4026-AABA-F3EAB9D44B28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3 2" xfId="3810" xr:uid="{745FD1D9-FB6F-424F-9452-A5876742BAF3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3 2" xfId="3811" xr:uid="{8B44F360-4B86-4CD2-BF49-07E65B21C3F9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3 2" xfId="3812" xr:uid="{F336C73A-C472-4439-AE66-3FB6D4F7F92A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3 2" xfId="3813" xr:uid="{81EA36D5-D02F-4BF8-9E90-B28E6B32F5F2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3 2" xfId="3814" xr:uid="{02522FF2-F717-4AB4-BC89-1BA7ED46E16B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3 2" xfId="3815" xr:uid="{EDB94979-D614-4553-9F95-10A3C14CD634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3 2" xfId="3816" xr:uid="{F80E4CC5-3FEE-4227-B2C7-5E791EFBDF54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3 2" xfId="3817" xr:uid="{7A84FBEB-6A41-4412-A0CA-145E1438EBFF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3 2" xfId="3818" xr:uid="{99928F95-92B4-4EE6-A4A0-D11A4075F028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3 2" xfId="3819" xr:uid="{52CE5311-D874-437C-BD3F-15E9340CDC9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3 2" xfId="3820" xr:uid="{7B2A87B1-6FB2-4B44-A245-2B0FF1D875B8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3 2" xfId="3821" xr:uid="{CD1DDC51-EE7E-4DF2-8D28-EF686C8FCA7B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3 2" xfId="3822" xr:uid="{0F6129AD-8649-4FA9-A0E7-0CBDED383713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3 2" xfId="3823" xr:uid="{A17EB3FC-27C5-4EB9-BFD9-0B2A274AEE8C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3 2" xfId="3824" xr:uid="{3E1717FA-995F-457F-A505-0CAD235E6EBB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3 2" xfId="3825" xr:uid="{F91F4ABB-87EF-4148-B897-CC572FB19871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3 2" xfId="3826" xr:uid="{0B96CF32-8E44-47B1-874E-76867CFF85B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3 2" xfId="3827" xr:uid="{A06EC7CC-F3CC-413F-B505-E5BDE0355A4B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3 2" xfId="3828" xr:uid="{0BF43F00-F606-40F2-85CC-2C995401949C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3 2" xfId="3829" xr:uid="{EFB400F7-5A9A-4C5B-95EC-5672AD8A7F7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3 2" xfId="3830" xr:uid="{83AC177E-7FBD-45B3-ABA6-C34B3C6535D1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3 2" xfId="3831" xr:uid="{7CF32A74-6895-4C50-854B-DD547DE7A053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3 2" xfId="3832" xr:uid="{0F1C0073-BC5A-4063-9AA0-5425AC4E210B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3 2" xfId="3833" xr:uid="{20C2AB24-EAF5-45CD-B74E-DCB9442FDD25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3 2" xfId="3834" xr:uid="{70EC3832-EF8F-4615-B767-82BA06DC7F8A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3 2" xfId="3835" xr:uid="{4E11B600-74C7-468E-9347-B17CB09A9167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3 2" xfId="3836" xr:uid="{9D2D47EA-62E2-4C27-9CAC-C241400B30B6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3 2" xfId="3837" xr:uid="{3B53A589-9952-499C-B508-22786990BD58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3 2" xfId="3838" xr:uid="{533789F9-CA2A-4DED-A087-64C7E8AC4BCE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3846" xr:uid="{5180A30F-8CE3-405D-AE51-3E151D1C51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2 2" xfId="4180" xr:uid="{A1FDB38C-CC9D-4239-8EC0-4C7EF6A7A960}"/>
    <cellStyle name="Percent 8 3" xfId="3839" xr:uid="{4962A95A-953C-488C-8598-8414EB43268C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2 2" xfId="3841" xr:uid="{7A2C3052-BCF8-4887-A5DA-AB2FAF164010}"/>
    <cellStyle name="subt1 3" xfId="3387" xr:uid="{465694C6-D059-4306-8695-F4759D8BF803}"/>
    <cellStyle name="subt1 4" xfId="3840" xr:uid="{83B3ABBF-EABB-41E7-854B-0D835FF04758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3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32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67235</xdr:colOff>
      <xdr:row>36</xdr:row>
      <xdr:rowOff>224119</xdr:rowOff>
    </xdr:from>
    <xdr:to>
      <xdr:col>19</xdr:col>
      <xdr:colOff>362473</xdr:colOff>
      <xdr:row>39</xdr:row>
      <xdr:rowOff>114462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4924A5-FE09-4111-AC64-3D587EE6E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96147" y="8785413"/>
          <a:ext cx="295238" cy="6299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212913</xdr:colOff>
      <xdr:row>132</xdr:row>
      <xdr:rowOff>33618</xdr:rowOff>
    </xdr:from>
    <xdr:to>
      <xdr:col>10</xdr:col>
      <xdr:colOff>508151</xdr:colOff>
      <xdr:row>134</xdr:row>
      <xdr:rowOff>170491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4AF76B-14E1-4ED0-B229-E2587FE1E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28295" y="25325294"/>
          <a:ext cx="295238" cy="5178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20</xdr:row>
      <xdr:rowOff>85725</xdr:rowOff>
    </xdr:from>
    <xdr:to>
      <xdr:col>11</xdr:col>
      <xdr:colOff>0</xdr:colOff>
      <xdr:row>27</xdr:row>
      <xdr:rowOff>151694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5AE5D4B5-835D-4AC5-BCD8-6120D4BCF351}"/>
            </a:ext>
          </a:extLst>
        </xdr:cNvPr>
        <xdr:cNvCxnSpPr>
          <a:cxnSpLocks/>
        </xdr:cNvCxnSpPr>
      </xdr:nvCxnSpPr>
      <xdr:spPr>
        <a:xfrm flipH="1" flipV="1">
          <a:off x="1600200" y="3162300"/>
          <a:ext cx="2133600" cy="1132769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24121" y="816637"/>
          <a:ext cx="1488201" cy="1760571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4</xdr:col>
      <xdr:colOff>48676</xdr:colOff>
      <xdr:row>40</xdr:row>
      <xdr:rowOff>30684</xdr:rowOff>
    </xdr:from>
    <xdr:to>
      <xdr:col>17</xdr:col>
      <xdr:colOff>57393</xdr:colOff>
      <xdr:row>40</xdr:row>
      <xdr:rowOff>30684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7DAB8744-0CAA-7879-C650-0D116164A444}"/>
            </a:ext>
          </a:extLst>
        </xdr:cNvPr>
        <xdr:cNvCxnSpPr/>
      </xdr:nvCxnSpPr>
      <xdr:spPr>
        <a:xfrm flipH="1" flipV="1">
          <a:off x="1115476" y="6164784"/>
          <a:ext cx="4961717" cy="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218197</xdr:colOff>
      <xdr:row>37</xdr:row>
      <xdr:rowOff>117058</xdr:rowOff>
    </xdr:from>
    <xdr:to>
      <xdr:col>8</xdr:col>
      <xdr:colOff>378328</xdr:colOff>
      <xdr:row>42</xdr:row>
      <xdr:rowOff>18046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FE779B8B-F1F2-93B6-53AD-281F0308C93E}"/>
            </a:ext>
          </a:extLst>
        </xdr:cNvPr>
        <xdr:cNvCxnSpPr>
          <a:cxnSpLocks/>
        </xdr:cNvCxnSpPr>
      </xdr:nvCxnSpPr>
      <xdr:spPr>
        <a:xfrm flipV="1">
          <a:off x="2808997" y="5784433"/>
          <a:ext cx="160131" cy="672513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13218</xdr:colOff>
      <xdr:row>14</xdr:row>
      <xdr:rowOff>89713</xdr:rowOff>
    </xdr:from>
    <xdr:to>
      <xdr:col>15</xdr:col>
      <xdr:colOff>274179</xdr:colOff>
      <xdr:row>14</xdr:row>
      <xdr:rowOff>96508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A35E3334-C1B4-F0B3-DA21-059130C15388}"/>
            </a:ext>
          </a:extLst>
        </xdr:cNvPr>
        <xdr:cNvCxnSpPr/>
      </xdr:nvCxnSpPr>
      <xdr:spPr>
        <a:xfrm flipV="1">
          <a:off x="4509018" y="2251888"/>
          <a:ext cx="1022961" cy="679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324689</xdr:colOff>
      <xdr:row>40</xdr:row>
      <xdr:rowOff>122997</xdr:rowOff>
    </xdr:from>
    <xdr:to>
      <xdr:col>7</xdr:col>
      <xdr:colOff>29151</xdr:colOff>
      <xdr:row>41</xdr:row>
      <xdr:rowOff>68979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2E4B559A-EBA3-B579-216B-9DBFC95C958F}"/>
            </a:ext>
          </a:extLst>
        </xdr:cNvPr>
        <xdr:cNvGrpSpPr/>
      </xdr:nvGrpSpPr>
      <xdr:grpSpPr>
        <a:xfrm>
          <a:off x="2163428" y="6161019"/>
          <a:ext cx="85462" cy="9506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2" name="Oval 71">
            <a:extLst>
              <a:ext uri="{FF2B5EF4-FFF2-40B4-BE49-F238E27FC236}">
                <a16:creationId xmlns:a16="http://schemas.microsoft.com/office/drawing/2014/main" id="{D627D059-B2DB-D99A-C3DA-4AFC36407A6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3" name="Straight Connector 72">
            <a:extLst>
              <a:ext uri="{FF2B5EF4-FFF2-40B4-BE49-F238E27FC236}">
                <a16:creationId xmlns:a16="http://schemas.microsoft.com/office/drawing/2014/main" id="{CF683A47-C68D-79DF-02C0-641D6BC34D30}"/>
              </a:ext>
            </a:extLst>
          </xdr:cNvPr>
          <xdr:cNvCxnSpPr>
            <a:stCxn id="72" idx="1"/>
            <a:endCxn id="7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984FA2E3-335D-9CF5-FF96-95A600D9A6C0}"/>
              </a:ext>
            </a:extLst>
          </xdr:cNvPr>
          <xdr:cNvCxnSpPr>
            <a:stCxn id="72" idx="3"/>
            <a:endCxn id="7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60938</xdr:colOff>
      <xdr:row>40</xdr:row>
      <xdr:rowOff>125022</xdr:rowOff>
    </xdr:from>
    <xdr:to>
      <xdr:col>8</xdr:col>
      <xdr:colOff>147745</xdr:colOff>
      <xdr:row>41</xdr:row>
      <xdr:rowOff>71004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2173A8EA-BA11-AD90-0ECC-954795318FC2}"/>
            </a:ext>
          </a:extLst>
        </xdr:cNvPr>
        <xdr:cNvGrpSpPr/>
      </xdr:nvGrpSpPr>
      <xdr:grpSpPr>
        <a:xfrm>
          <a:off x="2661677" y="6163044"/>
          <a:ext cx="86807" cy="95069"/>
          <a:chOff x="3725636" y="1945820"/>
          <a:chExt cx="153760" cy="144237"/>
        </a:xfrm>
        <a:noFill/>
      </xdr:grpSpPr>
      <xdr:sp macro="" textlink="">
        <xdr:nvSpPr>
          <xdr:cNvPr id="69" name="Oval 68">
            <a:extLst>
              <a:ext uri="{FF2B5EF4-FFF2-40B4-BE49-F238E27FC236}">
                <a16:creationId xmlns:a16="http://schemas.microsoft.com/office/drawing/2014/main" id="{7D6B541E-C8F8-198A-FD76-F3F92156CD8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0" name="Straight Connector 69">
            <a:extLst>
              <a:ext uri="{FF2B5EF4-FFF2-40B4-BE49-F238E27FC236}">
                <a16:creationId xmlns:a16="http://schemas.microsoft.com/office/drawing/2014/main" id="{D6A6733D-C8BE-0F91-0D39-9653073E4D5B}"/>
              </a:ext>
            </a:extLst>
          </xdr:cNvPr>
          <xdr:cNvCxnSpPr>
            <a:stCxn id="69" idx="1"/>
            <a:endCxn id="6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Straight Connector 70">
            <a:extLst>
              <a:ext uri="{FF2B5EF4-FFF2-40B4-BE49-F238E27FC236}">
                <a16:creationId xmlns:a16="http://schemas.microsoft.com/office/drawing/2014/main" id="{82747B68-3FB6-9CED-9518-9F298FC24D93}"/>
              </a:ext>
            </a:extLst>
          </xdr:cNvPr>
          <xdr:cNvCxnSpPr>
            <a:stCxn id="69" idx="3"/>
            <a:endCxn id="6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111144</xdr:colOff>
      <xdr:row>38</xdr:row>
      <xdr:rowOff>141637</xdr:rowOff>
    </xdr:from>
    <xdr:to>
      <xdr:col>10</xdr:col>
      <xdr:colOff>196044</xdr:colOff>
      <xdr:row>39</xdr:row>
      <xdr:rowOff>87619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B69D30DA-A132-2B7B-A535-9D04829B9C17}"/>
            </a:ext>
          </a:extLst>
        </xdr:cNvPr>
        <xdr:cNvGrpSpPr/>
      </xdr:nvGrpSpPr>
      <xdr:grpSpPr>
        <a:xfrm>
          <a:off x="3473883" y="5881485"/>
          <a:ext cx="84900" cy="9506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6" name="Oval 65">
            <a:extLst>
              <a:ext uri="{FF2B5EF4-FFF2-40B4-BE49-F238E27FC236}">
                <a16:creationId xmlns:a16="http://schemas.microsoft.com/office/drawing/2014/main" id="{10FC9EAF-4C13-BE96-48C7-BEA5F8DEC6E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F4EC4E9C-0A2B-CDBA-245B-680EF392FF94}"/>
              </a:ext>
            </a:extLst>
          </xdr:cNvPr>
          <xdr:cNvCxnSpPr>
            <a:stCxn id="66" idx="1"/>
            <a:endCxn id="6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F1FE10C7-5C4C-9151-893F-994B5EEE6665}"/>
              </a:ext>
            </a:extLst>
          </xdr:cNvPr>
          <xdr:cNvCxnSpPr>
            <a:stCxn id="66" idx="3"/>
            <a:endCxn id="6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29150</xdr:colOff>
      <xdr:row>41</xdr:row>
      <xdr:rowOff>19789</xdr:rowOff>
    </xdr:from>
    <xdr:to>
      <xdr:col>8</xdr:col>
      <xdr:colOff>60938</xdr:colOff>
      <xdr:row>41</xdr:row>
      <xdr:rowOff>21813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2753E1D3-C9A3-423D-C827-0DFEF828CB9F}"/>
            </a:ext>
          </a:extLst>
        </xdr:cNvPr>
        <xdr:cNvCxnSpPr>
          <a:stCxn id="72" idx="6"/>
          <a:endCxn id="69" idx="2"/>
        </xdr:cNvCxnSpPr>
      </xdr:nvCxnSpPr>
      <xdr:spPr>
        <a:xfrm>
          <a:off x="2238950" y="6306289"/>
          <a:ext cx="412788" cy="2024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147745</xdr:colOff>
      <xdr:row>39</xdr:row>
      <xdr:rowOff>38428</xdr:rowOff>
    </xdr:from>
    <xdr:to>
      <xdr:col>10</xdr:col>
      <xdr:colOff>111145</xdr:colOff>
      <xdr:row>41</xdr:row>
      <xdr:rowOff>21813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583AFF61-733A-B7CF-0C54-EF04A0C68D3E}"/>
            </a:ext>
          </a:extLst>
        </xdr:cNvPr>
        <xdr:cNvCxnSpPr>
          <a:stCxn id="69" idx="6"/>
          <a:endCxn id="66" idx="2"/>
        </xdr:cNvCxnSpPr>
      </xdr:nvCxnSpPr>
      <xdr:spPr>
        <a:xfrm flipV="1">
          <a:off x="2738545" y="6020128"/>
          <a:ext cx="725400" cy="288185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135386</xdr:colOff>
      <xdr:row>37</xdr:row>
      <xdr:rowOff>152279</xdr:rowOff>
    </xdr:from>
    <xdr:to>
      <xdr:col>8</xdr:col>
      <xdr:colOff>221284</xdr:colOff>
      <xdr:row>38</xdr:row>
      <xdr:rowOff>88735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926B344-BD56-C85C-AFC0-3C8C6EA3F3C9}"/>
            </a:ext>
          </a:extLst>
        </xdr:cNvPr>
        <xdr:cNvGrpSpPr/>
      </xdr:nvGrpSpPr>
      <xdr:grpSpPr>
        <a:xfrm>
          <a:off x="2736125" y="5726475"/>
          <a:ext cx="85898" cy="10210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3" name="Oval 62">
            <a:extLst>
              <a:ext uri="{FF2B5EF4-FFF2-40B4-BE49-F238E27FC236}">
                <a16:creationId xmlns:a16="http://schemas.microsoft.com/office/drawing/2014/main" id="{BAEA9263-A487-E17A-2FC7-FD919826637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83295401-B9B5-8C94-78B8-F47069292D71}"/>
              </a:ext>
            </a:extLst>
          </xdr:cNvPr>
          <xdr:cNvCxnSpPr>
            <a:stCxn id="63" idx="1"/>
            <a:endCxn id="6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Connector 64">
            <a:extLst>
              <a:ext uri="{FF2B5EF4-FFF2-40B4-BE49-F238E27FC236}">
                <a16:creationId xmlns:a16="http://schemas.microsoft.com/office/drawing/2014/main" id="{2D2606B5-ADA4-B18F-2C67-6DB3CD53513C}"/>
              </a:ext>
            </a:extLst>
          </xdr:cNvPr>
          <xdr:cNvCxnSpPr>
            <a:stCxn id="63" idx="3"/>
            <a:endCxn id="6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103108</xdr:colOff>
      <xdr:row>38</xdr:row>
      <xdr:rowOff>39545</xdr:rowOff>
    </xdr:from>
    <xdr:to>
      <xdr:col>8</xdr:col>
      <xdr:colOff>135386</xdr:colOff>
      <xdr:row>40</xdr:row>
      <xdr:rowOff>125022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18AE3102-5717-D11C-59E8-1E14D08DA260}"/>
            </a:ext>
          </a:extLst>
        </xdr:cNvPr>
        <xdr:cNvCxnSpPr>
          <a:stCxn id="69" idx="0"/>
          <a:endCxn id="63" idx="2"/>
        </xdr:cNvCxnSpPr>
      </xdr:nvCxnSpPr>
      <xdr:spPr>
        <a:xfrm flipV="1">
          <a:off x="2693908" y="5868845"/>
          <a:ext cx="32278" cy="390277"/>
        </a:xfrm>
        <a:prstGeom prst="line">
          <a:avLst/>
        </a:prstGeom>
        <a:ln w="12700">
          <a:solidFill>
            <a:sysClr val="windowText" lastClr="000000"/>
          </a:solidFill>
          <a:prstDash val="lg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16463</xdr:colOff>
      <xdr:row>42</xdr:row>
      <xdr:rowOff>49349</xdr:rowOff>
    </xdr:from>
    <xdr:to>
      <xdr:col>17</xdr:col>
      <xdr:colOff>28790</xdr:colOff>
      <xdr:row>43</xdr:row>
      <xdr:rowOff>1294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3FFD234E-DB6F-0A14-93D9-09E37BA3C897}"/>
            </a:ext>
          </a:extLst>
        </xdr:cNvPr>
        <xdr:cNvGrpSpPr/>
      </xdr:nvGrpSpPr>
      <xdr:grpSpPr>
        <a:xfrm>
          <a:off x="1093202" y="6385545"/>
          <a:ext cx="4965327" cy="101032"/>
          <a:chOff x="1264164" y="8433954"/>
          <a:chExt cx="8970619" cy="184005"/>
        </a:xfrm>
      </xdr:grpSpPr>
      <xdr:cxnSp macro="">
        <xdr:nvCxnSpPr>
          <xdr:cNvPr id="61" name="Straight Connector 60">
            <a:extLst>
              <a:ext uri="{FF2B5EF4-FFF2-40B4-BE49-F238E27FC236}">
                <a16:creationId xmlns:a16="http://schemas.microsoft.com/office/drawing/2014/main" id="{A6461684-7431-E6BB-18A3-146EDE8BB995}"/>
              </a:ext>
            </a:extLst>
          </xdr:cNvPr>
          <xdr:cNvCxnSpPr/>
        </xdr:nvCxnSpPr>
        <xdr:spPr>
          <a:xfrm flipH="1" flipV="1">
            <a:off x="1270721" y="8433954"/>
            <a:ext cx="8964062" cy="0"/>
          </a:xfrm>
          <a:prstGeom prst="line">
            <a:avLst/>
          </a:prstGeom>
          <a:ln w="19050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F95E89E4-0AE6-4C64-27B0-A56932EB7017}"/>
              </a:ext>
            </a:extLst>
          </xdr:cNvPr>
          <xdr:cNvCxnSpPr/>
        </xdr:nvCxnSpPr>
        <xdr:spPr>
          <a:xfrm flipH="1" flipV="1">
            <a:off x="1264164" y="8617959"/>
            <a:ext cx="8964062" cy="0"/>
          </a:xfrm>
          <a:prstGeom prst="line">
            <a:avLst/>
          </a:prstGeom>
          <a:ln w="19050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6929</xdr:colOff>
      <xdr:row>44</xdr:row>
      <xdr:rowOff>57581</xdr:rowOff>
    </xdr:from>
    <xdr:to>
      <xdr:col>17</xdr:col>
      <xdr:colOff>19256</xdr:colOff>
      <xdr:row>45</xdr:row>
      <xdr:rowOff>9526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354CA0B5-9776-3504-8F9E-12454996735D}"/>
            </a:ext>
          </a:extLst>
        </xdr:cNvPr>
        <xdr:cNvGrpSpPr/>
      </xdr:nvGrpSpPr>
      <xdr:grpSpPr>
        <a:xfrm>
          <a:off x="1083668" y="6691951"/>
          <a:ext cx="4965327" cy="101032"/>
          <a:chOff x="1264164" y="8433954"/>
          <a:chExt cx="8970619" cy="184005"/>
        </a:xfrm>
      </xdr:grpSpPr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6623BEA8-B19B-C727-C4D3-75F7BEA0ACDE}"/>
              </a:ext>
            </a:extLst>
          </xdr:cNvPr>
          <xdr:cNvCxnSpPr/>
        </xdr:nvCxnSpPr>
        <xdr:spPr>
          <a:xfrm flipH="1" flipV="1">
            <a:off x="1270721" y="8433954"/>
            <a:ext cx="8964062" cy="0"/>
          </a:xfrm>
          <a:prstGeom prst="line">
            <a:avLst/>
          </a:prstGeom>
          <a:ln w="19050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Straight Connector 59">
            <a:extLst>
              <a:ext uri="{FF2B5EF4-FFF2-40B4-BE49-F238E27FC236}">
                <a16:creationId xmlns:a16="http://schemas.microsoft.com/office/drawing/2014/main" id="{56FA510B-9F98-9D27-A4EA-18B3960471F8}"/>
              </a:ext>
            </a:extLst>
          </xdr:cNvPr>
          <xdr:cNvCxnSpPr/>
        </xdr:nvCxnSpPr>
        <xdr:spPr>
          <a:xfrm flipH="1" flipV="1">
            <a:off x="1264164" y="8617959"/>
            <a:ext cx="8964062" cy="0"/>
          </a:xfrm>
          <a:prstGeom prst="line">
            <a:avLst/>
          </a:prstGeom>
          <a:ln w="19050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359258</xdr:colOff>
      <xdr:row>14</xdr:row>
      <xdr:rowOff>54727</xdr:rowOff>
    </xdr:from>
    <xdr:to>
      <xdr:col>13</xdr:col>
      <xdr:colOff>59646</xdr:colOff>
      <xdr:row>37</xdr:row>
      <xdr:rowOff>158796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F749FE12-F2B0-7206-D64B-8504F4AFE3A4}"/>
            </a:ext>
          </a:extLst>
        </xdr:cNvPr>
        <xdr:cNvCxnSpPr>
          <a:cxnSpLocks/>
        </xdr:cNvCxnSpPr>
      </xdr:nvCxnSpPr>
      <xdr:spPr>
        <a:xfrm flipV="1">
          <a:off x="2950058" y="2216902"/>
          <a:ext cx="1605388" cy="3609269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313930</xdr:colOff>
      <xdr:row>34</xdr:row>
      <xdr:rowOff>135708</xdr:rowOff>
    </xdr:from>
    <xdr:to>
      <xdr:col>9</xdr:col>
      <xdr:colOff>18828</xdr:colOff>
      <xdr:row>35</xdr:row>
      <xdr:rowOff>81689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C58D1AA-AF95-34B6-F402-BC7F49A79ED0}"/>
            </a:ext>
          </a:extLst>
        </xdr:cNvPr>
        <xdr:cNvGrpSpPr/>
      </xdr:nvGrpSpPr>
      <xdr:grpSpPr>
        <a:xfrm>
          <a:off x="2914669" y="5246078"/>
          <a:ext cx="85898" cy="95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6" name="Oval 55">
            <a:extLst>
              <a:ext uri="{FF2B5EF4-FFF2-40B4-BE49-F238E27FC236}">
                <a16:creationId xmlns:a16="http://schemas.microsoft.com/office/drawing/2014/main" id="{7453D7C2-9AF6-CC18-FD7A-FAB34F30C4A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7" name="Straight Connector 56">
            <a:extLst>
              <a:ext uri="{FF2B5EF4-FFF2-40B4-BE49-F238E27FC236}">
                <a16:creationId xmlns:a16="http://schemas.microsoft.com/office/drawing/2014/main" id="{7494B763-9F32-E0C7-F6F6-1C6AE1CC21DD}"/>
              </a:ext>
            </a:extLst>
          </xdr:cNvPr>
          <xdr:cNvCxnSpPr>
            <a:stCxn id="56" idx="1"/>
            <a:endCxn id="5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39F539D9-16B1-7338-DE58-ADFC02450E06}"/>
              </a:ext>
            </a:extLst>
          </xdr:cNvPr>
          <xdr:cNvCxnSpPr>
            <a:stCxn id="56" idx="3"/>
            <a:endCxn id="5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122633</xdr:colOff>
      <xdr:row>31</xdr:row>
      <xdr:rowOff>113816</xdr:rowOff>
    </xdr:from>
    <xdr:to>
      <xdr:col>9</xdr:col>
      <xdr:colOff>208531</xdr:colOff>
      <xdr:row>32</xdr:row>
      <xdr:rowOff>59797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6107BF09-61F7-4BEE-DBB1-F0907FAE005F}"/>
            </a:ext>
          </a:extLst>
        </xdr:cNvPr>
        <xdr:cNvGrpSpPr/>
      </xdr:nvGrpSpPr>
      <xdr:grpSpPr>
        <a:xfrm>
          <a:off x="3104372" y="4776925"/>
          <a:ext cx="85898" cy="95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3" name="Oval 52">
            <a:extLst>
              <a:ext uri="{FF2B5EF4-FFF2-40B4-BE49-F238E27FC236}">
                <a16:creationId xmlns:a16="http://schemas.microsoft.com/office/drawing/2014/main" id="{46062DF5-CA37-A64A-D670-16B03A44CC9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A75055E8-7EE8-A573-93E9-4AA5C06EDF4B}"/>
              </a:ext>
            </a:extLst>
          </xdr:cNvPr>
          <xdr:cNvCxnSpPr>
            <a:stCxn id="53" idx="1"/>
            <a:endCxn id="5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90396D5A-CD19-2006-92FF-FCE026351315}"/>
              </a:ext>
            </a:extLst>
          </xdr:cNvPr>
          <xdr:cNvCxnSpPr>
            <a:stCxn id="53" idx="3"/>
            <a:endCxn id="5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135386</xdr:colOff>
      <xdr:row>34</xdr:row>
      <xdr:rowOff>150116</xdr:rowOff>
    </xdr:from>
    <xdr:to>
      <xdr:col>8</xdr:col>
      <xdr:colOff>326509</xdr:colOff>
      <xdr:row>38</xdr:row>
      <xdr:rowOff>39545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BA568B8C-50B9-800C-22AD-726D592D088D}"/>
            </a:ext>
          </a:extLst>
        </xdr:cNvPr>
        <xdr:cNvCxnSpPr>
          <a:stCxn id="63" idx="2"/>
          <a:endCxn id="56" idx="1"/>
        </xdr:cNvCxnSpPr>
      </xdr:nvCxnSpPr>
      <xdr:spPr>
        <a:xfrm flipV="1">
          <a:off x="2726186" y="5350766"/>
          <a:ext cx="191123" cy="518079"/>
        </a:xfrm>
        <a:prstGeom prst="line">
          <a:avLst/>
        </a:prstGeom>
        <a:ln>
          <a:solidFill>
            <a:sysClr val="windowText" lastClr="00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326509</xdr:colOff>
      <xdr:row>32</xdr:row>
      <xdr:rowOff>10607</xdr:rowOff>
    </xdr:from>
    <xdr:to>
      <xdr:col>9</xdr:col>
      <xdr:colOff>122632</xdr:colOff>
      <xdr:row>34</xdr:row>
      <xdr:rowOff>150116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042BD77-E939-9F58-0F23-2C691DFB5473}"/>
            </a:ext>
          </a:extLst>
        </xdr:cNvPr>
        <xdr:cNvCxnSpPr>
          <a:stCxn id="56" idx="1"/>
          <a:endCxn id="53" idx="2"/>
        </xdr:cNvCxnSpPr>
      </xdr:nvCxnSpPr>
      <xdr:spPr>
        <a:xfrm flipV="1">
          <a:off x="2917309" y="4906457"/>
          <a:ext cx="177123" cy="444309"/>
        </a:xfrm>
        <a:prstGeom prst="line">
          <a:avLst/>
        </a:prstGeom>
        <a:ln>
          <a:solidFill>
            <a:sysClr val="windowText" lastClr="00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360757</xdr:colOff>
      <xdr:row>28</xdr:row>
      <xdr:rowOff>57826</xdr:rowOff>
    </xdr:from>
    <xdr:to>
      <xdr:col>10</xdr:col>
      <xdr:colOff>68123</xdr:colOff>
      <xdr:row>29</xdr:row>
      <xdr:rowOff>3807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93DDE59E-B03B-6013-64B9-A47A5B88291F}"/>
            </a:ext>
          </a:extLst>
        </xdr:cNvPr>
        <xdr:cNvGrpSpPr/>
      </xdr:nvGrpSpPr>
      <xdr:grpSpPr>
        <a:xfrm>
          <a:off x="3342496" y="4281956"/>
          <a:ext cx="88366" cy="95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0" name="Oval 49">
            <a:extLst>
              <a:ext uri="{FF2B5EF4-FFF2-40B4-BE49-F238E27FC236}">
                <a16:creationId xmlns:a16="http://schemas.microsoft.com/office/drawing/2014/main" id="{907A251A-2A8B-39E5-940F-7E09F97398B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D1197257-A73D-3180-FBD4-12B3B68CCE91}"/>
              </a:ext>
            </a:extLst>
          </xdr:cNvPr>
          <xdr:cNvCxnSpPr>
            <a:stCxn id="50" idx="1"/>
            <a:endCxn id="5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E5DF7C72-05B7-A487-3AE6-736834ECFAB6}"/>
              </a:ext>
            </a:extLst>
          </xdr:cNvPr>
          <xdr:cNvCxnSpPr>
            <a:stCxn id="50" idx="3"/>
            <a:endCxn id="5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135212</xdr:colOff>
      <xdr:row>28</xdr:row>
      <xdr:rowOff>107017</xdr:rowOff>
    </xdr:from>
    <xdr:to>
      <xdr:col>9</xdr:col>
      <xdr:colOff>360757</xdr:colOff>
      <xdr:row>31</xdr:row>
      <xdr:rowOff>128224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195F4749-CCE6-E2B8-A4B4-6438FD2D731B}"/>
            </a:ext>
          </a:extLst>
        </xdr:cNvPr>
        <xdr:cNvCxnSpPr>
          <a:stCxn id="53" idx="1"/>
          <a:endCxn id="50" idx="2"/>
        </xdr:cNvCxnSpPr>
      </xdr:nvCxnSpPr>
      <xdr:spPr>
        <a:xfrm flipV="1">
          <a:off x="3107012" y="4402792"/>
          <a:ext cx="225545" cy="468882"/>
        </a:xfrm>
        <a:prstGeom prst="line">
          <a:avLst/>
        </a:prstGeom>
        <a:ln>
          <a:solidFill>
            <a:sysClr val="windowText" lastClr="00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207121</xdr:colOff>
      <xdr:row>25</xdr:row>
      <xdr:rowOff>15404</xdr:rowOff>
    </xdr:from>
    <xdr:to>
      <xdr:col>10</xdr:col>
      <xdr:colOff>293019</xdr:colOff>
      <xdr:row>25</xdr:row>
      <xdr:rowOff>113785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84EBE585-0C42-D975-F9DC-56562A4149A7}"/>
            </a:ext>
          </a:extLst>
        </xdr:cNvPr>
        <xdr:cNvGrpSpPr/>
      </xdr:nvGrpSpPr>
      <xdr:grpSpPr>
        <a:xfrm>
          <a:off x="3569860" y="3792274"/>
          <a:ext cx="85898" cy="983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7" name="Oval 46">
            <a:extLst>
              <a:ext uri="{FF2B5EF4-FFF2-40B4-BE49-F238E27FC236}">
                <a16:creationId xmlns:a16="http://schemas.microsoft.com/office/drawing/2014/main" id="{D9118915-70A2-C2B9-5097-F0EE4C8DFE1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12C2AE2A-EED4-BBD5-3D46-FB2E15D2010B}"/>
              </a:ext>
            </a:extLst>
          </xdr:cNvPr>
          <xdr:cNvCxnSpPr>
            <a:stCxn id="47" idx="1"/>
            <a:endCxn id="4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48">
            <a:extLst>
              <a:ext uri="{FF2B5EF4-FFF2-40B4-BE49-F238E27FC236}">
                <a16:creationId xmlns:a16="http://schemas.microsoft.com/office/drawing/2014/main" id="{E97FDFD4-2428-29B3-35AD-673A291AA4F7}"/>
              </a:ext>
            </a:extLst>
          </xdr:cNvPr>
          <xdr:cNvCxnSpPr>
            <a:stCxn id="47" idx="3"/>
            <a:endCxn id="4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360757</xdr:colOff>
      <xdr:row>25</xdr:row>
      <xdr:rowOff>64595</xdr:rowOff>
    </xdr:from>
    <xdr:to>
      <xdr:col>10</xdr:col>
      <xdr:colOff>207121</xdr:colOff>
      <xdr:row>28</xdr:row>
      <xdr:rowOff>107017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A810C544-95DD-0F68-51DB-2D07EFB01F40}"/>
            </a:ext>
          </a:extLst>
        </xdr:cNvPr>
        <xdr:cNvCxnSpPr>
          <a:stCxn id="50" idx="2"/>
          <a:endCxn id="47" idx="2"/>
        </xdr:cNvCxnSpPr>
      </xdr:nvCxnSpPr>
      <xdr:spPr>
        <a:xfrm flipV="1">
          <a:off x="3332557" y="3903170"/>
          <a:ext cx="227364" cy="499622"/>
        </a:xfrm>
        <a:prstGeom prst="line">
          <a:avLst/>
        </a:prstGeom>
        <a:ln>
          <a:solidFill>
            <a:sysClr val="windowText" lastClr="00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45073</xdr:colOff>
      <xdr:row>22</xdr:row>
      <xdr:rowOff>6739</xdr:rowOff>
    </xdr:from>
    <xdr:to>
      <xdr:col>11</xdr:col>
      <xdr:colOff>130971</xdr:colOff>
      <xdr:row>22</xdr:row>
      <xdr:rowOff>105120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E151235F-6DFC-ED55-6141-FCC806AFA515}"/>
            </a:ext>
          </a:extLst>
        </xdr:cNvPr>
        <xdr:cNvGrpSpPr/>
      </xdr:nvGrpSpPr>
      <xdr:grpSpPr>
        <a:xfrm>
          <a:off x="3788812" y="3336348"/>
          <a:ext cx="85898" cy="983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4" name="Oval 43">
            <a:extLst>
              <a:ext uri="{FF2B5EF4-FFF2-40B4-BE49-F238E27FC236}">
                <a16:creationId xmlns:a16="http://schemas.microsoft.com/office/drawing/2014/main" id="{D2BF0451-8213-32BA-C809-138D4CFBDAA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8B2E7AFB-A508-2745-5D63-C3EC832CBA5D}"/>
              </a:ext>
            </a:extLst>
          </xdr:cNvPr>
          <xdr:cNvCxnSpPr>
            <a:stCxn id="44" idx="1"/>
            <a:endCxn id="4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C28499F7-B44C-6ADE-D70E-86290354A1DB}"/>
              </a:ext>
            </a:extLst>
          </xdr:cNvPr>
          <xdr:cNvCxnSpPr>
            <a:stCxn id="44" idx="3"/>
            <a:endCxn id="4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279504</xdr:colOff>
      <xdr:row>18</xdr:row>
      <xdr:rowOff>96460</xdr:rowOff>
    </xdr:from>
    <xdr:to>
      <xdr:col>11</xdr:col>
      <xdr:colOff>367870</xdr:colOff>
      <xdr:row>19</xdr:row>
      <xdr:rowOff>42441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2BD94E1F-860F-0D30-9D2C-5AB1D877B66C}"/>
            </a:ext>
          </a:extLst>
        </xdr:cNvPr>
        <xdr:cNvGrpSpPr/>
      </xdr:nvGrpSpPr>
      <xdr:grpSpPr>
        <a:xfrm>
          <a:off x="4023243" y="2829721"/>
          <a:ext cx="88366" cy="95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1" name="Oval 40">
            <a:extLst>
              <a:ext uri="{FF2B5EF4-FFF2-40B4-BE49-F238E27FC236}">
                <a16:creationId xmlns:a16="http://schemas.microsoft.com/office/drawing/2014/main" id="{2645DB20-02C5-CFD1-F4E9-96C360A039E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2" name="Straight Connector 41">
            <a:extLst>
              <a:ext uri="{FF2B5EF4-FFF2-40B4-BE49-F238E27FC236}">
                <a16:creationId xmlns:a16="http://schemas.microsoft.com/office/drawing/2014/main" id="{58612771-908D-205F-F971-F24BAA34396D}"/>
              </a:ext>
            </a:extLst>
          </xdr:cNvPr>
          <xdr:cNvCxnSpPr>
            <a:stCxn id="41" idx="1"/>
            <a:endCxn id="4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4EB110FF-610A-2A2A-8D6A-4A2953FAB138}"/>
              </a:ext>
            </a:extLst>
          </xdr:cNvPr>
          <xdr:cNvCxnSpPr>
            <a:stCxn id="41" idx="3"/>
            <a:endCxn id="4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144375</xdr:colOff>
      <xdr:row>15</xdr:row>
      <xdr:rowOff>27031</xdr:rowOff>
    </xdr:from>
    <xdr:to>
      <xdr:col>12</xdr:col>
      <xdr:colOff>230273</xdr:colOff>
      <xdr:row>15</xdr:row>
      <xdr:rowOff>125412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931179C6-51A3-5148-D62C-8F1393D9FDD8}"/>
            </a:ext>
          </a:extLst>
        </xdr:cNvPr>
        <xdr:cNvGrpSpPr/>
      </xdr:nvGrpSpPr>
      <xdr:grpSpPr>
        <a:xfrm>
          <a:off x="4269114" y="2313031"/>
          <a:ext cx="85898" cy="983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8" name="Oval 37">
            <a:extLst>
              <a:ext uri="{FF2B5EF4-FFF2-40B4-BE49-F238E27FC236}">
                <a16:creationId xmlns:a16="http://schemas.microsoft.com/office/drawing/2014/main" id="{1AE813A8-BC07-B579-E000-35EA88D25A5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4E3EA776-7190-7CDE-4011-418A7BAD8E46}"/>
              </a:ext>
            </a:extLst>
          </xdr:cNvPr>
          <xdr:cNvCxnSpPr>
            <a:stCxn id="38" idx="1"/>
            <a:endCxn id="3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8416C14E-F72D-9566-39B7-8DB01D166438}"/>
              </a:ext>
            </a:extLst>
          </xdr:cNvPr>
          <xdr:cNvCxnSpPr>
            <a:stCxn id="38" idx="3"/>
            <a:endCxn id="3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219701</xdr:colOff>
      <xdr:row>22</xdr:row>
      <xdr:rowOff>21147</xdr:rowOff>
    </xdr:from>
    <xdr:to>
      <xdr:col>11</xdr:col>
      <xdr:colOff>57653</xdr:colOff>
      <xdr:row>25</xdr:row>
      <xdr:rowOff>29812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712041B3-1B4E-4E16-DE13-154A2EFA779C}"/>
            </a:ext>
          </a:extLst>
        </xdr:cNvPr>
        <xdr:cNvCxnSpPr>
          <a:stCxn id="47" idx="1"/>
          <a:endCxn id="44" idx="1"/>
        </xdr:cNvCxnSpPr>
      </xdr:nvCxnSpPr>
      <xdr:spPr>
        <a:xfrm flipV="1">
          <a:off x="3572501" y="3402522"/>
          <a:ext cx="218952" cy="465865"/>
        </a:xfrm>
        <a:prstGeom prst="line">
          <a:avLst/>
        </a:prstGeom>
        <a:ln>
          <a:solidFill>
            <a:sysClr val="windowText" lastClr="00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292445</xdr:colOff>
      <xdr:row>15</xdr:row>
      <xdr:rowOff>76222</xdr:rowOff>
    </xdr:from>
    <xdr:to>
      <xdr:col>12</xdr:col>
      <xdr:colOff>144375</xdr:colOff>
      <xdr:row>18</xdr:row>
      <xdr:rowOff>110868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41CE45FD-05C3-A891-D045-A6B7C9AC43E5}"/>
            </a:ext>
          </a:extLst>
        </xdr:cNvPr>
        <xdr:cNvCxnSpPr>
          <a:stCxn id="41" idx="1"/>
          <a:endCxn id="38" idx="2"/>
        </xdr:cNvCxnSpPr>
      </xdr:nvCxnSpPr>
      <xdr:spPr>
        <a:xfrm flipV="1">
          <a:off x="4026245" y="2390797"/>
          <a:ext cx="232930" cy="491846"/>
        </a:xfrm>
        <a:prstGeom prst="line">
          <a:avLst/>
        </a:prstGeom>
        <a:ln>
          <a:solidFill>
            <a:sysClr val="windowText" lastClr="00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57653</xdr:colOff>
      <xdr:row>18</xdr:row>
      <xdr:rowOff>145651</xdr:rowOff>
    </xdr:from>
    <xdr:to>
      <xdr:col>11</xdr:col>
      <xdr:colOff>279504</xdr:colOff>
      <xdr:row>22</xdr:row>
      <xdr:rowOff>21147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E4DB6F45-B72B-A82D-6FE5-6D2B457882EC}"/>
            </a:ext>
          </a:extLst>
        </xdr:cNvPr>
        <xdr:cNvCxnSpPr>
          <a:stCxn id="44" idx="1"/>
          <a:endCxn id="41" idx="2"/>
        </xdr:cNvCxnSpPr>
      </xdr:nvCxnSpPr>
      <xdr:spPr>
        <a:xfrm flipV="1">
          <a:off x="3791453" y="2917426"/>
          <a:ext cx="221851" cy="485096"/>
        </a:xfrm>
        <a:prstGeom prst="line">
          <a:avLst/>
        </a:prstGeom>
        <a:ln>
          <a:solidFill>
            <a:sysClr val="windowText" lastClr="00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185350</xdr:colOff>
      <xdr:row>15</xdr:row>
      <xdr:rowOff>27031</xdr:rowOff>
    </xdr:from>
    <xdr:to>
      <xdr:col>13</xdr:col>
      <xdr:colOff>273716</xdr:colOff>
      <xdr:row>15</xdr:row>
      <xdr:rowOff>125412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8658CC79-37F0-66EF-759E-15EB51CEA7B3}"/>
            </a:ext>
          </a:extLst>
        </xdr:cNvPr>
        <xdr:cNvGrpSpPr/>
      </xdr:nvGrpSpPr>
      <xdr:grpSpPr>
        <a:xfrm>
          <a:off x="4691089" y="2313031"/>
          <a:ext cx="88366" cy="983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5" name="Oval 34">
            <a:extLst>
              <a:ext uri="{FF2B5EF4-FFF2-40B4-BE49-F238E27FC236}">
                <a16:creationId xmlns:a16="http://schemas.microsoft.com/office/drawing/2014/main" id="{3D38C6E8-7A71-DD21-3D6A-B4E096DDDCB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C0247BBB-92F9-7305-91C9-9910B3853F9B}"/>
              </a:ext>
            </a:extLst>
          </xdr:cNvPr>
          <xdr:cNvCxnSpPr>
            <a:stCxn id="35" idx="1"/>
            <a:endCxn id="3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C5A67792-94C2-F1A3-D141-02BFA22D40BE}"/>
              </a:ext>
            </a:extLst>
          </xdr:cNvPr>
          <xdr:cNvCxnSpPr>
            <a:stCxn id="35" idx="3"/>
            <a:endCxn id="3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187325</xdr:colOff>
      <xdr:row>15</xdr:row>
      <xdr:rowOff>27031</xdr:rowOff>
    </xdr:from>
    <xdr:to>
      <xdr:col>13</xdr:col>
      <xdr:colOff>228299</xdr:colOff>
      <xdr:row>15</xdr:row>
      <xdr:rowOff>27031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D4B9BE6B-1DD8-AC1E-DD81-27B6FA2B2F21}"/>
            </a:ext>
          </a:extLst>
        </xdr:cNvPr>
        <xdr:cNvCxnSpPr>
          <a:stCxn id="35" idx="0"/>
          <a:endCxn id="38" idx="0"/>
        </xdr:cNvCxnSpPr>
      </xdr:nvCxnSpPr>
      <xdr:spPr>
        <a:xfrm flipH="1">
          <a:off x="4302125" y="2341606"/>
          <a:ext cx="421974" cy="0"/>
        </a:xfrm>
        <a:prstGeom prst="line">
          <a:avLst/>
        </a:prstGeom>
        <a:ln>
          <a:solidFill>
            <a:sysClr val="windowText" lastClr="00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46314</xdr:colOff>
      <xdr:row>19</xdr:row>
      <xdr:rowOff>68355</xdr:rowOff>
    </xdr:from>
    <xdr:to>
      <xdr:col>16</xdr:col>
      <xdr:colOff>168874</xdr:colOff>
      <xdr:row>22</xdr:row>
      <xdr:rowOff>81374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 rot="987031">
          <a:off x="4542114" y="2992530"/>
          <a:ext cx="1265560" cy="470219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ALFAMART</a:t>
          </a:r>
        </a:p>
      </xdr:txBody>
    </xdr:sp>
    <xdr:clientData/>
  </xdr:twoCellAnchor>
  <xdr:twoCellAnchor>
    <xdr:from>
      <xdr:col>11</xdr:col>
      <xdr:colOff>78499</xdr:colOff>
      <xdr:row>17</xdr:row>
      <xdr:rowOff>141890</xdr:rowOff>
    </xdr:from>
    <xdr:to>
      <xdr:col>11</xdr:col>
      <xdr:colOff>221374</xdr:colOff>
      <xdr:row>18</xdr:row>
      <xdr:rowOff>141889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3D9459FA-1445-4DA4-B88B-3D1612AAD79E}"/>
            </a:ext>
          </a:extLst>
        </xdr:cNvPr>
        <xdr:cNvSpPr/>
      </xdr:nvSpPr>
      <xdr:spPr>
        <a:xfrm>
          <a:off x="3816240" y="2749769"/>
          <a:ext cx="142875" cy="15108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266700</xdr:colOff>
      <xdr:row>19</xdr:row>
      <xdr:rowOff>133350</xdr:rowOff>
    </xdr:from>
    <xdr:to>
      <xdr:col>12</xdr:col>
      <xdr:colOff>355066</xdr:colOff>
      <xdr:row>20</xdr:row>
      <xdr:rowOff>79331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69CAC000-3813-4E82-9BF9-03690A6CA1DF}"/>
            </a:ext>
          </a:extLst>
        </xdr:cNvPr>
        <xdr:cNvGrpSpPr/>
      </xdr:nvGrpSpPr>
      <xdr:grpSpPr>
        <a:xfrm>
          <a:off x="4391439" y="3015698"/>
          <a:ext cx="88366" cy="95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BF610E76-B3CC-6A82-BA3A-57CA9F5DD2D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FE911FD2-F4C1-06EF-D695-E16CAFEE2DF3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E886EC16-0AAC-B80A-9EBD-F1BCC6B91B5A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367870</xdr:colOff>
      <xdr:row>18</xdr:row>
      <xdr:rowOff>144994</xdr:rowOff>
    </xdr:from>
    <xdr:to>
      <xdr:col>12</xdr:col>
      <xdr:colOff>310883</xdr:colOff>
      <xdr:row>19</xdr:row>
      <xdr:rowOff>133350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20D4AB13-ECD4-4F8E-8618-6377F937A8BF}"/>
            </a:ext>
          </a:extLst>
        </xdr:cNvPr>
        <xdr:cNvCxnSpPr>
          <a:stCxn id="77" idx="0"/>
          <a:endCxn id="41" idx="6"/>
        </xdr:cNvCxnSpPr>
      </xdr:nvCxnSpPr>
      <xdr:spPr>
        <a:xfrm flipH="1" flipV="1">
          <a:off x="4105611" y="2903960"/>
          <a:ext cx="324013" cy="13944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219808</xdr:colOff>
      <xdr:row>16</xdr:row>
      <xdr:rowOff>65941</xdr:rowOff>
    </xdr:from>
    <xdr:to>
      <xdr:col>11</xdr:col>
      <xdr:colOff>7327</xdr:colOff>
      <xdr:row>21</xdr:row>
      <xdr:rowOff>65942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5B123E80-7AA3-4586-91D6-898B445084BE}"/>
            </a:ext>
          </a:extLst>
        </xdr:cNvPr>
        <xdr:cNvSpPr/>
      </xdr:nvSpPr>
      <xdr:spPr>
        <a:xfrm>
          <a:off x="3194539" y="2549768"/>
          <a:ext cx="549519" cy="769328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endParaRPr lang="en-US" sz="600">
            <a:solidFill>
              <a:schemeClr val="tx1"/>
            </a:solidFill>
          </a:endParaRPr>
        </a:p>
        <a:p>
          <a:pPr algn="l"/>
          <a:r>
            <a:rPr lang="en-US" sz="600">
              <a:solidFill>
                <a:schemeClr val="tx1"/>
              </a:solidFill>
            </a:rPr>
            <a:t>1 C12-200</a:t>
          </a:r>
        </a:p>
        <a:p>
          <a:pPr algn="l"/>
          <a:r>
            <a:rPr lang="en-US" sz="600">
              <a:solidFill>
                <a:schemeClr val="tx1"/>
              </a:solidFill>
            </a:rPr>
            <a:t>1 CA1 </a:t>
          </a:r>
        </a:p>
        <a:p>
          <a:pPr algn="l"/>
          <a:r>
            <a:rPr lang="en-US" sz="600">
              <a:solidFill>
                <a:srgbClr val="FF0000"/>
              </a:solidFill>
            </a:rPr>
            <a:t>1 CG105</a:t>
          </a:r>
        </a:p>
        <a:p>
          <a:pPr algn="l"/>
          <a:r>
            <a:rPr lang="en-US" sz="600">
              <a:solidFill>
                <a:srgbClr val="FF0000"/>
              </a:solidFill>
            </a:rPr>
            <a:t>1</a:t>
          </a:r>
          <a:r>
            <a:rPr lang="en-US" sz="600" baseline="0">
              <a:solidFill>
                <a:srgbClr val="FF0000"/>
              </a:solidFill>
            </a:rPr>
            <a:t> CM5-9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CM2-11M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CJ6-T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337039</xdr:colOff>
      <xdr:row>20</xdr:row>
      <xdr:rowOff>139211</xdr:rowOff>
    </xdr:from>
    <xdr:to>
      <xdr:col>13</xdr:col>
      <xdr:colOff>73270</xdr:colOff>
      <xdr:row>24</xdr:row>
      <xdr:rowOff>51288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1268EA2B-4116-4A91-BA97-F944E1C471D7}"/>
            </a:ext>
          </a:extLst>
        </xdr:cNvPr>
        <xdr:cNvSpPr/>
      </xdr:nvSpPr>
      <xdr:spPr>
        <a:xfrm>
          <a:off x="4073770" y="3238499"/>
          <a:ext cx="498231" cy="527539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endParaRPr lang="en-US" sz="600">
            <a:solidFill>
              <a:schemeClr val="tx1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1 C9-200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MJ6-T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282466</xdr:colOff>
      <xdr:row>26</xdr:row>
      <xdr:rowOff>111672</xdr:rowOff>
    </xdr:from>
    <xdr:to>
      <xdr:col>8</xdr:col>
      <xdr:colOff>368364</xdr:colOff>
      <xdr:row>27</xdr:row>
      <xdr:rowOff>58967</xdr:rowOff>
    </xdr:to>
    <xdr:grpSp>
      <xdr:nvGrpSpPr>
        <xdr:cNvPr id="82" name="Group 81">
          <a:extLst>
            <a:ext uri="{FF2B5EF4-FFF2-40B4-BE49-F238E27FC236}">
              <a16:creationId xmlns:a16="http://schemas.microsoft.com/office/drawing/2014/main" id="{88244219-CAD6-4201-BDD4-448F2399F7F5}"/>
            </a:ext>
          </a:extLst>
        </xdr:cNvPr>
        <xdr:cNvGrpSpPr/>
      </xdr:nvGrpSpPr>
      <xdr:grpSpPr>
        <a:xfrm>
          <a:off x="2883205" y="4037629"/>
          <a:ext cx="85898" cy="963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3" name="Oval 82">
            <a:extLst>
              <a:ext uri="{FF2B5EF4-FFF2-40B4-BE49-F238E27FC236}">
                <a16:creationId xmlns:a16="http://schemas.microsoft.com/office/drawing/2014/main" id="{962D9044-37E6-48BB-91B8-2929047B135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B9924989-63C9-E02D-E05C-377994FF5FAF}"/>
              </a:ext>
            </a:extLst>
          </xdr:cNvPr>
          <xdr:cNvCxnSpPr>
            <a:stCxn id="83" idx="1"/>
            <a:endCxn id="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65AD2418-E238-DED6-BFD7-FEAA85ADF64C}"/>
              </a:ext>
            </a:extLst>
          </xdr:cNvPr>
          <xdr:cNvCxnSpPr>
            <a:stCxn id="83" idx="3"/>
            <a:endCxn id="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131379</xdr:colOff>
      <xdr:row>25</xdr:row>
      <xdr:rowOff>6570</xdr:rowOff>
    </xdr:from>
    <xdr:to>
      <xdr:col>7</xdr:col>
      <xdr:colOff>217277</xdr:colOff>
      <xdr:row>25</xdr:row>
      <xdr:rowOff>104951</xdr:rowOff>
    </xdr:to>
    <xdr:grpSp>
      <xdr:nvGrpSpPr>
        <xdr:cNvPr id="88" name="Group 87">
          <a:extLst>
            <a:ext uri="{FF2B5EF4-FFF2-40B4-BE49-F238E27FC236}">
              <a16:creationId xmlns:a16="http://schemas.microsoft.com/office/drawing/2014/main" id="{4A33A23C-8470-4BF5-9152-21DF4E727932}"/>
            </a:ext>
          </a:extLst>
        </xdr:cNvPr>
        <xdr:cNvGrpSpPr/>
      </xdr:nvGrpSpPr>
      <xdr:grpSpPr>
        <a:xfrm>
          <a:off x="2351118" y="3783440"/>
          <a:ext cx="85898" cy="983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9" name="Oval 88">
            <a:extLst>
              <a:ext uri="{FF2B5EF4-FFF2-40B4-BE49-F238E27FC236}">
                <a16:creationId xmlns:a16="http://schemas.microsoft.com/office/drawing/2014/main" id="{155250E7-AE65-3185-3677-786EC349FC0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35101995-2C31-CE8B-54B0-768116464447}"/>
              </a:ext>
            </a:extLst>
          </xdr:cNvPr>
          <xdr:cNvCxnSpPr>
            <a:stCxn id="89" idx="1"/>
            <a:endCxn id="8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187B8FD9-EB6A-E3DC-3914-214F40EEA604}"/>
              </a:ext>
            </a:extLst>
          </xdr:cNvPr>
          <xdr:cNvCxnSpPr>
            <a:stCxn id="89" idx="3"/>
            <a:endCxn id="8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45983</xdr:colOff>
      <xdr:row>23</xdr:row>
      <xdr:rowOff>72259</xdr:rowOff>
    </xdr:from>
    <xdr:to>
      <xdr:col>6</xdr:col>
      <xdr:colOff>131881</xdr:colOff>
      <xdr:row>24</xdr:row>
      <xdr:rowOff>19554</xdr:rowOff>
    </xdr:to>
    <xdr:grpSp>
      <xdr:nvGrpSpPr>
        <xdr:cNvPr id="92" name="Group 91">
          <a:extLst>
            <a:ext uri="{FF2B5EF4-FFF2-40B4-BE49-F238E27FC236}">
              <a16:creationId xmlns:a16="http://schemas.microsoft.com/office/drawing/2014/main" id="{1B9A1F0A-CD47-4FB8-B05E-554B5F18AE3A}"/>
            </a:ext>
          </a:extLst>
        </xdr:cNvPr>
        <xdr:cNvGrpSpPr/>
      </xdr:nvGrpSpPr>
      <xdr:grpSpPr>
        <a:xfrm>
          <a:off x="1884722" y="3550955"/>
          <a:ext cx="85898" cy="9638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3" name="Oval 92">
            <a:extLst>
              <a:ext uri="{FF2B5EF4-FFF2-40B4-BE49-F238E27FC236}">
                <a16:creationId xmlns:a16="http://schemas.microsoft.com/office/drawing/2014/main" id="{BACACA66-C26E-7CE9-C0FC-146C880A80B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0B52A285-9A8A-4E87-C666-284FA955D3A2}"/>
              </a:ext>
            </a:extLst>
          </xdr:cNvPr>
          <xdr:cNvCxnSpPr>
            <a:stCxn id="93" idx="1"/>
            <a:endCxn id="9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EA364CC9-AE4C-CCB0-72F8-60BBFB43BDFD}"/>
              </a:ext>
            </a:extLst>
          </xdr:cNvPr>
          <xdr:cNvCxnSpPr>
            <a:stCxn id="93" idx="3"/>
            <a:endCxn id="9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354725</xdr:colOff>
      <xdr:row>21</xdr:row>
      <xdr:rowOff>118242</xdr:rowOff>
    </xdr:from>
    <xdr:to>
      <xdr:col>5</xdr:col>
      <xdr:colOff>59623</xdr:colOff>
      <xdr:row>22</xdr:row>
      <xdr:rowOff>65537</xdr:rowOff>
    </xdr:to>
    <xdr:grpSp>
      <xdr:nvGrpSpPr>
        <xdr:cNvPr id="96" name="Group 95">
          <a:extLst>
            <a:ext uri="{FF2B5EF4-FFF2-40B4-BE49-F238E27FC236}">
              <a16:creationId xmlns:a16="http://schemas.microsoft.com/office/drawing/2014/main" id="{C8C7068B-9087-4658-857D-7FB8841515C2}"/>
            </a:ext>
          </a:extLst>
        </xdr:cNvPr>
        <xdr:cNvGrpSpPr/>
      </xdr:nvGrpSpPr>
      <xdr:grpSpPr>
        <a:xfrm>
          <a:off x="1431464" y="3298764"/>
          <a:ext cx="85898" cy="9638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7" name="Oval 96">
            <a:extLst>
              <a:ext uri="{FF2B5EF4-FFF2-40B4-BE49-F238E27FC236}">
                <a16:creationId xmlns:a16="http://schemas.microsoft.com/office/drawing/2014/main" id="{4A6DBEDA-71B7-A783-97E7-061D16ED746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864F14FF-B773-8B5E-3ADD-FCF073B22D2A}"/>
              </a:ext>
            </a:extLst>
          </xdr:cNvPr>
          <xdr:cNvCxnSpPr>
            <a:stCxn id="97" idx="1"/>
            <a:endCxn id="9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2D871072-90FD-8A6F-DAA4-A7BEEABC3FE5}"/>
              </a:ext>
            </a:extLst>
          </xdr:cNvPr>
          <xdr:cNvCxnSpPr>
            <a:stCxn id="97" idx="3"/>
            <a:endCxn id="9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53613</xdr:colOff>
      <xdr:row>22</xdr:row>
      <xdr:rowOff>5146</xdr:rowOff>
    </xdr:from>
    <xdr:to>
      <xdr:col>9</xdr:col>
      <xdr:colOff>380267</xdr:colOff>
      <xdr:row>28</xdr:row>
      <xdr:rowOff>26058</xdr:rowOff>
    </xdr:to>
    <xdr:cxnSp macro="">
      <xdr:nvCxnSpPr>
        <xdr:cNvPr id="167" name="Straight Connector 166">
          <a:extLst>
            <a:ext uri="{FF2B5EF4-FFF2-40B4-BE49-F238E27FC236}">
              <a16:creationId xmlns:a16="http://schemas.microsoft.com/office/drawing/2014/main" id="{C59CA8AC-0E3A-4CCC-BA3F-E6425DF5F481}"/>
            </a:ext>
          </a:extLst>
        </xdr:cNvPr>
        <xdr:cNvCxnSpPr/>
      </xdr:nvCxnSpPr>
      <xdr:spPr>
        <a:xfrm flipH="1" flipV="1">
          <a:off x="1505354" y="3368456"/>
          <a:ext cx="1850654" cy="927430"/>
        </a:xfrm>
        <a:prstGeom prst="line">
          <a:avLst/>
        </a:prstGeom>
        <a:ln>
          <a:solidFill>
            <a:sysClr val="windowText" lastClr="00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236483</xdr:colOff>
      <xdr:row>22</xdr:row>
      <xdr:rowOff>0</xdr:rowOff>
    </xdr:from>
    <xdr:to>
      <xdr:col>4</xdr:col>
      <xdr:colOff>379358</xdr:colOff>
      <xdr:row>22</xdr:row>
      <xdr:rowOff>151086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9A975E9C-EC11-4773-B842-77C4902DC96C}"/>
            </a:ext>
          </a:extLst>
        </xdr:cNvPr>
        <xdr:cNvSpPr/>
      </xdr:nvSpPr>
      <xdr:spPr>
        <a:xfrm>
          <a:off x="1307224" y="3363310"/>
          <a:ext cx="142875" cy="151086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47044</xdr:colOff>
      <xdr:row>22</xdr:row>
      <xdr:rowOff>51129</xdr:rowOff>
    </xdr:from>
    <xdr:to>
      <xdr:col>9</xdr:col>
      <xdr:colOff>360757</xdr:colOff>
      <xdr:row>28</xdr:row>
      <xdr:rowOff>106360</xdr:rowOff>
    </xdr:to>
    <xdr:cxnSp macro="">
      <xdr:nvCxnSpPr>
        <xdr:cNvPr id="171" name="Straight Connector 170">
          <a:extLst>
            <a:ext uri="{FF2B5EF4-FFF2-40B4-BE49-F238E27FC236}">
              <a16:creationId xmlns:a16="http://schemas.microsoft.com/office/drawing/2014/main" id="{6E4D466A-C3E8-4211-AE8A-CE601C1C1395}"/>
            </a:ext>
          </a:extLst>
        </xdr:cNvPr>
        <xdr:cNvCxnSpPr>
          <a:stCxn id="97" idx="5"/>
          <a:endCxn id="50" idx="2"/>
        </xdr:cNvCxnSpPr>
      </xdr:nvCxnSpPr>
      <xdr:spPr>
        <a:xfrm>
          <a:off x="1498785" y="3414439"/>
          <a:ext cx="1837713" cy="961749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208531</xdr:colOff>
      <xdr:row>28</xdr:row>
      <xdr:rowOff>106360</xdr:rowOff>
    </xdr:from>
    <xdr:to>
      <xdr:col>10</xdr:col>
      <xdr:colOff>68123</xdr:colOff>
      <xdr:row>32</xdr:row>
      <xdr:rowOff>11264</xdr:rowOff>
    </xdr:to>
    <xdr:cxnSp macro="">
      <xdr:nvCxnSpPr>
        <xdr:cNvPr id="174" name="Straight Connector 173">
          <a:extLst>
            <a:ext uri="{FF2B5EF4-FFF2-40B4-BE49-F238E27FC236}">
              <a16:creationId xmlns:a16="http://schemas.microsoft.com/office/drawing/2014/main" id="{B0CCF2B2-E29A-45EB-ADF5-190FBBE0DCC7}"/>
            </a:ext>
          </a:extLst>
        </xdr:cNvPr>
        <xdr:cNvCxnSpPr>
          <a:stCxn id="50" idx="6"/>
          <a:endCxn id="53" idx="6"/>
        </xdr:cNvCxnSpPr>
      </xdr:nvCxnSpPr>
      <xdr:spPr>
        <a:xfrm flipH="1">
          <a:off x="3184272" y="4376188"/>
          <a:ext cx="240592" cy="502679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85398</xdr:colOff>
      <xdr:row>22</xdr:row>
      <xdr:rowOff>72259</xdr:rowOff>
    </xdr:from>
    <xdr:to>
      <xdr:col>6</xdr:col>
      <xdr:colOff>39416</xdr:colOff>
      <xdr:row>23</xdr:row>
      <xdr:rowOff>111672</xdr:rowOff>
    </xdr:to>
    <xdr:sp macro="" textlink="">
      <xdr:nvSpPr>
        <xdr:cNvPr id="177" name="Rectangle 176">
          <a:extLst>
            <a:ext uri="{FF2B5EF4-FFF2-40B4-BE49-F238E27FC236}">
              <a16:creationId xmlns:a16="http://schemas.microsoft.com/office/drawing/2014/main" id="{67BE1412-3D48-4392-ABBB-1008246D6B09}"/>
            </a:ext>
          </a:extLst>
        </xdr:cNvPr>
        <xdr:cNvSpPr/>
      </xdr:nvSpPr>
      <xdr:spPr>
        <a:xfrm rot="1432848">
          <a:off x="1537139" y="3435569"/>
          <a:ext cx="335018" cy="1905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151086</xdr:colOff>
      <xdr:row>23</xdr:row>
      <xdr:rowOff>144517</xdr:rowOff>
    </xdr:from>
    <xdr:to>
      <xdr:col>7</xdr:col>
      <xdr:colOff>105104</xdr:colOff>
      <xdr:row>25</xdr:row>
      <xdr:rowOff>32845</xdr:rowOff>
    </xdr:to>
    <xdr:sp macro="" textlink="">
      <xdr:nvSpPr>
        <xdr:cNvPr id="178" name="Rectangle 177">
          <a:extLst>
            <a:ext uri="{FF2B5EF4-FFF2-40B4-BE49-F238E27FC236}">
              <a16:creationId xmlns:a16="http://schemas.microsoft.com/office/drawing/2014/main" id="{C968870B-0404-4F4C-8C61-8C13443FECA4}"/>
            </a:ext>
          </a:extLst>
        </xdr:cNvPr>
        <xdr:cNvSpPr/>
      </xdr:nvSpPr>
      <xdr:spPr>
        <a:xfrm rot="1432848">
          <a:off x="1983827" y="3658914"/>
          <a:ext cx="335018" cy="1905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249621</xdr:colOff>
      <xdr:row>25</xdr:row>
      <xdr:rowOff>111673</xdr:rowOff>
    </xdr:from>
    <xdr:to>
      <xdr:col>8</xdr:col>
      <xdr:colOff>203639</xdr:colOff>
      <xdr:row>27</xdr:row>
      <xdr:rowOff>1</xdr:rowOff>
    </xdr:to>
    <xdr:sp macro="" textlink="">
      <xdr:nvSpPr>
        <xdr:cNvPr id="179" name="Rectangle 178">
          <a:extLst>
            <a:ext uri="{FF2B5EF4-FFF2-40B4-BE49-F238E27FC236}">
              <a16:creationId xmlns:a16="http://schemas.microsoft.com/office/drawing/2014/main" id="{0D0192A0-5BC6-47F5-9B4A-0C527FD1BC06}"/>
            </a:ext>
          </a:extLst>
        </xdr:cNvPr>
        <xdr:cNvSpPr/>
      </xdr:nvSpPr>
      <xdr:spPr>
        <a:xfrm rot="1432848">
          <a:off x="2463362" y="3928242"/>
          <a:ext cx="335018" cy="1905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348155</xdr:colOff>
      <xdr:row>27</xdr:row>
      <xdr:rowOff>65691</xdr:rowOff>
    </xdr:from>
    <xdr:to>
      <xdr:col>9</xdr:col>
      <xdr:colOff>302173</xdr:colOff>
      <xdr:row>28</xdr:row>
      <xdr:rowOff>105104</xdr:rowOff>
    </xdr:to>
    <xdr:sp macro="" textlink="">
      <xdr:nvSpPr>
        <xdr:cNvPr id="180" name="Rectangle 179">
          <a:extLst>
            <a:ext uri="{FF2B5EF4-FFF2-40B4-BE49-F238E27FC236}">
              <a16:creationId xmlns:a16="http://schemas.microsoft.com/office/drawing/2014/main" id="{89D862BC-A5CD-4385-B13C-E2BF1162B311}"/>
            </a:ext>
          </a:extLst>
        </xdr:cNvPr>
        <xdr:cNvSpPr/>
      </xdr:nvSpPr>
      <xdr:spPr>
        <a:xfrm rot="1432848">
          <a:off x="2942896" y="4184432"/>
          <a:ext cx="335018" cy="1905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236483</xdr:colOff>
      <xdr:row>29</xdr:row>
      <xdr:rowOff>39413</xdr:rowOff>
    </xdr:from>
    <xdr:to>
      <xdr:col>10</xdr:col>
      <xdr:colOff>45983</xdr:colOff>
      <xdr:row>31</xdr:row>
      <xdr:rowOff>78828</xdr:rowOff>
    </xdr:to>
    <xdr:sp macro="" textlink="">
      <xdr:nvSpPr>
        <xdr:cNvPr id="181" name="Rectangle 180">
          <a:extLst>
            <a:ext uri="{FF2B5EF4-FFF2-40B4-BE49-F238E27FC236}">
              <a16:creationId xmlns:a16="http://schemas.microsoft.com/office/drawing/2014/main" id="{719EE781-3307-4489-B375-CB5C27A62D68}"/>
            </a:ext>
          </a:extLst>
        </xdr:cNvPr>
        <xdr:cNvSpPr/>
      </xdr:nvSpPr>
      <xdr:spPr>
        <a:xfrm rot="16678253">
          <a:off x="3139965" y="4532586"/>
          <a:ext cx="335018" cy="1905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38286</xdr:colOff>
      <xdr:row>8</xdr:row>
      <xdr:rowOff>124239</xdr:rowOff>
    </xdr:from>
    <xdr:to>
      <xdr:col>7</xdr:col>
      <xdr:colOff>280582</xdr:colOff>
      <xdr:row>18</xdr:row>
      <xdr:rowOff>28371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FA4B6407-1A89-F447-2B99-D2CBC3E18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677" y="1350065"/>
          <a:ext cx="2362644" cy="1411567"/>
        </a:xfrm>
        <a:prstGeom prst="rect">
          <a:avLst/>
        </a:prstGeom>
      </xdr:spPr>
    </xdr:pic>
    <xdr:clientData/>
  </xdr:twoCellAnchor>
  <xdr:twoCellAnchor>
    <xdr:from>
      <xdr:col>27</xdr:col>
      <xdr:colOff>132521</xdr:colOff>
      <xdr:row>50</xdr:row>
      <xdr:rowOff>215348</xdr:rowOff>
    </xdr:from>
    <xdr:to>
      <xdr:col>27</xdr:col>
      <xdr:colOff>208721</xdr:colOff>
      <xdr:row>52</xdr:row>
      <xdr:rowOff>61779</xdr:rowOff>
    </xdr:to>
    <xdr:sp macro="" textlink="">
      <xdr:nvSpPr>
        <xdr:cNvPr id="172" name="Freeform: Shape 171">
          <a:extLst>
            <a:ext uri="{FF2B5EF4-FFF2-40B4-BE49-F238E27FC236}">
              <a16:creationId xmlns:a16="http://schemas.microsoft.com/office/drawing/2014/main" id="{A4600827-9AD0-48BB-9E28-0387FF5D5A11}"/>
            </a:ext>
          </a:extLst>
        </xdr:cNvPr>
        <xdr:cNvSpPr/>
      </xdr:nvSpPr>
      <xdr:spPr>
        <a:xfrm>
          <a:off x="10071651" y="7760805"/>
          <a:ext cx="76200" cy="243996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28</xdr:col>
      <xdr:colOff>8283</xdr:colOff>
      <xdr:row>52</xdr:row>
      <xdr:rowOff>0</xdr:rowOff>
    </xdr:from>
    <xdr:to>
      <xdr:col>28</xdr:col>
      <xdr:colOff>65433</xdr:colOff>
      <xdr:row>53</xdr:row>
      <xdr:rowOff>31753</xdr:rowOff>
    </xdr:to>
    <xdr:sp macro="" textlink="">
      <xdr:nvSpPr>
        <xdr:cNvPr id="173" name="Freeform: Shape 172">
          <a:extLst>
            <a:ext uri="{FF2B5EF4-FFF2-40B4-BE49-F238E27FC236}">
              <a16:creationId xmlns:a16="http://schemas.microsoft.com/office/drawing/2014/main" id="{07786372-027E-4327-8E2A-108BA8C99304}"/>
            </a:ext>
          </a:extLst>
        </xdr:cNvPr>
        <xdr:cNvSpPr/>
      </xdr:nvSpPr>
      <xdr:spPr>
        <a:xfrm>
          <a:off x="10328413" y="7943022"/>
          <a:ext cx="57150" cy="180840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476250</xdr:colOff>
      <xdr:row>8</xdr:row>
      <xdr:rowOff>63316</xdr:rowOff>
    </xdr:from>
    <xdr:to>
      <xdr:col>19</xdr:col>
      <xdr:colOff>292051</xdr:colOff>
      <xdr:row>50</xdr:row>
      <xdr:rowOff>72548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11A347-8539-341C-9B60-137DF8AF2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6375" y="1539691"/>
          <a:ext cx="9721801" cy="701010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1" t="s">
        <v>1134</v>
      </c>
      <c r="C4" s="531"/>
      <c r="D4" s="531"/>
      <c r="E4" s="531"/>
      <c r="F4" s="531"/>
      <c r="G4" s="531"/>
      <c r="H4" s="53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2" t="s">
        <v>0</v>
      </c>
      <c r="C7" s="532" t="s">
        <v>1</v>
      </c>
      <c r="D7" s="533" t="s">
        <v>42</v>
      </c>
      <c r="E7" s="533" t="s">
        <v>43</v>
      </c>
      <c r="F7" s="533" t="s">
        <v>1135</v>
      </c>
      <c r="G7" s="534" t="s">
        <v>41</v>
      </c>
      <c r="H7" s="530" t="s">
        <v>1042</v>
      </c>
      <c r="I7" s="530" t="s">
        <v>1137</v>
      </c>
      <c r="J7" s="530" t="s">
        <v>1026</v>
      </c>
      <c r="K7" s="524" t="s">
        <v>1024</v>
      </c>
      <c r="L7" s="525"/>
    </row>
    <row r="8" spans="1:12" ht="15" customHeight="1">
      <c r="B8" s="532"/>
      <c r="C8" s="532"/>
      <c r="D8" s="533"/>
      <c r="E8" s="533"/>
      <c r="F8" s="533"/>
      <c r="G8" s="534"/>
      <c r="H8" s="530"/>
      <c r="I8" s="530"/>
      <c r="J8" s="530"/>
      <c r="K8" s="526"/>
      <c r="L8" s="527"/>
    </row>
    <row r="9" spans="1:12" ht="15" customHeight="1">
      <c r="B9" s="532"/>
      <c r="C9" s="532"/>
      <c r="D9" s="533"/>
      <c r="E9" s="533"/>
      <c r="F9" s="533"/>
      <c r="G9" s="534"/>
      <c r="H9" s="530"/>
      <c r="I9" s="530"/>
      <c r="J9" s="530"/>
      <c r="K9" s="528"/>
      <c r="L9" s="52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2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2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AAAC 70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2</v>
      </c>
      <c r="G16" s="41">
        <f ca="1">IF(ISERROR(OFFSET('HARGA SATUAN'!$I$6,MATCH(C16,'HARGA SATUAN'!$C$7:$C$1492,0),0)),"",OFFSET('HARGA SATUAN'!$I$6,MATCH(C16,'HARGA SATUAN'!$C$7:$C$1492,0),0))</f>
        <v>14200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2 x 70 + N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35</v>
      </c>
      <c r="G17" s="41">
        <f ca="1">IF(ISERROR(OFFSET('HARGA SATUAN'!$I$6,MATCH(C17,'HARGA SATUAN'!$C$7:$C$1492,0),0)),"",OFFSET('HARGA SATUAN'!$I$6,MATCH(C17,'HARGA SATUAN'!$C$7:$C$1492,0),0))</f>
        <v>53300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 2 x 16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70</v>
      </c>
      <c r="G18" s="41">
        <f ca="1">IF(ISERROR(OFFSET('HARGA SATUAN'!$I$6,MATCH(C18,'HARGA SATUAN'!$C$7:$C$1492,0),0)),"",OFFSET('HARGA SATUAN'!$I$6,MATCH(C18,'HARGA SATUAN'!$C$7:$C$1492,0),0))</f>
        <v>6600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SUMIFS(RAB!$F$14:$F$115,RAB!$C$14:$C$115,C714)</f>
        <v>2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SUMIFS(RAB!$F$14:$F$115,RAB!$C$14:$C$115,C715)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SUMIFS(RAB!$F$14:$F$115,RAB!$C$14:$C$115,C716)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SUMIFS(RAB!$F$14:$F$115,RAB!$C$14:$C$115,C717)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SUMIFS(RAB!$F$14:$F$115,RAB!$C$14:$C$115,C718)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SUMIFS(RAB!$F$14:$F$115,RAB!$C$14:$C$115,C719)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SUMIFS(RAB!$F$14:$F$115,RAB!$C$14:$C$115,C720)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SUMIFS(RAB!$F$14:$F$115,RAB!$C$14:$C$115,C721)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SUMIFS(RAB!$F$14:$F$115,RAB!$C$14:$C$115,C722)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SUMIFS(RAB!$F$14:$F$115,RAB!$C$14:$C$115,C723)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SUMIFS(RAB!$F$14:$F$115,RAB!$C$14:$C$115,C724)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SUMIFS(RAB!$F$14:$F$115,RAB!$C$14:$C$115,C725)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SUMIFS(RAB!$F$14:$F$115,RAB!$C$14:$C$115,C726)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SUMIFS(RAB!$F$14:$F$115,RAB!$C$14:$C$115,C727)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SUMIFS(RAB!$F$14:$F$115,RAB!$C$14:$C$115,C728)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SUMIFS(RAB!$F$14:$F$115,RAB!$C$14:$C$115,C729)</f>
        <v>2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SUMIFS(RAB!$F$14:$F$115,RAB!$C$14:$C$115,C730)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SUMIFS(RAB!$F$14:$F$115,RAB!$C$14:$C$115,C731)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SUMIFS(RAB!$F$14:$F$115,RAB!$C$14:$C$115,C732)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SUMIFS(RAB!$F$14:$F$115,RAB!$C$14:$C$115,C733)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SUMIFS(RAB!$F$14:$F$115,RAB!$C$14:$C$115,C734)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SUMIFS(RAB!$F$14:$F$115,RAB!$C$14:$C$115,C735)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SUMIFS(RAB!$F$14:$F$115,RAB!$C$14:$C$115,C736)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SUMIFS(RAB!$F$14:$F$115,RAB!$C$14:$C$115,C737)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SUMIFS(RAB!$F$14:$F$115,RAB!$C$14:$C$115,C738)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SUMIFS(RAB!$F$14:$F$115,RAB!$C$14:$C$115,C739)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SUMIFS(RAB!$F$14:$F$115,RAB!$C$14:$C$115,C740)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SUMIFS(RAB!$F$14:$F$115,RAB!$C$14:$C$115,C741)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SUMIFS(RAB!$F$14:$F$115,RAB!$C$14:$C$115,C742)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SUMIFS(RAB!$F$14:$F$115,RAB!$C$14:$C$115,C743)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SUMIFS(RAB!$F$14:$F$115,RAB!$C$14:$C$115,C744)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SUMIFS(RAB!$F$14:$F$115,RAB!$C$14:$C$115,C745)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SUMIFS(RAB!$F$14:$F$115,RAB!$C$14:$C$115,C746)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SUMIFS(RAB!$F$14:$F$115,RAB!$C$14:$C$115,C747)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SUMIFS(RAB!$F$14:$F$115,RAB!$C$14:$C$115,C748)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SUMIFS(RAB!$F$14:$F$115,RAB!$C$14:$C$115,C749)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SUMIFS(RAB!$F$14:$F$115,RAB!$C$14:$C$115,C750)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SUMIFS(RAB!$F$14:$F$115,RAB!$C$14:$C$115,C751)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SUMIFS(RAB!$F$14:$F$115,RAB!$C$14:$C$115,C752)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SUMIFS(RAB!$F$14:$F$115,RAB!$C$14:$C$115,C753)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SUMIFS(RAB!$F$14:$F$115,RAB!$C$14:$C$115,C754)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SUMIFS(RAB!$F$14:$F$115,RAB!$C$14:$C$115,C755)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SUMIFS(RAB!$F$14:$F$115,RAB!$C$14:$C$115,C756)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SUMIFS(RAB!$F$14:$F$115,RAB!$C$14:$C$115,C757)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SUMIFS(RAB!$F$14:$F$115,RAB!$C$14:$C$115,C758)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SUMIFS(RAB!$F$14:$F$115,RAB!$C$14:$C$115,C759)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SUMIFS(RAB!$F$14:$F$115,RAB!$C$14:$C$115,C760)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SUMIFS(RAB!$F$14:$F$115,RAB!$C$14:$C$115,C761)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SUMIFS(RAB!$F$14:$F$115,RAB!$C$14:$C$115,C762)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SUMIFS(RAB!$F$14:$F$115,RAB!$C$14:$C$115,C763)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SUMIFS(RAB!$F$14:$F$115,RAB!$C$14:$C$115,C764)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SUMIFS(RAB!$F$14:$F$115,RAB!$C$14:$C$115,C765)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SUMIFS(RAB!$F$14:$F$115,RAB!$C$14:$C$115,C766)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SUMIFS(RAB!$F$14:$F$115,RAB!$C$14:$C$115,C767)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SUMIFS(RAB!$F$14:$F$115,RAB!$C$14:$C$115,C768)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SUMIFS(RAB!$F$14:$F$115,RAB!$C$14:$C$115,C769)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SUMIFS(RAB!$F$14:$F$115,RAB!$C$14:$C$115,C770)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SUMIFS(RAB!$F$14:$F$115,RAB!$C$14:$C$115,C771)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SUMIFS(RAB!$F$14:$F$115,RAB!$C$14:$C$115,C772)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SUMIFS(RAB!$F$14:$F$115,RAB!$C$14:$C$115,C773)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SUMIFS(RAB!$F$14:$F$115,RAB!$C$14:$C$115,C774)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SUMIFS(RAB!$F$14:$F$115,RAB!$C$14:$C$115,C775)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SUMIFS(RAB!$F$14:$F$115,RAB!$C$14:$C$115,C776)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SUMIFS(RAB!$F$14:$F$115,RAB!$C$14:$C$115,C777)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SUMIFS(RAB!$F$14:$F$115,RAB!$C$14:$C$115,C778)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SUMIFS(RAB!$F$14:$F$115,RAB!$C$14:$C$115,C779)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SUMIFS(RAB!$F$14:$F$115,RAB!$C$14:$C$115,C780)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SUMIFS(RAB!$F$14:$F$115,RAB!$C$14:$C$115,C781)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SUMIFS(RAB!$F$14:$F$115,RAB!$C$14:$C$115,C782)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SUMIFS(RAB!$F$14:$F$115,RAB!$C$14:$C$115,C783)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SUMIFS(RAB!$F$14:$F$115,RAB!$C$14:$C$115,C784)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SUMIFS(RAB!$F$14:$F$115,RAB!$C$14:$C$115,C785)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SUMIFS(RAB!$F$14:$F$115,RAB!$C$14:$C$115,C786)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SUMIFS(RAB!$F$14:$F$115,RAB!$C$14:$C$115,C787)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SUMIFS(RAB!$F$14:$F$115,RAB!$C$14:$C$115,C788)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SUMIFS(RAB!$F$14:$F$115,RAB!$C$14:$C$115,C789)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SUMIFS(RAB!$F$14:$F$115,RAB!$C$14:$C$115,C790)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SUMIFS(RAB!$F$14:$F$115,RAB!$C$14:$C$115,C791)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SUMIFS(RAB!$F$14:$F$115,RAB!$C$14:$C$115,C792)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SUMIFS(RAB!$F$14:$F$115,RAB!$C$14:$C$115,C793)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SUMIFS(RAB!$F$14:$F$115,RAB!$C$14:$C$115,C794)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SUMIFS(RAB!$F$14:$F$115,RAB!$C$14:$C$115,C795)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SUMIFS(RAB!$F$14:$F$115,RAB!$C$14:$C$115,C796)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SUMIFS(RAB!$F$14:$F$115,RAB!$C$14:$C$115,C797)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SUMIFS(RAB!$F$14:$F$115,RAB!$C$14:$C$115,C798)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SUMIFS(RAB!$F$14:$F$115,RAB!$C$14:$C$115,C799)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SUMIFS(RAB!$F$14:$F$115,RAB!$C$14:$C$115,C800)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SUMIFS(RAB!$F$14:$F$115,RAB!$C$14:$C$115,C801)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SUMIFS(RAB!$F$14:$F$115,RAB!$C$14:$C$115,C802)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SUMIFS(RAB!$F$14:$F$115,RAB!$C$14:$C$115,C803)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SUMIFS(RAB!$F$14:$F$115,RAB!$C$14:$C$115,C804)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SUMIFS(RAB!$F$14:$F$115,RAB!$C$14:$C$115,C805)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SUMIFS(RAB!$F$14:$F$115,RAB!$C$14:$C$115,C806)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SUMIFS(RAB!$F$14:$F$115,RAB!$C$14:$C$115,C807)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SUMIFS(RAB!$F$14:$F$115,RAB!$C$14:$C$115,C808)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SUMIFS(RAB!$F$14:$F$115,RAB!$C$14:$C$115,C809)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SUMIFS(RAB!$F$14:$F$115,RAB!$C$14:$C$115,C810)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SUMIFS(RAB!$F$14:$F$115,RAB!$C$14:$C$115,C811)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SUMIFS(RAB!$F$14:$F$115,RAB!$C$14:$C$115,C812)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SUMIFS(RAB!$F$14:$F$115,RAB!$C$14:$C$115,C813)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SUMIFS(RAB!$F$14:$F$115,RAB!$C$14:$C$115,C814)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SUMIFS(RAB!$F$14:$F$115,RAB!$C$14:$C$115,C815)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SUMIFS(RAB!$F$14:$F$115,RAB!$C$14:$C$115,C816)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SUMIFS(RAB!$F$14:$F$115,RAB!$C$14:$C$115,C817)</f>
        <v>1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SUMIFS(RAB!$F$14:$F$115,RAB!$C$14:$C$115,C818)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SUMIFS(RAB!$F$14:$F$115,RAB!$C$14:$C$115,C819)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SUMIFS(RAB!$F$14:$F$115,RAB!$C$14:$C$115,C820)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SUMIFS(RAB!$F$14:$F$115,RAB!$C$14:$C$115,C821)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SUMIFS(RAB!$F$14:$F$115,RAB!$C$14:$C$115,C822)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SUMIFS(RAB!$F$14:$F$115,RAB!$C$14:$C$115,C823)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SUMIFS(RAB!$F$14:$F$115,RAB!$C$14:$C$115,C824)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SUMIFS(RAB!$F$14:$F$115,RAB!$C$14:$C$115,C825)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SUMIFS(RAB!$F$14:$F$115,RAB!$C$14:$C$115,C826)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SUMIFS(RAB!$F$14:$F$115,RAB!$C$14:$C$115,C827)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SUMIFS(RAB!$F$14:$F$115,RAB!$C$14:$C$115,C828)</f>
        <v>2</v>
      </c>
      <c r="E828" s="26">
        <f t="shared" ca="1" si="34"/>
        <v>1</v>
      </c>
      <c r="F828" s="26">
        <f ca="1">IF(D828=0,0,SUM($E$713:E828))</f>
        <v>5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SUMIFS(RAB!$F$14:$F$115,RAB!$C$14:$C$115,C829)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SUMIFS(RAB!$F$14:$F$115,RAB!$C$14:$C$115,C830)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SUMIFS(RAB!$F$14:$F$115,RAB!$C$14:$C$115,C831)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SUMIFS(RAB!$F$14:$F$115,RAB!$C$14:$C$115,C832)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SUMIFS(RAB!$F$14:$F$115,RAB!$C$14:$C$115,C833)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SUMIFS(RAB!$F$14:$F$115,RAB!$C$14:$C$115,C834)</f>
        <v>35</v>
      </c>
      <c r="E834" s="26">
        <f t="shared" ca="1" si="34"/>
        <v>1</v>
      </c>
      <c r="F834" s="26">
        <f ca="1">IF(D834=0,0,SUM($E$713:E834))</f>
        <v>6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SUMIFS(RAB!$F$14:$F$115,RAB!$C$14:$C$115,C835)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SUMIFS(RAB!$F$14:$F$115,RAB!$C$14:$C$115,C836)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SUMIFS(RAB!$F$14:$F$115,RAB!$C$14:$C$115,C837)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SUMIFS(RAB!$F$14:$F$115,RAB!$C$14:$C$115,C838)</f>
        <v>70</v>
      </c>
      <c r="E838" s="26">
        <f t="shared" ca="1" si="34"/>
        <v>1</v>
      </c>
      <c r="F838" s="26">
        <f ca="1">IF(D838=0,0,SUM($E$713:E838))</f>
        <v>7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SUMIFS(RAB!$F$14:$F$115,RAB!$C$14:$C$115,C839)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SUMIFS(RAB!$F$14:$F$115,RAB!$C$14:$C$115,C840)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SUMIFS(RAB!$F$14:$F$115,RAB!$C$14:$C$115,C841)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SUMIFS(RAB!$F$14:$F$115,RAB!$C$14:$C$115,C842)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SUMIFS(RAB!$F$14:$F$115,RAB!$C$14:$C$115,C843)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SUMIFS(RAB!$F$14:$F$115,RAB!$C$14:$C$115,C844)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SUMIFS(RAB!$F$14:$F$115,RAB!$C$14:$C$115,C845)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SUMIFS(RAB!$F$14:$F$115,RAB!$C$14:$C$115,C846)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SUMIFS(RAB!$F$14:$F$115,RAB!$C$14:$C$115,C847)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SUMIFS(RAB!$F$14:$F$115,RAB!$C$14:$C$115,C848)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SUMIFS(RAB!$F$14:$F$115,RAB!$C$14:$C$115,C849)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SUMIFS(RAB!$F$14:$F$115,RAB!$C$14:$C$115,C850)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SUMIFS(RAB!$F$14:$F$115,RAB!$C$14:$C$115,C851)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SUMIFS(RAB!$F$14:$F$115,RAB!$C$14:$C$115,C852)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SUMIFS(RAB!$F$14:$F$115,RAB!$C$14:$C$115,C853)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SUMIFS(RAB!$F$14:$F$115,RAB!$C$14:$C$115,C854)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SUMIFS(RAB!$F$14:$F$115,RAB!$C$14:$C$115,C855)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SUMIFS(RAB!$F$14:$F$115,RAB!$C$14:$C$115,C856)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SUMIFS(RAB!$F$14:$F$115,RAB!$C$14:$C$115,C857)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SUMIFS(RAB!$F$14:$F$115,RAB!$C$14:$C$115,C858)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SUMIFS(RAB!$F$14:$F$115,RAB!$C$14:$C$115,C859)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SUMIFS(RAB!$F$14:$F$115,RAB!$C$14:$C$115,C860)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SUMIFS(RAB!$F$14:$F$115,RAB!$C$14:$C$115,C861)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SUMIFS(RAB!$F$14:$F$115,RAB!$C$14:$C$115,C862)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SUMIFS(RAB!$F$14:$F$115,RAB!$C$14:$C$115,C863)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SUMIFS(RAB!$F$14:$F$115,RAB!$C$14:$C$115,C864)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SUMIFS(RAB!$F$14:$F$115,RAB!$C$14:$C$115,C865)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SUMIFS(RAB!$F$14:$F$115,RAB!$C$14:$C$115,C866)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SUMIFS(RAB!$F$14:$F$115,RAB!$C$14:$C$115,C867)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SUMIFS(RAB!$F$14:$F$115,RAB!$C$14:$C$115,C868)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SUMIFS(RAB!$F$14:$F$115,RAB!$C$14:$C$115,C869)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SUMIFS(RAB!$F$14:$F$115,RAB!$C$14:$C$115,C870)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SUMIFS(RAB!$F$14:$F$115,RAB!$C$14:$C$115,C871)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SUMIFS(RAB!$F$14:$F$115,RAB!$C$14:$C$115,C872)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SUMIFS(RAB!$F$14:$F$115,RAB!$C$14:$C$115,C873)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SUMIFS(RAB!$F$14:$F$115,RAB!$C$14:$C$115,C874)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SUMIFS(RAB!$F$14:$F$115,RAB!$C$14:$C$115,C875)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SUMIFS(RAB!$F$14:$F$115,RAB!$C$14:$C$115,C876)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SUMIFS(RAB!$F$14:$F$115,RAB!$C$14:$C$115,C877)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SUMIFS(RAB!$F$14:$F$115,RAB!$C$14:$C$115,C878)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SUMIFS(RAB!$F$14:$F$115,RAB!$C$14:$C$115,C879)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SUMIFS(RAB!$F$14:$F$115,RAB!$C$14:$C$115,C880)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SUMIFS(RAB!$F$14:$F$115,RAB!$C$14:$C$115,C881)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SUMIFS(RAB!$F$14:$F$115,RAB!$C$14:$C$115,C882)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SUMIFS(RAB!$F$14:$F$115,RAB!$C$14:$C$115,C883)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SUMIFS(RAB!$F$14:$F$115,RAB!$C$14:$C$115,C884)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SUMIFS(RAB!$F$14:$F$115,RAB!$C$14:$C$115,C885)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SUMIFS(RAB!$F$14:$F$115,RAB!$C$14:$C$115,C886)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SUMIFS(RAB!$F$14:$F$115,RAB!$C$14:$C$115,C887)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SUMIFS(RAB!$F$14:$F$115,RAB!$C$14:$C$115,C888)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SUMIFS(RAB!$F$14:$F$115,RAB!$C$14:$C$115,C889)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SUMIFS(RAB!$F$14:$F$115,RAB!$C$14:$C$115,C890)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SUMIFS(RAB!$F$14:$F$115,RAB!$C$14:$C$115,C891)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SUMIFS(RAB!$F$14:$F$115,RAB!$C$14:$C$115,C892)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SUMIFS(RAB!$F$14:$F$115,RAB!$C$14:$C$115,C893)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SUMIFS(RAB!$F$14:$F$115,RAB!$C$14:$C$115,C894)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SUMIFS(RAB!$F$14:$F$115,RAB!$C$14:$C$115,C895)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SUMIFS(RAB!$F$14:$F$115,RAB!$C$14:$C$115,C896)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SUMIFS(RAB!$F$14:$F$115,RAB!$C$14:$C$115,C897)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SUMIFS(RAB!$F$14:$F$115,RAB!$C$14:$C$115,C898)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SUMIFS(RAB!$F$14:$F$115,RAB!$C$14:$C$115,C899)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SUMIFS(RAB!$F$14:$F$115,RAB!$C$14:$C$115,C900)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SUMIFS(RAB!$F$14:$F$115,RAB!$C$14:$C$115,C901)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SUMIFS(RAB!$F$14:$F$115,RAB!$C$14:$C$115,C902)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SUMIFS(RAB!$F$14:$F$115,RAB!$C$14:$C$115,C903)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SUMIFS(RAB!$F$14:$F$115,RAB!$C$14:$C$115,C904)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SUMIFS(RAB!$F$14:$F$115,RAB!$C$14:$C$115,C905)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SUMIFS(RAB!$F$14:$F$115,RAB!$C$14:$C$115,C906)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SUMIFS(RAB!$F$14:$F$115,RAB!$C$14:$C$115,C907)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SUMIFS(RAB!$F$14:$F$115,RAB!$C$14:$C$115,C908)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SUMIFS(RAB!$F$14:$F$115,RAB!$C$14:$C$115,C909)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SUMIFS(RAB!$F$14:$F$115,RAB!$C$14:$C$115,C910)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SUMIFS(RAB!$F$14:$F$115,RAB!$C$14:$C$115,C911)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SUMIFS(RAB!$F$14:$F$115,RAB!$C$14:$C$115,C912)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SUMIFS(RAB!$F$14:$F$115,RAB!$C$14:$C$115,C913)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SUMIFS(RAB!$F$14:$F$115,RAB!$C$14:$C$115,C914)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SUMIFS(RAB!$F$14:$F$115,RAB!$C$14:$C$115,C915)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SUMIFS(RAB!$F$14:$F$115,RAB!$C$14:$C$115,C916)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SUMIFS(RAB!$F$14:$F$115,RAB!$C$14:$C$115,C917)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SUMIFS(RAB!$F$14:$F$115,RAB!$C$14:$C$115,C918)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SUMIFS(RAB!$F$14:$F$115,RAB!$C$14:$C$115,C919)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SUMIFS(RAB!$F$14:$F$115,RAB!$C$14:$C$115,C920)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SUMIFS(RAB!$F$14:$F$115,RAB!$C$14:$C$115,C921)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SUMIFS(RAB!$F$14:$F$115,RAB!$C$14:$C$115,C922)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SUMIFS(RAB!$F$14:$F$115,RAB!$C$14:$C$115,C923)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SUMIFS(RAB!$F$14:$F$115,RAB!$C$14:$C$115,C924)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SUMIFS(RAB!$F$14:$F$115,RAB!$C$14:$C$115,C925)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SUMIFS(RAB!$F$14:$F$115,RAB!$C$14:$C$115,C926)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SUMIFS(RAB!$F$14:$F$115,RAB!$C$14:$C$115,C927)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SUMIFS(RAB!$F$14:$F$115,RAB!$C$14:$C$115,C928)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SUMIFS(RAB!$F$14:$F$115,RAB!$C$14:$C$115,C929)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SUMIFS(RAB!$F$14:$F$115,RAB!$C$14:$C$115,C930)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SUMIFS(RAB!$F$14:$F$115,RAB!$C$14:$C$115,C931)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SUMIFS(RAB!$F$14:$F$115,RAB!$C$14:$C$115,C932)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SUMIFS(RAB!$F$14:$F$115,RAB!$C$14:$C$115,C933)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SUMIFS(RAB!$F$14:$F$115,RAB!$C$14:$C$115,C934)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SUMIFS(RAB!$F$14:$F$115,RAB!$C$14:$C$115,C935)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SUMIFS(RAB!$F$14:$F$115,RAB!$C$14:$C$115,C936)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SUMIFS(RAB!$F$14:$F$115,RAB!$C$14:$C$115,C937)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SUMIFS(RAB!$F$14:$F$115,RAB!$C$14:$C$115,C938)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SUMIFS(RAB!$F$14:$F$115,RAB!$C$14:$C$115,C939)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SUMIFS(RAB!$F$14:$F$115,RAB!$C$14:$C$115,C940)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SUMIFS(RAB!$F$14:$F$115,RAB!$C$14:$C$115,C941)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SUMIFS(RAB!$F$14:$F$115,RAB!$C$14:$C$115,C942)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SUMIFS(RAB!$F$14:$F$115,RAB!$C$14:$C$115,C943)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SUMIFS(RAB!$F$14:$F$115,RAB!$C$14:$C$115,C944)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SUMIFS(RAB!$F$14:$F$115,RAB!$C$14:$C$115,C945)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SUMIFS(RAB!$F$14:$F$115,RAB!$C$14:$C$115,C946)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SUMIFS(RAB!$F$14:$F$115,RAB!$C$14:$C$115,C947)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SUMIFS(RAB!$F$14:$F$115,RAB!$C$14:$C$115,C948)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SUMIFS(RAB!$F$14:$F$115,RAB!$C$14:$C$115,C949)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SUMIFS(RAB!$F$14:$F$115,RAB!$C$14:$C$115,C950)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SUMIFS(RAB!$F$14:$F$115,RAB!$C$14:$C$115,C951)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SUMIFS(RAB!$F$14:$F$115,RAB!$C$14:$C$115,C952)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SUMIFS(RAB!$F$14:$F$115,RAB!$C$14:$C$115,C953)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SUMIFS(RAB!$F$14:$F$115,RAB!$C$14:$C$115,C954)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SUMIFS(RAB!$F$14:$F$115,RAB!$C$14:$C$115,C955)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SUMIFS(RAB!$F$14:$F$115,RAB!$C$14:$C$115,C956)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SUMIFS(RAB!$F$14:$F$115,RAB!$C$14:$C$115,C957)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SUMIFS(RAB!$F$14:$F$115,RAB!$C$14:$C$115,C958)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SUMIFS(RAB!$F$14:$F$115,RAB!$C$14:$C$115,C959)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SUMIFS(RAB!$F$14:$F$115,RAB!$C$14:$C$115,C960)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SUMIFS(RAB!$F$14:$F$115,RAB!$C$14:$C$115,C961)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SUMIFS(RAB!$F$14:$F$115,RAB!$C$14:$C$115,C962)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SUMIFS(RAB!$F$14:$F$115,RAB!$C$14:$C$115,C963)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SUMIFS(RAB!$F$14:$F$115,RAB!$C$14:$C$115,C964)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SUMIFS(RAB!$F$14:$F$115,RAB!$C$14:$C$115,C965)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SUMIFS(RAB!$F$14:$F$115,RAB!$C$14:$C$115,C966)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SUMIFS(RAB!$F$14:$F$115,RAB!$C$14:$C$115,C967)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SUMIFS(RAB!$F$14:$F$115,RAB!$C$14:$C$115,C968)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SUMIFS(RAB!$F$14:$F$115,RAB!$C$14:$C$115,C969)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SUMIFS(RAB!$F$14:$F$115,RAB!$C$14:$C$115,C970)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SUMIFS(RAB!$F$14:$F$115,RAB!$C$14:$C$115,C971)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SUMIFS(RAB!$F$14:$F$115,RAB!$C$14:$C$115,C972)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SUMIFS(RAB!$F$14:$F$115,RAB!$C$14:$C$115,C973)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SUMIFS(RAB!$F$14:$F$115,RAB!$C$14:$C$115,C974)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SUMIFS(RAB!$F$14:$F$115,RAB!$C$14:$C$115,C975)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SUMIFS(RAB!$F$14:$F$115,RAB!$C$14:$C$115,C976)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SUMIFS(RAB!$F$14:$F$115,RAB!$C$14:$C$115,C977)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SUMIFS(RAB!$F$14:$F$115,RAB!$C$14:$C$115,C978)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SUMIFS(RAB!$F$14:$F$115,RAB!$C$14:$C$115,C979)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SUMIFS(RAB!$F$14:$F$115,RAB!$C$14:$C$115,C980)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SUMIFS(RAB!$F$14:$F$115,RAB!$C$14:$C$115,C981)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SUMIFS(RAB!$F$14:$F$115,RAB!$C$14:$C$115,C982)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SUMIFS(RAB!$F$14:$F$115,RAB!$C$14:$C$115,C983)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SUMIFS(RAB!$F$14:$F$115,RAB!$C$14:$C$115,C984)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SUMIFS(RAB!$F$14:$F$115,RAB!$C$14:$C$115,C985)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SUMIFS(RAB!$F$14:$F$115,RAB!$C$14:$C$115,C986)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SUMIFS(RAB!$F$14:$F$115,RAB!$C$14:$C$115,C987)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SUMIFS(RAB!$F$14:$F$115,RAB!$C$14:$C$115,C988)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SUMIFS(RAB!$F$14:$F$115,RAB!$C$14:$C$115,C989)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SUMIFS(RAB!$F$14:$F$115,RAB!$C$14:$C$115,C990)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SUMIFS(RAB!$F$14:$F$115,RAB!$C$14:$C$115,C991)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SUMIFS(RAB!$F$14:$F$115,RAB!$C$14:$C$115,C992)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SUMIFS(RAB!$F$14:$F$115,RAB!$C$14:$C$115,C993)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SUMIFS(RAB!$F$14:$F$115,RAB!$C$14:$C$115,C994)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SUMIFS(RAB!$F$14:$F$115,RAB!$C$14:$C$115,C995)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SUMIFS(RAB!$F$14:$F$115,RAB!$C$14:$C$115,C996)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SUMIFS(RAB!$F$14:$F$115,RAB!$C$14:$C$115,C997)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SUMIFS(RAB!$F$14:$F$115,RAB!$C$14:$C$115,C998)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SUMIFS(RAB!$F$14:$F$115,RAB!$C$14:$C$115,C999)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SUMIFS(RAB!$F$14:$F$115,RAB!$C$14:$C$115,C1000)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SUMIFS(RAB!$F$14:$F$115,RAB!$C$14:$C$115,C1001)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SUMIFS(RAB!$F$14:$F$115,RAB!$C$14:$C$115,C1002)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SUMIFS(RAB!$F$14:$F$115,RAB!$C$14:$C$115,C1003)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SUMIFS(RAB!$F$14:$F$115,RAB!$C$14:$C$115,C1004)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SUMIFS(RAB!$F$14:$F$115,RAB!$C$14:$C$115,C1005)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SUMIFS(RAB!$F$14:$F$115,RAB!$C$14:$C$115,C1006)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SUMIFS(RAB!$F$14:$F$115,RAB!$C$14:$C$115,C1007)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SUMIFS(RAB!$F$14:$F$115,RAB!$C$14:$C$115,C1008)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SUMIFS(RAB!$F$14:$F$115,RAB!$C$14:$C$115,C1009)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SUMIFS(RAB!$F$14:$F$115,RAB!$C$14:$C$115,C1010)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SUMIFS(RAB!$F$14:$F$115,RAB!$C$14:$C$115,C1011)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SUMIFS(RAB!$F$14:$F$115,RAB!$C$14:$C$115,C1012)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SUMIFS(RAB!$F$14:$F$115,RAB!$C$14:$C$115,C1013)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SUMIFS(RAB!$F$14:$F$115,RAB!$C$14:$C$115,C1014)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SUMIFS(RAB!$F$14:$F$115,RAB!$C$14:$C$115,C1015)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SUMIFS(RAB!$F$14:$F$115,RAB!$C$14:$C$115,C1016)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SUMIFS(RAB!$F$14:$F$115,RAB!$C$14:$C$115,C1017)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SUMIFS(RAB!$F$14:$F$115,RAB!$C$14:$C$115,C1018)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SUMIFS(RAB!$F$14:$F$115,RAB!$C$14:$C$115,C1019)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SUMIFS(RAB!$F$14:$F$115,RAB!$C$14:$C$115,C1020)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SUMIFS(RAB!$F$14:$F$115,RAB!$C$14:$C$115,C1021)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SUMIFS(RAB!$F$14:$F$115,RAB!$C$14:$C$115,C1022)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SUMIFS(RAB!$F$14:$F$115,RAB!$C$14:$C$115,C1023)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SUMIFS(RAB!$F$14:$F$115,RAB!$C$14:$C$115,C1024)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SUMIFS(RAB!$F$14:$F$115,RAB!$C$14:$C$115,C1025)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SUMIFS(RAB!$F$14:$F$115,RAB!$C$14:$C$115,C1026)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SUMIFS(RAB!$F$14:$F$115,RAB!$C$14:$C$115,C1027)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SUMIFS(RAB!$F$14:$F$115,RAB!$C$14:$C$115,C1028)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SUMIFS(RAB!$F$14:$F$115,RAB!$C$14:$C$115,C1029)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SUMIFS(RAB!$F$14:$F$115,RAB!$C$14:$C$115,C1030)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SUMIFS(RAB!$F$14:$F$115,RAB!$C$14:$C$115,C1031)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SUMIFS(RAB!$F$14:$F$115,RAB!$C$14:$C$115,C1032)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SUMIFS(RAB!$F$14:$F$115,RAB!$C$14:$C$115,C1033)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SUMIFS(RAB!$F$14:$F$115,RAB!$C$14:$C$115,C1034)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SUMIFS(RAB!$F$14:$F$115,RAB!$C$14:$C$115,C1035)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SUMIFS(RAB!$F$14:$F$115,RAB!$C$14:$C$115,C1036)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SUMIFS(RAB!$F$14:$F$115,RAB!$C$14:$C$115,C1037)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SUMIFS(RAB!$F$14:$F$115,RAB!$C$14:$C$115,C1038)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SUMIFS(RAB!$F$14:$F$115,RAB!$C$14:$C$115,C1039)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SUMIFS(RAB!$F$14:$F$115,RAB!$C$14:$C$115,C1040)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SUMIFS(RAB!$F$14:$F$115,RAB!$C$14:$C$115,C1041)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SUMIFS(RAB!$F$14:$F$115,RAB!$C$14:$C$115,C1042)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SUMIFS(RAB!$F$14:$F$115,RAB!$C$14:$C$115,C1043)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SUMIFS(RAB!$F$14:$F$115,RAB!$C$14:$C$115,C1044)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SUMIFS(RAB!$F$14:$F$115,RAB!$C$14:$C$115,C1045)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SUMIFS(RAB!$F$14:$F$115,RAB!$C$14:$C$115,C1046)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SUMIFS(RAB!$F$14:$F$115,RAB!$C$14:$C$115,C1047)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SUMIFS(RAB!$F$14:$F$115,RAB!$C$14:$C$115,C1048)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SUMIFS(RAB!$F$14:$F$115,RAB!$C$14:$C$115,C1049)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SUMIFS(RAB!$F$14:$F$115,RAB!$C$14:$C$115,C1050)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SUMIFS(RAB!$F$14:$F$115,RAB!$C$14:$C$115,C1051)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SUMIFS(RAB!$F$14:$F$115,RAB!$C$14:$C$115,C1052)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SUMIFS(RAB!$F$14:$F$115,RAB!$C$14:$C$115,C1053)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SUMIFS(RAB!$F$14:$F$115,RAB!$C$14:$C$115,C1054)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SUMIFS(RAB!$F$14:$F$115,RAB!$C$14:$C$115,C1055)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SUMIFS(RAB!$F$14:$F$115,RAB!$C$14:$C$115,C1056)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SUMIFS(RAB!$F$14:$F$115,RAB!$C$14:$C$115,C1057)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SUMIFS(RAB!$F$14:$F$115,RAB!$C$14:$C$115,C1058)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SUMIFS(RAB!$F$14:$F$115,RAB!$C$14:$C$115,C1059)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SUMIFS(RAB!$F$14:$F$115,RAB!$C$14:$C$115,C1060)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SUMIFS(RAB!$F$14:$F$115,RAB!$C$14:$C$115,C1061)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SUMIFS(RAB!$F$14:$F$115,RAB!$C$14:$C$115,C1062)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SUMIFS(RAB!$F$14:$F$115,RAB!$C$14:$C$115,C1063)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SUMIFS(RAB!$F$14:$F$115,RAB!$C$14:$C$115,C1064)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SUMIFS(RAB!$F$14:$F$115,RAB!$C$14:$C$115,C1065)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SUMIFS(RAB!$F$14:$F$115,RAB!$C$14:$C$115,C1066)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SUMIFS(RAB!$F$14:$F$115,RAB!$C$14:$C$115,C1067)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SUMIFS(RAB!$F$14:$F$115,RAB!$C$14:$C$115,C1068)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SUMIFS(RAB!$F$14:$F$115,RAB!$C$14:$C$115,C1069)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SUMIFS(RAB!$F$14:$F$115,RAB!$C$14:$C$115,C1070)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SUMIFS(RAB!$F$14:$F$115,RAB!$C$14:$C$115,C1071)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SUMIFS(RAB!$F$14:$F$115,RAB!$C$14:$C$115,C1072)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SUMIFS(RAB!$F$14:$F$115,RAB!$C$14:$C$115,C1073)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SUMIFS(RAB!$F$14:$F$115,RAB!$C$14:$C$115,C1074)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SUMIFS(RAB!$F$14:$F$115,RAB!$C$14:$C$115,C1075)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SUMIFS(RAB!$F$14:$F$115,RAB!$C$14:$C$115,C1076)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SUMIFS(RAB!$F$14:$F$115,RAB!$C$14:$C$115,C1077)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SUMIFS(RAB!$F$14:$F$115,RAB!$C$14:$C$115,C1078)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SUMIFS(RAB!$F$14:$F$115,RAB!$C$14:$C$115,C1079)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SUMIFS(RAB!$F$14:$F$115,RAB!$C$14:$C$115,C1080)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SUMIFS(RAB!$F$14:$F$115,RAB!$C$14:$C$115,C1081)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SUMIFS(RAB!$F$14:$F$115,RAB!$C$14:$C$115,C1082)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SUMIFS(RAB!$F$14:$F$115,RAB!$C$14:$C$115,C1083)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SUMIFS(RAB!$F$14:$F$115,RAB!$C$14:$C$115,C1084)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SUMIFS(RAB!$F$14:$F$115,RAB!$C$14:$C$115,C1085)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SUMIFS(RAB!$F$14:$F$115,RAB!$C$14:$C$115,C1086)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SUMIFS(RAB!$F$14:$F$115,RAB!$C$14:$C$115,C1087)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SUMIFS(RAB!$F$14:$F$115,RAB!$C$14:$C$115,C1088)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SUMIFS(RAB!$F$14:$F$115,RAB!$C$14:$C$115,C1089)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SUMIFS(RAB!$F$14:$F$115,RAB!$C$14:$C$115,C1090)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SUMIFS(RAB!$F$14:$F$115,RAB!$C$14:$C$115,C1091)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SUMIFS(RAB!$F$14:$F$115,RAB!$C$14:$C$115,C1092)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SUMIFS(RAB!$F$14:$F$115,RAB!$C$14:$C$115,C1093)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SUMIFS(RAB!$F$14:$F$115,RAB!$C$14:$C$115,C1094)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SUMIFS(RAB!$F$14:$F$115,RAB!$C$14:$C$115,C1095)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SUMIFS(RAB!$F$14:$F$115,RAB!$C$14:$C$115,C1096)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SUMIFS(RAB!$F$14:$F$115,RAB!$C$14:$C$115,C1097)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SUMIFS(RAB!$F$14:$F$115,RAB!$C$14:$C$115,C1098)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SUMIFS(RAB!$F$14:$F$115,RAB!$C$14:$C$115,C1099)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SUMIFS(RAB!$F$14:$F$115,RAB!$C$14:$C$115,C1100)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SUMIFS(RAB!$F$14:$F$115,RAB!$C$14:$C$115,C1101)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SUMIFS(RAB!$F$14:$F$115,RAB!$C$14:$C$115,C1102)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SUMIFS(RAB!$F$14:$F$115,RAB!$C$14:$C$115,C1103)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SUMIFS(RAB!$F$14:$F$115,RAB!$C$14:$C$115,C1104)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SUMIFS(RAB!$F$14:$F$115,RAB!$C$14:$C$115,C1105)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SUMIFS(RAB!$F$14:$F$115,RAB!$C$14:$C$115,C1106)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SUMIFS(RAB!$F$14:$F$115,RAB!$C$14:$C$115,C1107)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SUMIFS(RAB!$F$14:$F$115,RAB!$C$14:$C$115,C1108)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SUMIFS(RAB!$F$14:$F$115,RAB!$C$14:$C$115,C1109)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SUMIFS(RAB!$F$14:$F$115,RAB!$C$14:$C$115,C1110)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SUMIFS(RAB!$F$14:$F$115,RAB!$C$14:$C$115,C1111)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SUMIFS(RAB!$F$14:$F$115,RAB!$C$14:$C$115,C1112)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SUMIFS(RAB!$F$14:$F$115,RAB!$C$14:$C$115,C1113)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SUMIFS(RAB!$F$14:$F$115,RAB!$C$14:$C$115,C1114)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SUMIFS(RAB!$F$14:$F$115,RAB!$C$14:$C$115,C1115)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SUMIFS(RAB!$F$14:$F$115,RAB!$C$14:$C$115,C1116)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SUMIFS(RAB!$F$14:$F$115,RAB!$C$14:$C$115,C1117)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SUMIFS(RAB!$F$14:$F$115,RAB!$C$14:$C$115,C1118)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SUMIFS(RAB!$F$14:$F$115,RAB!$C$14:$C$115,C1119)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SUMIFS(RAB!$F$14:$F$115,RAB!$C$14:$C$115,C1120)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SUMIFS(RAB!$F$14:$F$115,RAB!$C$14:$C$115,C1121)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SUMIFS(RAB!$F$14:$F$115,RAB!$C$14:$C$115,C1122)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SUMIFS(RAB!$F$14:$F$115,RAB!$C$14:$C$115,C1123)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SUMIFS(RAB!$F$14:$F$115,RAB!$C$14:$C$115,C1124)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SUMIFS(RAB!$F$14:$F$115,RAB!$C$14:$C$115,C1125)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SUMIFS(RAB!$F$14:$F$115,RAB!$C$14:$C$115,C1126)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SUMIFS(RAB!$F$14:$F$115,RAB!$C$14:$C$115,C1127)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SUMIFS(RAB!$F$14:$F$115,RAB!$C$14:$C$115,C1128)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SUMIFS(RAB!$F$14:$F$115,RAB!$C$14:$C$115,C1129)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SUMIFS(RAB!$F$14:$F$115,RAB!$C$14:$C$115,C1130)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SUMIFS(RAB!$F$14:$F$115,RAB!$C$14:$C$115,C1131)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SUMIFS(RAB!$F$14:$F$115,RAB!$C$14:$C$115,C1132)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SUMIFS(RAB!$F$14:$F$115,RAB!$C$14:$C$115,C1133)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SUMIFS(RAB!$F$14:$F$115,RAB!$C$14:$C$115,C1134)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SUMIFS(RAB!$F$14:$F$115,RAB!$C$14:$C$115,C1135)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SUMIFS(RAB!$F$14:$F$115,RAB!$C$14:$C$115,C1136)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SUMIFS(RAB!$F$14:$F$115,RAB!$C$14:$C$115,C1137)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SUMIFS(RAB!$F$14:$F$115,RAB!$C$14:$C$115,C1138)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SUMIFS(RAB!$F$14:$F$115,RAB!$C$14:$C$115,C1139)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SUMIFS(RAB!$F$14:$F$115,RAB!$C$14:$C$115,C1140)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SUMIFS(RAB!$F$14:$F$115,RAB!$C$14:$C$115,C1141)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SUMIFS(RAB!$F$14:$F$115,RAB!$C$14:$C$115,C1142)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SUMIFS(RAB!$F$14:$F$115,RAB!$C$14:$C$115,C1143)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SUMIFS(RAB!$F$14:$F$115,RAB!$C$14:$C$115,C1144)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SUMIFS(RAB!$F$14:$F$115,RAB!$C$14:$C$115,C1145)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SUMIFS(RAB!$F$14:$F$115,RAB!$C$14:$C$115,C1146)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SUMIFS(RAB!$F$14:$F$115,RAB!$C$14:$C$115,C1147)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SUMIFS(RAB!$F$14:$F$115,RAB!$C$14:$C$115,C1148)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SUMIFS(RAB!$F$14:$F$115,RAB!$C$14:$C$115,C1149)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SUMIFS(RAB!$F$14:$F$115,RAB!$C$14:$C$115,C1150)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SUMIFS(RAB!$F$14:$F$115,RAB!$C$14:$C$115,C1151)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SUMIFS(RAB!$F$14:$F$115,RAB!$C$14:$C$115,C1152)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SUMIFS(RAB!$F$14:$F$115,RAB!$C$14:$C$115,C1153)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SUMIFS(RAB!$F$14:$F$115,RAB!$C$14:$C$115,C1154)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SUMIFS(RAB!$F$14:$F$115,RAB!$C$14:$C$115,C1155)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SUMIFS(RAB!$F$14:$F$115,RAB!$C$14:$C$115,C1156)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SUMIFS(RAB!$F$14:$F$115,RAB!$C$14:$C$115,C1157)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SUMIFS(RAB!$F$14:$F$115,RAB!$C$14:$C$115,C1158)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SUMIFS(RAB!$F$14:$F$115,RAB!$C$14:$C$115,C1159)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SUMIFS(RAB!$F$14:$F$115,RAB!$C$14:$C$115,C1160)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SUMIFS(RAB!$F$14:$F$115,RAB!$C$14:$C$115,C1161)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SUMIFS(RAB!$F$14:$F$115,RAB!$C$14:$C$115,C1162)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SUMIFS(RAB!$F$14:$F$115,RAB!$C$14:$C$115,C1163)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SUMIFS(RAB!$F$14:$F$115,RAB!$C$14:$C$115,C1164)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SUMIFS(RAB!$F$14:$F$115,RAB!$C$14:$C$115,C1165)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SUMIFS(RAB!$F$14:$F$115,RAB!$C$14:$C$115,C1166)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SUMIFS(RAB!$F$14:$F$115,RAB!$C$14:$C$115,C1167)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SUMIFS(RAB!$F$14:$F$115,RAB!$C$14:$C$115,C1168)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SUMIFS(RAB!$F$14:$F$115,RAB!$C$14:$C$115,C1169)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SUMIFS(RAB!$F$14:$F$115,RAB!$C$14:$C$115,C1170)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SUMIFS(RAB!$F$14:$F$115,RAB!$C$14:$C$115,C1171)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SUMIFS(RAB!$F$14:$F$115,RAB!$C$14:$C$115,C1172)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SUMIFS(RAB!$F$14:$F$115,RAB!$C$14:$C$115,C1173)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SUMIFS(RAB!$F$14:$F$115,RAB!$C$14:$C$115,C1174)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SUMIFS(RAB!$F$14:$F$115,RAB!$C$14:$C$115,C1175)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SUMIFS(RAB!$F$14:$F$115,RAB!$C$14:$C$115,C1176)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SUMIFS(RAB!$F$14:$F$115,RAB!$C$14:$C$115,C1177)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SUMIFS(RAB!$F$14:$F$115,RAB!$C$14:$C$115,C1178)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SUMIFS(RAB!$F$14:$F$115,RAB!$C$14:$C$115,C1179)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SUMIFS(RAB!$F$14:$F$115,RAB!$C$14:$C$115,C1180)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SUMIFS(RAB!$F$14:$F$115,RAB!$C$14:$C$115,C1181)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SUMIFS(RAB!$F$14:$F$115,RAB!$C$14:$C$115,C1182)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SUMIFS(RAB!$F$14:$F$115,RAB!$C$14:$C$115,C1183)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SUMIFS(RAB!$F$14:$F$115,RAB!$C$14:$C$115,C1184)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SUMIFS(RAB!$F$14:$F$115,RAB!$C$14:$C$115,C1185)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SUMIFS(RAB!$F$14:$F$115,RAB!$C$14:$C$115,C1186)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SUMIFS(RAB!$F$14:$F$115,RAB!$C$14:$C$115,C1187)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SUMIFS(RAB!$F$14:$F$115,RAB!$C$14:$C$115,C1188)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SUMIFS(RAB!$F$14:$F$115,RAB!$C$14:$C$115,C1189)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SUMIFS(RAB!$F$14:$F$115,RAB!$C$14:$C$115,C1190)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SUMIFS(RAB!$F$14:$F$115,RAB!$C$14:$C$115,C1191)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SUMIFS(RAB!$F$14:$F$115,RAB!$C$14:$C$115,C1192)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SUMIFS(RAB!$F$14:$F$115,RAB!$C$14:$C$115,C1193)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SUMIFS(RAB!$F$14:$F$115,RAB!$C$14:$C$115,C1194)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SUMIFS(RAB!$F$14:$F$115,RAB!$C$14:$C$115,C1195)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SUMIFS(RAB!$F$14:$F$115,RAB!$C$14:$C$115,C1196)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SUMIFS(RAB!$F$14:$F$115,RAB!$C$14:$C$115,C1197)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SUMIFS(RAB!$F$14:$F$115,RAB!$C$14:$C$115,C1198)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SUMIFS(RAB!$F$14:$F$115,RAB!$C$14:$C$115,C1199)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SUMIFS(RAB!$F$14:$F$115,RAB!$C$14:$C$115,C1200)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SUMIFS(RAB!$F$14:$F$115,RAB!$C$14:$C$115,C1201)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SUMIFS(RAB!$F$14:$F$115,RAB!$C$14:$C$115,C1202)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SUMIFS(RAB!$F$14:$F$115,RAB!$C$14:$C$115,C1203)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SUMIFS(RAB!$F$14:$F$115,RAB!$C$14:$C$115,C1204)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SUMIFS(RAB!$F$14:$F$115,RAB!$C$14:$C$115,C1205)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SUMIFS(RAB!$F$14:$F$115,RAB!$C$14:$C$115,C1206)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SUMIFS(RAB!$F$14:$F$115,RAB!$C$14:$C$115,C1207)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SUMIFS(RAB!$F$14:$F$115,RAB!$C$14:$C$115,C1208)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SUMIFS(RAB!$F$14:$F$115,RAB!$C$14:$C$115,C1209)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SUMIFS(RAB!$F$14:$F$115,RAB!$C$14:$C$115,C1210)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SUMIFS(RAB!$F$14:$F$115,RAB!$C$14:$C$115,C1211)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SUMIFS(RAB!$F$14:$F$115,RAB!$C$14:$C$115,C1212)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SUMIFS(RAB!$F$14:$F$115,RAB!$C$14:$C$115,C1213)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SUMIFS(RAB!$F$14:$F$115,RAB!$C$14:$C$115,C1214)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SUMIFS(RAB!$F$14:$F$115,RAB!$C$14:$C$115,C1215)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SUMIFS(RAB!$F$14:$F$115,RAB!$C$14:$C$115,C1216)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SUMIFS(RAB!$F$14:$F$115,RAB!$C$14:$C$115,C1217)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SUMIFS(RAB!$F$14:$F$115,RAB!$C$14:$C$115,C1218)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SUMIFS(RAB!$F$14:$F$115,RAB!$C$14:$C$115,C1219)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SUMIFS(RAB!$F$14:$F$115,RAB!$C$14:$C$115,C1220)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SUMIFS(RAB!$F$14:$F$115,RAB!$C$14:$C$115,C1221)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SUMIFS(RAB!$F$14:$F$115,RAB!$C$14:$C$115,C1222)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SUMIFS(RAB!$F$14:$F$115,RAB!$C$14:$C$115,C1223)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SUMIFS(RAB!$F$14:$F$115,RAB!$C$14:$C$115,C1224)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SUMIFS(RAB!$F$14:$F$115,RAB!$C$14:$C$115,C1225)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SUMIFS(RAB!$F$14:$F$115,RAB!$C$14:$C$115,C1226)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SUMIFS(RAB!$F$14:$F$115,RAB!$C$14:$C$115,C1227)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SUMIFS(RAB!$F$14:$F$115,RAB!$C$14:$C$115,C1228)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SUMIFS(RAB!$F$14:$F$115,RAB!$C$14:$C$115,C1229)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SUMIFS(RAB!$F$14:$F$115,RAB!$C$14:$C$115,C1230)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SUMIFS(RAB!$F$14:$F$115,RAB!$C$14:$C$115,C1231)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SUMIFS(RAB!$F$14:$F$115,RAB!$C$14:$C$115,C1232)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SUMIFS(RAB!$F$14:$F$115,RAB!$C$14:$C$115,C1233)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SUMIFS(RAB!$F$14:$F$115,RAB!$C$14:$C$115,C1234)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SUMIFS(RAB!$F$14:$F$115,RAB!$C$14:$C$115,C1235)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SUMIFS(RAB!$F$14:$F$115,RAB!$C$14:$C$115,C1236)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SUMIFS(RAB!$F$14:$F$115,RAB!$C$14:$C$115,C1237)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SUMIFS(RAB!$F$14:$F$115,RAB!$C$14:$C$115,C1238)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SUMIFS(RAB!$F$14:$F$115,RAB!$C$14:$C$115,C1239)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SUMIFS(RAB!$F$14:$F$115,RAB!$C$14:$C$115,C1240)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SUMIFS(RAB!$F$14:$F$115,RAB!$C$14:$C$115,C1241)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SUMIFS(RAB!$F$14:$F$115,RAB!$C$14:$C$115,C1242)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SUMIFS(RAB!$F$14:$F$115,RAB!$C$14:$C$115,C1243)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SUMIFS(RAB!$F$14:$F$115,RAB!$C$14:$C$115,C1244)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SUMIFS(RAB!$F$14:$F$115,RAB!$C$14:$C$115,C1245)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SUMIFS(RAB!$F$14:$F$115,RAB!$C$14:$C$115,C1246)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SUMIFS(RAB!$F$14:$F$115,RAB!$C$14:$C$115,C1247)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SUMIFS(RAB!$F$14:$F$115,RAB!$C$14:$C$115,C1248)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SUMIFS(RAB!$F$14:$F$115,RAB!$C$14:$C$115,C1249)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SUMIFS(RAB!$F$14:$F$115,RAB!$C$14:$C$115,C1250)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SUMIFS(RAB!$F$14:$F$115,RAB!$C$14:$C$115,C1251)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SUMIFS(RAB!$F$14:$F$115,RAB!$C$14:$C$115,C1252)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SUMIFS(RAB!$F$14:$F$115,RAB!$C$14:$C$115,C1253)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SUMIFS(RAB!$F$14:$F$115,RAB!$C$14:$C$115,C1254)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SUMIFS(RAB!$F$14:$F$115,RAB!$C$14:$C$115,C1255)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SUMIFS(RAB!$F$14:$F$115,RAB!$C$14:$C$115,C1256)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SUMIFS(RAB!$F$14:$F$115,RAB!$C$14:$C$115,C1257)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SUMIFS(RAB!$F$14:$F$115,RAB!$C$14:$C$115,C1258)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SUMIFS(RAB!$F$14:$F$115,RAB!$C$14:$C$115,C1259)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SUMIFS(RAB!$F$14:$F$115,RAB!$C$14:$C$115,C1260)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SUMIFS(RAB!$F$14:$F$115,RAB!$C$14:$C$115,C1261)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SUMIFS(RAB!$F$14:$F$115,RAB!$C$14:$C$115,C1262)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SUMIFS(RAB!$F$14:$F$115,RAB!$C$14:$C$115,C1263)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SUMIFS(RAB!$F$14:$F$115,RAB!$C$14:$C$115,C1264)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SUMIFS(RAB!$F$14:$F$115,RAB!$C$14:$C$115,C1265)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SUMIFS(RAB!$F$14:$F$115,RAB!$C$14:$C$115,C1266)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SUMIFS(RAB!$F$14:$F$115,RAB!$C$14:$C$115,C1267)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SUMIFS(RAB!$F$14:$F$115,RAB!$C$14:$C$115,C1268)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SUMIFS(RAB!$F$14:$F$115,RAB!$C$14:$C$115,C1269)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SUMIFS(RAB!$F$14:$F$115,RAB!$C$14:$C$115,C1270)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SUMIFS(RAB!$F$14:$F$115,RAB!$C$14:$C$115,C1271)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SUMIFS(RAB!$F$14:$F$115,RAB!$C$14:$C$115,C1272)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SUMIFS(RAB!$F$14:$F$115,RAB!$C$14:$C$115,C1273)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SUMIFS(RAB!$F$14:$F$115,RAB!$C$14:$C$115,C1274)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SUMIFS(RAB!$F$14:$F$115,RAB!$C$14:$C$115,C1275)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SUMIFS(RAB!$F$14:$F$115,RAB!$C$14:$C$115,C1276)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SUMIFS(RAB!$F$14:$F$115,RAB!$C$14:$C$115,C1277)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SUMIFS(RAB!$F$14:$F$115,RAB!$C$14:$C$115,C1278)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SUMIFS(RAB!$F$14:$F$115,RAB!$C$14:$C$115,C1279)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SUMIFS(RAB!$F$14:$F$115,RAB!$C$14:$C$115,C1280)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SUMIFS(RAB!$F$14:$F$115,RAB!$C$14:$C$115,C1281)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SUMIFS(RAB!$F$14:$F$115,RAB!$C$14:$C$115,C1282)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SUMIFS(RAB!$F$14:$F$115,RAB!$C$14:$C$115,C1283)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SUMIFS(RAB!$F$14:$F$115,RAB!$C$14:$C$115,C1284)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SUMIFS(RAB!$F$14:$F$115,RAB!$C$14:$C$115,C1285)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SUMIFS(RAB!$F$14:$F$115,RAB!$C$14:$C$115,C1286)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SUMIFS(RAB!$F$14:$F$115,RAB!$C$14:$C$115,C1287)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SUMIFS(RAB!$F$14:$F$115,RAB!$C$14:$C$115,C1288)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SUMIFS(RAB!$F$14:$F$115,RAB!$C$14:$C$115,C1289)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SUMIFS(RAB!$F$14:$F$115,RAB!$C$14:$C$115,C1290)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SUMIFS(RAB!$F$14:$F$115,RAB!$C$14:$C$115,C1291)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SUMIFS(RAB!$F$14:$F$115,RAB!$C$14:$C$115,C1292)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SUMIFS(RAB!$F$14:$F$115,RAB!$C$14:$C$115,C1293)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SUMIFS(RAB!$F$14:$F$115,RAB!$C$14:$C$115,C1294)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SUMIFS(RAB!$F$14:$F$115,RAB!$C$14:$C$115,C1295)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SUMIFS(RAB!$F$14:$F$115,RAB!$C$14:$C$115,C1296)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SUMIFS(RAB!$F$14:$F$115,RAB!$C$14:$C$115,C1297)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SUMIFS(RAB!$F$14:$F$115,RAB!$C$14:$C$115,C1298)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SUMIFS(RAB!$F$14:$F$115,RAB!$C$14:$C$115,C1299)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SUMIFS(RAB!$F$14:$F$115,RAB!$C$14:$C$115,C1300)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SUMIFS(RAB!$F$14:$F$115,RAB!$C$14:$C$115,C1301)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SUMIFS(RAB!$F$14:$F$115,RAB!$C$14:$C$115,C1302)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SUMIFS(RAB!$F$14:$F$115,RAB!$C$14:$C$115,C1303)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SUMIFS(RAB!$F$14:$F$115,RAB!$C$14:$C$115,C1304)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SUMIFS(RAB!$F$14:$F$115,RAB!$C$14:$C$115,C1305)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SUMIFS(RAB!$F$14:$F$115,RAB!$C$14:$C$115,C1306)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SUMIFS(RAB!$F$14:$F$115,RAB!$C$14:$C$115,C1307)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SUMIFS(RAB!$F$14:$F$115,RAB!$C$14:$C$115,C1308)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SUMIFS(RAB!$F$14:$F$115,RAB!$C$14:$C$115,C1309)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SUMIFS(RAB!$F$14:$F$115,RAB!$C$14:$C$115,C1310)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SUMIFS(RAB!$F$14:$F$115,RAB!$C$14:$C$115,C1311)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SUMIFS(RAB!$F$14:$F$115,RAB!$C$14:$C$115,C1312)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SUMIFS(RAB!$F$14:$F$115,RAB!$C$14:$C$115,C1313)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SUMIFS(RAB!$F$14:$F$115,RAB!$C$14:$C$115,C1314)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SUMIFS(RAB!$F$14:$F$115,RAB!$C$14:$C$115,C1315)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SUMIFS(RAB!$F$14:$F$115,RAB!$C$14:$C$115,C1316)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SUMIFS(RAB!$F$14:$F$115,RAB!$C$14:$C$115,C1317)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SUMIFS(RAB!$F$14:$F$115,RAB!$C$14:$C$115,C1318)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SUMIFS(RAB!$F$14:$F$115,RAB!$C$14:$C$115,C1319)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SUMIFS(RAB!$F$14:$F$115,RAB!$C$14:$C$115,C1320)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5" priority="5" operator="equal">
      <formula>0</formula>
    </cfRule>
  </conditionalFormatting>
  <conditionalFormatting sqref="A10:L65536">
    <cfRule type="cellIs" dxfId="54" priority="1" operator="equal">
      <formula>0</formula>
    </cfRule>
  </conditionalFormatting>
  <conditionalFormatting sqref="C12:C711">
    <cfRule type="cellIs" dxfId="53" priority="66" stopIfTrue="1" operator="equal">
      <formula>0</formula>
    </cfRule>
  </conditionalFormatting>
  <conditionalFormatting sqref="E712:E65536">
    <cfRule type="cellIs" dxfId="52" priority="16" stopIfTrue="1" operator="equal">
      <formula>0</formula>
    </cfRule>
  </conditionalFormatting>
  <conditionalFormatting sqref="G1:G11 E6:E11 E1:E3 H7 H10:H11 F10:F711 G712:G65536">
    <cfRule type="cellIs" dxfId="51" priority="69" stopIfTrue="1" operator="equal">
      <formula>0</formula>
    </cfRule>
  </conditionalFormatting>
  <conditionalFormatting sqref="G12:H711">
    <cfRule type="cellIs" dxfId="50" priority="12" stopIfTrue="1" operator="equal">
      <formula>0</formula>
    </cfRule>
  </conditionalFormatting>
  <conditionalFormatting sqref="I7:K7">
    <cfRule type="cellIs" dxfId="49" priority="4" stopIfTrue="1" operator="equal">
      <formula>0</formula>
    </cfRule>
  </conditionalFormatting>
  <conditionalFormatting sqref="I10:L711">
    <cfRule type="cellIs" dxfId="48" priority="2" stopIfTrue="1" operator="equal">
      <formula>0</formula>
    </cfRule>
  </conditionalFormatting>
  <conditionalFormatting sqref="L1:L6">
    <cfRule type="cellIs" dxfId="47" priority="10" operator="equal">
      <formula>0</formula>
    </cfRule>
  </conditionalFormatting>
  <conditionalFormatting sqref="M1:IV1048576 A8:G9">
    <cfRule type="cellIs" dxfId="4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1" t="s">
        <v>1127</v>
      </c>
      <c r="C4" s="551"/>
      <c r="D4" s="551"/>
      <c r="E4" s="551"/>
      <c r="F4" s="551"/>
      <c r="G4" s="551"/>
      <c r="H4" s="551"/>
      <c r="I4" s="551"/>
      <c r="J4" s="551"/>
      <c r="K4" s="55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4" t="str">
        <f>RAB!G6</f>
        <v>ALFAMART KALIKONDANG</v>
      </c>
      <c r="H6" s="544"/>
      <c r="I6" s="544"/>
      <c r="J6" s="544"/>
      <c r="K6" s="54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 xml:space="preserve"> DESA KALIKONDANG RT 6 RW 1 KEC. DEMAK KAB.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2" t="s">
        <v>0</v>
      </c>
      <c r="C11" s="554" t="s">
        <v>1</v>
      </c>
      <c r="D11" s="557" t="s">
        <v>42</v>
      </c>
      <c r="E11" s="557" t="s">
        <v>43</v>
      </c>
      <c r="F11" s="557" t="s">
        <v>2</v>
      </c>
      <c r="G11" s="558" t="s">
        <v>41</v>
      </c>
      <c r="H11" s="557" t="s">
        <v>3</v>
      </c>
      <c r="I11" s="557"/>
      <c r="J11" s="557"/>
      <c r="K11" s="561"/>
      <c r="M11" s="33"/>
      <c r="N11" s="33"/>
      <c r="O11" s="33"/>
      <c r="P11" s="33"/>
      <c r="R11" s="34"/>
      <c r="S11" s="74"/>
      <c r="T11" s="74"/>
    </row>
    <row r="12" spans="1:21" ht="15" customHeight="1">
      <c r="B12" s="553"/>
      <c r="C12" s="555"/>
      <c r="D12" s="547"/>
      <c r="E12" s="547"/>
      <c r="F12" s="547"/>
      <c r="G12" s="559"/>
      <c r="H12" s="549" t="s">
        <v>46</v>
      </c>
      <c r="I12" s="549" t="s">
        <v>5</v>
      </c>
      <c r="J12" s="547" t="s">
        <v>47</v>
      </c>
      <c r="K12" s="54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3"/>
      <c r="C13" s="556"/>
      <c r="D13" s="547"/>
      <c r="E13" s="547"/>
      <c r="F13" s="547"/>
      <c r="G13" s="560"/>
      <c r="H13" s="550"/>
      <c r="I13" s="550"/>
      <c r="J13" s="547"/>
      <c r="K13" s="54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5" t="s">
        <v>1008</v>
      </c>
      <c r="D38" s="545"/>
      <c r="E38" s="545"/>
      <c r="F38" s="545"/>
      <c r="G38" s="77" t="s">
        <v>9</v>
      </c>
      <c r="H38" s="55">
        <f ca="1">SUM(H14:H37)</f>
        <v>0</v>
      </c>
      <c r="I38" s="55">
        <f ca="1">SUM(I14:I37)</f>
        <v>3382600</v>
      </c>
      <c r="J38" s="55">
        <f ca="1">SUM(J14:J37)</f>
        <v>0</v>
      </c>
      <c r="K38" s="55">
        <f ca="1">SUM(K14:K37)</f>
        <v>3382600</v>
      </c>
      <c r="L38" s="44"/>
      <c r="R38" s="99"/>
      <c r="S38" s="99"/>
      <c r="T38" s="99"/>
    </row>
    <row r="39" spans="1:20" s="36" customFormat="1">
      <c r="A39" s="30"/>
      <c r="B39" s="56"/>
      <c r="C39" s="546" t="s">
        <v>462</v>
      </c>
      <c r="D39" s="546"/>
      <c r="E39" s="546"/>
      <c r="F39" s="546"/>
      <c r="G39" s="59" t="s">
        <v>9</v>
      </c>
      <c r="H39" s="60">
        <f ca="1">H38*0.1</f>
        <v>0</v>
      </c>
      <c r="I39" s="60">
        <f ca="1">I38*0.1</f>
        <v>338260</v>
      </c>
      <c r="J39" s="60">
        <f ca="1">J38*0.1</f>
        <v>0</v>
      </c>
      <c r="K39" s="60">
        <f ca="1">K38*0.1</f>
        <v>338260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5" t="s">
        <v>463</v>
      </c>
      <c r="D40" s="535"/>
      <c r="E40" s="535"/>
      <c r="F40" s="535"/>
      <c r="G40" s="61" t="s">
        <v>9</v>
      </c>
      <c r="H40" s="78">
        <f ca="1">SUM(H38:H39)</f>
        <v>0</v>
      </c>
      <c r="I40" s="78">
        <f ca="1">SUM(I38:I39)</f>
        <v>3720860</v>
      </c>
      <c r="J40" s="61">
        <f ca="1">SUM(J38:J39)</f>
        <v>0</v>
      </c>
      <c r="K40" s="61">
        <f ca="1">SUM(K38:K39)</f>
        <v>3720860</v>
      </c>
      <c r="L40" s="44"/>
      <c r="R40" s="99"/>
      <c r="S40" s="99"/>
      <c r="T40" s="99"/>
    </row>
    <row r="41" spans="1:20" s="36" customFormat="1">
      <c r="A41" s="30"/>
      <c r="B41" s="538" t="e">
        <f ca="1">"Terbilang : ( "&amp;L42&amp;" Rupiah )"</f>
        <v>#NAME?</v>
      </c>
      <c r="C41" s="539"/>
      <c r="D41" s="539"/>
      <c r="E41" s="539"/>
      <c r="F41" s="539"/>
      <c r="G41" s="539"/>
      <c r="H41" s="539"/>
      <c r="I41" s="539"/>
      <c r="J41" s="539"/>
      <c r="K41" s="540"/>
      <c r="L41" s="44"/>
      <c r="R41" s="58"/>
      <c r="S41" s="58"/>
      <c r="T41" s="58"/>
    </row>
    <row r="42" spans="1:20" s="36" customFormat="1">
      <c r="A42" s="30"/>
      <c r="B42" s="541"/>
      <c r="C42" s="542"/>
      <c r="D42" s="542"/>
      <c r="E42" s="542"/>
      <c r="F42" s="542"/>
      <c r="G42" s="542"/>
      <c r="H42" s="542"/>
      <c r="I42" s="542"/>
      <c r="J42" s="542"/>
      <c r="K42" s="543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6"/>
      <c r="I45" s="536"/>
      <c r="J45" s="537"/>
      <c r="K45" s="53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6"/>
      <c r="I46" s="536"/>
      <c r="J46" s="537"/>
      <c r="K46" s="53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6"/>
      <c r="I47" s="536"/>
      <c r="J47" s="537"/>
      <c r="K47" s="53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6"/>
      <c r="I52" s="536"/>
      <c r="J52" s="537"/>
      <c r="K52" s="53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SUMIFS(RAB!$F$14:$F$115,RAB!$C$14:$C$115,'REKAP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SUMIFS(RAB!$F$14:$F$115,RAB!$C$14:$C$115,'REKAP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SUMIFS(RAB!$F$14:$F$115,RAB!$C$14:$C$115,'REKAP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SUMIFS(RAB!$F$14:$F$115,RAB!$C$14:$C$115,'REKAP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SUMIFS(RAB!$F$14:$F$115,RAB!$C$14:$C$115,'REKAP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SUMIFS(RAB!$F$14:$F$115,RAB!$C$14:$C$115,'REKAP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SUMIFS(RAB!$F$14:$F$115,RAB!$C$14:$C$115,'REKAP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SUMIFS(RAB!$F$14:$F$115,RAB!$C$14:$C$115,'REKAP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SUMIFS(RAB!$F$14:$F$115,RAB!$C$14:$C$115,'REKAP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SUMIFS(RAB!$F$14:$F$115,RAB!$C$14:$C$115,'REKAP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SUMIFS(RAB!$F$14:$F$115,RAB!$C$14:$C$115,'REKAP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SUMIFS(RAB!$F$14:$F$115,RAB!$C$14:$C$115,'REKAP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SUMIFS(RAB!$F$14:$F$115,RAB!$C$14:$C$115,'REKAP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SUMIFS(RAB!$F$14:$F$115,RAB!$C$14:$C$115,'REKAP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SUMIFS(RAB!$F$14:$F$115,RAB!$C$14:$C$115,'REKAP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SUMIFS(RAB!$F$14:$F$115,RAB!$C$14:$C$115,'REKAP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SUMIFS(RAB!$F$14:$F$115,RAB!$C$14:$C$115,'REKAP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SUMIFS(RAB!$F$14:$F$115,RAB!$C$14:$C$115,'REKAP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SUMIFS(RAB!$F$14:$F$115,RAB!$C$14:$C$115,'REKAP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SUMIFS(RAB!$F$14:$F$115,RAB!$C$14:$C$115,'REKAP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1" t="s">
        <v>1034</v>
      </c>
      <c r="C4" s="551"/>
      <c r="D4" s="551"/>
      <c r="E4" s="551"/>
      <c r="F4" s="551"/>
      <c r="G4" s="551"/>
      <c r="H4" s="551"/>
      <c r="I4" s="551"/>
      <c r="J4" s="551"/>
      <c r="K4" s="55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4" t="str">
        <f>RAB!G6</f>
        <v>ALFAMART KALIKONDANG</v>
      </c>
      <c r="H6" s="544"/>
      <c r="I6" s="544"/>
      <c r="J6" s="544"/>
      <c r="K6" s="54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 xml:space="preserve"> DESA KALIKONDANG RT 6 RW 1 KEC. DEMAK KAB.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2" t="s">
        <v>0</v>
      </c>
      <c r="C11" s="554" t="s">
        <v>1</v>
      </c>
      <c r="D11" s="557" t="s">
        <v>42</v>
      </c>
      <c r="E11" s="557" t="s">
        <v>43</v>
      </c>
      <c r="F11" s="557" t="s">
        <v>2</v>
      </c>
      <c r="G11" s="558" t="s">
        <v>41</v>
      </c>
      <c r="H11" s="557" t="s">
        <v>3</v>
      </c>
      <c r="I11" s="557"/>
      <c r="J11" s="557"/>
      <c r="K11" s="561"/>
      <c r="M11" s="33"/>
      <c r="N11" s="33"/>
      <c r="O11" s="33"/>
      <c r="P11" s="33"/>
      <c r="R11" s="34"/>
      <c r="S11" s="74"/>
      <c r="T11" s="74"/>
    </row>
    <row r="12" spans="1:21" ht="15" customHeight="1">
      <c r="B12" s="553"/>
      <c r="C12" s="555"/>
      <c r="D12" s="547"/>
      <c r="E12" s="547"/>
      <c r="F12" s="547"/>
      <c r="G12" s="559"/>
      <c r="H12" s="549" t="s">
        <v>46</v>
      </c>
      <c r="I12" s="549" t="s">
        <v>5</v>
      </c>
      <c r="J12" s="547" t="s">
        <v>47</v>
      </c>
      <c r="K12" s="54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3"/>
      <c r="C13" s="556"/>
      <c r="D13" s="547"/>
      <c r="E13" s="547"/>
      <c r="F13" s="547"/>
      <c r="G13" s="560"/>
      <c r="H13" s="550"/>
      <c r="I13" s="550"/>
      <c r="J13" s="547"/>
      <c r="K13" s="54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2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655200</v>
      </c>
      <c r="I16" s="42">
        <f t="shared" ca="1" si="2"/>
        <v>0</v>
      </c>
      <c r="J16" s="42">
        <f t="shared" ca="1" si="3"/>
        <v>0</v>
      </c>
      <c r="K16" s="43">
        <f t="shared" ca="1" si="0"/>
        <v>655200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2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78000</v>
      </c>
      <c r="I17" s="42">
        <f t="shared" ca="1" si="2"/>
        <v>0</v>
      </c>
      <c r="J17" s="42">
        <f t="shared" ca="1" si="3"/>
        <v>0</v>
      </c>
      <c r="K17" s="43">
        <f t="shared" ca="1" si="0"/>
        <v>78000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848250</v>
      </c>
      <c r="I19" s="42">
        <f t="shared" ca="1" si="2"/>
        <v>0</v>
      </c>
      <c r="J19" s="42">
        <f t="shared" ca="1" si="3"/>
        <v>0</v>
      </c>
      <c r="K19" s="43">
        <f t="shared" ca="1" si="0"/>
        <v>848250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AAAC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2</v>
      </c>
      <c r="G20" s="41">
        <f ca="1">IF(ISERROR(OFFSET('HARGA SATUAN'!$I$6,MATCH(C20,'HARGA SATUAN'!$C$7:$C$1492,0),0)),"",OFFSET('HARGA SATUAN'!$I$6,MATCH(C20,'HARGA SATUAN'!$C$7:$C$1492,0),0))</f>
        <v>14200</v>
      </c>
      <c r="H20" s="42">
        <f t="shared" ca="1" si="1"/>
        <v>28400</v>
      </c>
      <c r="I20" s="42">
        <f t="shared" ca="1" si="2"/>
        <v>0</v>
      </c>
      <c r="J20" s="42">
        <f t="shared" ca="1" si="3"/>
        <v>0</v>
      </c>
      <c r="K20" s="43">
        <f t="shared" ca="1" si="0"/>
        <v>28400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2 x 70 + N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35</v>
      </c>
      <c r="G21" s="41">
        <f ca="1">IF(ISERROR(OFFSET('HARGA SATUAN'!$I$6,MATCH(C21,'HARGA SATUAN'!$C$7:$C$1492,0),0)),"",OFFSET('HARGA SATUAN'!$I$6,MATCH(C21,'HARGA SATUAN'!$C$7:$C$1492,0),0))</f>
        <v>53300</v>
      </c>
      <c r="H21" s="42">
        <f t="shared" ca="1" si="1"/>
        <v>1865500</v>
      </c>
      <c r="I21" s="42">
        <f t="shared" ca="1" si="2"/>
        <v>0</v>
      </c>
      <c r="J21" s="42">
        <f t="shared" ca="1" si="3"/>
        <v>0</v>
      </c>
      <c r="K21" s="43">
        <f t="shared" ca="1" si="0"/>
        <v>1865500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 2 x 16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70</v>
      </c>
      <c r="G22" s="41">
        <f ca="1">IF(ISERROR(OFFSET('HARGA SATUAN'!$I$6,MATCH(C22,'HARGA SATUAN'!$C$7:$C$1492,0),0)),"",OFFSET('HARGA SATUAN'!$I$6,MATCH(C22,'HARGA SATUAN'!$C$7:$C$1492,0),0))</f>
        <v>6600</v>
      </c>
      <c r="H22" s="42">
        <f t="shared" ca="1" si="1"/>
        <v>462000</v>
      </c>
      <c r="I22" s="42">
        <f t="shared" ca="1" si="2"/>
        <v>0</v>
      </c>
      <c r="J22" s="42">
        <f t="shared" ca="1" si="3"/>
        <v>0</v>
      </c>
      <c r="K22" s="43">
        <f t="shared" ca="1" si="0"/>
        <v>462000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5" t="s">
        <v>1008</v>
      </c>
      <c r="D168" s="545"/>
      <c r="E168" s="545"/>
      <c r="F168" s="545"/>
      <c r="G168" s="77" t="s">
        <v>9</v>
      </c>
      <c r="H168" s="55">
        <f ca="1">SUM(H14:H167)</f>
        <v>31782750</v>
      </c>
      <c r="I168" s="55">
        <f ca="1">SUM(I14:I167)</f>
        <v>0</v>
      </c>
      <c r="J168" s="55">
        <f ca="1">SUM(J14:J167)</f>
        <v>0</v>
      </c>
      <c r="K168" s="55">
        <f ca="1">SUM(K14:K167)</f>
        <v>31782750</v>
      </c>
      <c r="L168" s="44"/>
      <c r="R168" s="99"/>
      <c r="S168" s="99"/>
      <c r="T168" s="99"/>
    </row>
    <row r="169" spans="1:20" s="36" customFormat="1">
      <c r="A169" s="30"/>
      <c r="B169" s="56"/>
      <c r="C169" s="546" t="s">
        <v>462</v>
      </c>
      <c r="D169" s="546"/>
      <c r="E169" s="546"/>
      <c r="F169" s="546"/>
      <c r="G169" s="59" t="s">
        <v>9</v>
      </c>
      <c r="H169" s="60">
        <f ca="1">H168*0.1</f>
        <v>3178275</v>
      </c>
      <c r="I169" s="60">
        <f ca="1">I168*0.1</f>
        <v>0</v>
      </c>
      <c r="J169" s="60">
        <f ca="1">J168*0.1</f>
        <v>0</v>
      </c>
      <c r="K169" s="60">
        <f ca="1">K168*0.1</f>
        <v>3178275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5" t="s">
        <v>463</v>
      </c>
      <c r="D170" s="535"/>
      <c r="E170" s="535"/>
      <c r="F170" s="535"/>
      <c r="G170" s="61" t="s">
        <v>9</v>
      </c>
      <c r="H170" s="78">
        <f ca="1">SUM(H168:H169)</f>
        <v>34961025</v>
      </c>
      <c r="I170" s="78">
        <f ca="1">SUM(I168:I169)</f>
        <v>0</v>
      </c>
      <c r="J170" s="61">
        <f ca="1">SUM(J168:J169)</f>
        <v>0</v>
      </c>
      <c r="K170" s="61">
        <f ca="1">SUM(K168:K169)</f>
        <v>34961025</v>
      </c>
      <c r="L170" s="44"/>
      <c r="R170" s="99"/>
      <c r="S170" s="99"/>
      <c r="T170" s="99"/>
    </row>
    <row r="171" spans="1:20" s="36" customFormat="1">
      <c r="A171" s="30"/>
      <c r="B171" s="538" t="e">
        <f ca="1">"Terbilang : ( "&amp;L172&amp;" Rupiah )"</f>
        <v>#NAME?</v>
      </c>
      <c r="C171" s="539"/>
      <c r="D171" s="539"/>
      <c r="E171" s="539"/>
      <c r="F171" s="539"/>
      <c r="G171" s="539"/>
      <c r="H171" s="539"/>
      <c r="I171" s="539"/>
      <c r="J171" s="539"/>
      <c r="K171" s="540"/>
      <c r="L171" s="44"/>
      <c r="R171" s="58"/>
      <c r="S171" s="58"/>
      <c r="T171" s="58"/>
    </row>
    <row r="172" spans="1:20" s="36" customFormat="1">
      <c r="A172" s="30"/>
      <c r="B172" s="541"/>
      <c r="C172" s="542"/>
      <c r="D172" s="542"/>
      <c r="E172" s="542"/>
      <c r="F172" s="542"/>
      <c r="G172" s="542"/>
      <c r="H172" s="542"/>
      <c r="I172" s="542"/>
      <c r="J172" s="542"/>
      <c r="K172" s="543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6"/>
      <c r="I175" s="536"/>
      <c r="J175" s="537"/>
      <c r="K175" s="53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6"/>
      <c r="I176" s="536"/>
      <c r="J176" s="537"/>
      <c r="K176" s="53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6"/>
      <c r="I177" s="536"/>
      <c r="J177" s="537"/>
      <c r="K177" s="53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6"/>
      <c r="I182" s="536"/>
      <c r="J182" s="537"/>
      <c r="K182" s="53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SUMIFS(RAB!$F$14:$F$115,RAB!$C$14:$C$115,C224)</f>
        <v>2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SUMIFS(RAB!$F$14:$F$115,RAB!$C$14:$C$115,C225)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SUMIFS(RAB!$F$14:$F$115,RAB!$C$14:$C$115,C226)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SUMIFS(RAB!$F$14:$F$115,RAB!$C$14:$C$115,C227)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SUMIFS(RAB!$F$14:$F$115,RAB!$C$14:$C$115,C228)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SUMIFS(RAB!$F$14:$F$115,RAB!$C$14:$C$115,C229)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SUMIFS(RAB!$F$14:$F$115,RAB!$C$14:$C$115,C230)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SUMIFS(RAB!$F$14:$F$115,RAB!$C$14:$C$115,C231)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SUMIFS(RAB!$F$14:$F$115,RAB!$C$14:$C$115,C232)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SUMIFS(RAB!$F$14:$F$115,RAB!$C$14:$C$115,C233)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SUMIFS(RAB!$F$14:$F$115,RAB!$C$14:$C$115,C234)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SUMIFS(RAB!$F$14:$F$115,RAB!$C$14:$C$115,C235)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SUMIFS(RAB!$F$14:$F$115,RAB!$C$14:$C$115,C236)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SUMIFS(RAB!$F$14:$F$115,RAB!$C$14:$C$115,C237)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SUMIFS(RAB!$F$14:$F$115,RAB!$C$14:$C$115,C238)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SUMIFS(RAB!$F$14:$F$115,RAB!$C$14:$C$115,C239)</f>
        <v>2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SUMIFS(RAB!$F$14:$F$115,RAB!$C$14:$C$115,C240)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SUMIFS(RAB!$F$14:$F$115,RAB!$C$14:$C$115,C241)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SUMIFS(RAB!$F$14:$F$115,RAB!$C$14:$C$115,C242)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SUMIFS(RAB!$F$14:$F$115,RAB!$C$14:$C$115,C243)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SUMIFS(RAB!$F$14:$F$115,RAB!$C$14:$C$115,C244)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SUMIFS(RAB!$F$14:$F$115,RAB!$C$14:$C$115,C245)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SUMIFS(RAB!$F$14:$F$115,RAB!$C$14:$C$115,C246)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SUMIFS(RAB!$F$14:$F$115,RAB!$C$14:$C$115,C247)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SUMIFS(RAB!$F$14:$F$115,RAB!$C$14:$C$115,C248)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SUMIFS(RAB!$F$14:$F$115,RAB!$C$14:$C$115,C249)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SUMIFS(RAB!$F$14:$F$115,RAB!$C$14:$C$115,C250)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SUMIFS(RAB!$F$14:$F$115,RAB!$C$14:$C$115,C251)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SUMIFS(RAB!$F$14:$F$115,RAB!$C$14:$C$115,C252)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SUMIFS(RAB!$F$14:$F$115,RAB!$C$14:$C$115,C253)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SUMIFS(RAB!$F$14:$F$115,RAB!$C$14:$C$115,C254)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SUMIFS(RAB!$F$14:$F$115,RAB!$C$14:$C$115,C255)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SUMIFS(RAB!$F$14:$F$115,RAB!$C$14:$C$115,C256)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SUMIFS(RAB!$F$14:$F$115,RAB!$C$14:$C$115,C257)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SUMIFS(RAB!$F$14:$F$115,RAB!$C$14:$C$115,C258)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SUMIFS(RAB!$F$14:$F$115,RAB!$C$14:$C$115,C259)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SUMIFS(RAB!$F$14:$F$115,RAB!$C$14:$C$115,C260)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SUMIFS(RAB!$F$14:$F$115,RAB!$C$14:$C$115,C261)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SUMIFS(RAB!$F$14:$F$115,RAB!$C$14:$C$115,C262)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SUMIFS(RAB!$F$14:$F$115,RAB!$C$14:$C$115,C263)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SUMIFS(RAB!$F$14:$F$115,RAB!$C$14:$C$115,C264)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SUMIFS(RAB!$F$14:$F$115,RAB!$C$14:$C$115,C265)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SUMIFS(RAB!$F$14:$F$115,RAB!$C$14:$C$115,C266)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SUMIFS(RAB!$F$14:$F$115,RAB!$C$14:$C$115,C267)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SUMIFS(RAB!$F$14:$F$115,RAB!$C$14:$C$115,C268)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SUMIFS(RAB!$F$14:$F$115,RAB!$C$14:$C$115,C269)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SUMIFS(RAB!$F$14:$F$115,RAB!$C$14:$C$115,C270)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SUMIFS(RAB!$F$14:$F$115,RAB!$C$14:$C$115,C271)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SUMIFS(RAB!$F$14:$F$115,RAB!$C$14:$C$115,C272)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SUMIFS(RAB!$F$14:$F$115,RAB!$C$14:$C$115,C273)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SUMIFS(RAB!$F$14:$F$115,RAB!$C$14:$C$115,C274)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SUMIFS(RAB!$F$14:$F$115,RAB!$C$14:$C$115,C275)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SUMIFS(RAB!$F$14:$F$115,RAB!$C$14:$C$115,C276)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SUMIFS(RAB!$F$14:$F$115,RAB!$C$14:$C$115,C277)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SUMIFS(RAB!$F$14:$F$115,RAB!$C$14:$C$115,C278)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SUMIFS(RAB!$F$14:$F$115,RAB!$C$14:$C$115,C279)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SUMIFS(RAB!$F$14:$F$115,RAB!$C$14:$C$115,C280)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SUMIFS(RAB!$F$14:$F$115,RAB!$C$14:$C$115,C281)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SUMIFS(RAB!$F$14:$F$115,RAB!$C$14:$C$115,C282)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SUMIFS(RAB!$F$14:$F$115,RAB!$C$14:$C$115,C283)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SUMIFS(RAB!$F$14:$F$115,RAB!$C$14:$C$115,C284)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SUMIFS(RAB!$F$14:$F$115,RAB!$C$14:$C$115,C285)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SUMIFS(RAB!$F$14:$F$115,RAB!$C$14:$C$115,C286)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SUMIFS(RAB!$F$14:$F$115,RAB!$C$14:$C$115,C287)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SUMIFS(RAB!$F$14:$F$115,RAB!$C$14:$C$115,C288)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SUMIFS(RAB!$F$14:$F$115,RAB!$C$14:$C$115,C289)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SUMIFS(RAB!$F$14:$F$115,RAB!$C$14:$C$115,C290)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SUMIFS(RAB!$F$14:$F$115,RAB!$C$14:$C$115,C291)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SUMIFS(RAB!$F$14:$F$115,RAB!$C$14:$C$115,C292)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SUMIFS(RAB!$F$14:$F$115,RAB!$C$14:$C$115,C293)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SUMIFS(RAB!$F$14:$F$115,RAB!$C$14:$C$115,C294)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SUMIFS(RAB!$F$14:$F$115,RAB!$C$14:$C$115,C295)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SUMIFS(RAB!$F$14:$F$115,RAB!$C$14:$C$115,C296)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SUMIFS(RAB!$F$14:$F$115,RAB!$C$14:$C$115,C297)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SUMIFS(RAB!$F$14:$F$115,RAB!$C$14:$C$115,C298)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SUMIFS(RAB!$F$14:$F$115,RAB!$C$14:$C$115,C299)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SUMIFS(RAB!$F$14:$F$115,RAB!$C$14:$C$115,C300)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SUMIFS(RAB!$F$14:$F$115,RAB!$C$14:$C$115,C301)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SUMIFS(RAB!$F$14:$F$115,RAB!$C$14:$C$115,C302)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SUMIFS(RAB!$F$14:$F$115,RAB!$C$14:$C$115,C303)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SUMIFS(RAB!$F$14:$F$115,RAB!$C$14:$C$115,C304)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SUMIFS(RAB!$F$14:$F$115,RAB!$C$14:$C$115,C305)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SUMIFS(RAB!$F$14:$F$115,RAB!$C$14:$C$115,C306)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SUMIFS(RAB!$F$14:$F$115,RAB!$C$14:$C$115,C307)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SUMIFS(RAB!$F$14:$F$115,RAB!$C$14:$C$115,C308)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SUMIFS(RAB!$F$14:$F$115,RAB!$C$14:$C$115,C309)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SUMIFS(RAB!$F$14:$F$115,RAB!$C$14:$C$115,C310)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SUMIFS(RAB!$F$14:$F$115,RAB!$C$14:$C$115,C311)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SUMIFS(RAB!$F$14:$F$115,RAB!$C$14:$C$115,C312)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SUMIFS(RAB!$F$14:$F$115,RAB!$C$14:$C$115,C313)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SUMIFS(RAB!$F$14:$F$115,RAB!$C$14:$C$115,C314)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SUMIFS(RAB!$F$14:$F$115,RAB!$C$14:$C$115,C315)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SUMIFS(RAB!$F$14:$F$115,RAB!$C$14:$C$115,C316)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SUMIFS(RAB!$F$14:$F$115,RAB!$C$14:$C$115,C317)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SUMIFS(RAB!$F$14:$F$115,RAB!$C$14:$C$115,C318)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SUMIFS(RAB!$F$14:$F$115,RAB!$C$14:$C$115,C319)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SUMIFS(RAB!$F$14:$F$115,RAB!$C$14:$C$115,C320)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SUMIFS(RAB!$F$14:$F$115,RAB!$C$14:$C$115,C321)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SUMIFS(RAB!$F$14:$F$115,RAB!$C$14:$C$115,C322)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SUMIFS(RAB!$F$14:$F$115,RAB!$C$14:$C$115,C323)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SUMIFS(RAB!$F$14:$F$115,RAB!$C$14:$C$115,C324)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SUMIFS(RAB!$F$14:$F$115,RAB!$C$14:$C$115,C325)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SUMIFS(RAB!$F$14:$F$115,RAB!$C$14:$C$115,C326)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SUMIFS(RAB!$F$14:$F$115,RAB!$C$14:$C$115,C327)</f>
        <v>1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SUMIFS(RAB!$F$14:$F$115,RAB!$C$14:$C$115,C328)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SUMIFS(RAB!$F$14:$F$115,RAB!$C$14:$C$115,C329)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SUMIFS(RAB!$F$14:$F$115,RAB!$C$14:$C$115,C330)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SUMIFS(RAB!$F$14:$F$115,RAB!$C$14:$C$115,C331)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SUMIFS(RAB!$F$14:$F$115,RAB!$C$14:$C$115,C332)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SUMIFS(RAB!$F$14:$F$115,RAB!$C$14:$C$115,C333)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SUMIFS(RAB!$F$14:$F$115,RAB!$C$14:$C$115,C334)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SUMIFS(RAB!$F$14:$F$115,RAB!$C$14:$C$115,C335)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SUMIFS(RAB!$F$14:$F$115,RAB!$C$14:$C$115,C336)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SUMIFS(RAB!$F$14:$F$115,RAB!$C$14:$C$115,C337)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SUMIFS(RAB!$F$14:$F$115,RAB!$C$14:$C$115,C338)</f>
        <v>2</v>
      </c>
      <c r="E338" s="24">
        <f t="shared" ca="1" si="22"/>
        <v>1</v>
      </c>
      <c r="F338" s="24">
        <f ca="1">IF(D338=0,0,SUM($E$223:E338))</f>
        <v>5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SUMIFS(RAB!$F$14:$F$115,RAB!$C$14:$C$115,C339)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SUMIFS(RAB!$F$14:$F$115,RAB!$C$14:$C$115,C340)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SUMIFS(RAB!$F$14:$F$115,RAB!$C$14:$C$115,C341)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SUMIFS(RAB!$F$14:$F$115,RAB!$C$14:$C$115,C342)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SUMIFS(RAB!$F$14:$F$115,RAB!$C$14:$C$115,C343)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SUMIFS(RAB!$F$14:$F$115,RAB!$C$14:$C$115,C344)</f>
        <v>35</v>
      </c>
      <c r="E344" s="24">
        <f t="shared" ca="1" si="22"/>
        <v>1</v>
      </c>
      <c r="F344" s="24">
        <f ca="1">IF(D344=0,0,SUM($E$223:E344))</f>
        <v>6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SUMIFS(RAB!$F$14:$F$115,RAB!$C$14:$C$115,C345)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SUMIFS(RAB!$F$14:$F$115,RAB!$C$14:$C$115,C346)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SUMIFS(RAB!$F$14:$F$115,RAB!$C$14:$C$115,C347)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SUMIFS(RAB!$F$14:$F$115,RAB!$C$14:$C$115,C348)</f>
        <v>70</v>
      </c>
      <c r="E348" s="24">
        <f t="shared" ca="1" si="22"/>
        <v>1</v>
      </c>
      <c r="F348" s="24">
        <f ca="1">IF(D348=0,0,SUM($E$223:E348))</f>
        <v>7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SUMIFS(RAB!$F$14:$F$115,RAB!$C$14:$C$115,C349)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SUMIFS(RAB!$F$14:$F$115,RAB!$C$14:$C$115,C350)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SUMIFS(RAB!$F$14:$F$115,RAB!$C$14:$C$115,C351)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SUMIFS(RAB!$F$14:$F$115,RAB!$C$14:$C$115,C352)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SUMIFS(RAB!$F$14:$F$115,RAB!$C$14:$C$115,C353)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SUMIFS(RAB!$F$14:$F$115,RAB!$C$14:$C$115,C354)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SUMIFS(RAB!$F$14:$F$115,RAB!$C$14:$C$115,C355)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SUMIFS(RAB!$F$14:$F$115,RAB!$C$14:$C$115,C356)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SUMIFS(RAB!$F$14:$F$115,RAB!$C$14:$C$115,C357)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SUMIFS(RAB!$F$14:$F$115,RAB!$C$14:$C$115,C358)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SUMIFS(RAB!$F$14:$F$115,RAB!$C$14:$C$115,C359)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SUMIFS(RAB!$F$14:$F$115,RAB!$C$14:$C$115,C360)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SUMIFS(RAB!$F$14:$F$115,RAB!$C$14:$C$115,C361)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SUMIFS(RAB!$F$14:$F$115,RAB!$C$14:$C$115,C362)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SUMIFS(RAB!$F$14:$F$115,RAB!$C$14:$C$115,C363)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SUMIFS(RAB!$F$14:$F$115,RAB!$C$14:$C$115,C364)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SUMIFS(RAB!$F$14:$F$115,RAB!$C$14:$C$115,C365)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SUMIFS(RAB!$F$14:$F$115,RAB!$C$14:$C$115,C366)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SUMIFS(RAB!$F$14:$F$115,RAB!$C$14:$C$115,C367)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SUMIFS(RAB!$F$14:$F$115,RAB!$C$14:$C$115,C368)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SUMIFS(RAB!$F$14:$F$115,RAB!$C$14:$C$115,C369)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SUMIFS(RAB!$F$14:$F$115,RAB!$C$14:$C$115,C370)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SUMIFS(RAB!$F$14:$F$115,RAB!$C$14:$C$115,C371)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SUMIFS(RAB!$F$14:$F$115,RAB!$C$14:$C$115,C372)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SUMIFS(RAB!$F$14:$F$115,RAB!$C$14:$C$115,C373)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3" priority="5" operator="equal">
      <formula>0</formula>
    </cfRule>
  </conditionalFormatting>
  <conditionalFormatting sqref="C16:C165">
    <cfRule type="cellIs" dxfId="42" priority="4" stopIfTrue="1" operator="equal">
      <formula>0</formula>
    </cfRule>
  </conditionalFormatting>
  <conditionalFormatting sqref="C16:E165">
    <cfRule type="cellIs" dxfId="41" priority="1" operator="equal">
      <formula>0</formula>
    </cfRule>
  </conditionalFormatting>
  <conditionalFormatting sqref="D224:F373">
    <cfRule type="cellIs" dxfId="40" priority="8" operator="equal">
      <formula>0</formula>
    </cfRule>
  </conditionalFormatting>
  <conditionalFormatting sqref="E1:E3 G1:G115 E6:E15 H12:I12 N13 F14:F15 H14:K115 E166:K166 G166:G223 E167:F167 H167:K167">
    <cfRule type="cellIs" dxfId="39" priority="43" stopIfTrue="1" operator="equal">
      <formula>0</formula>
    </cfRule>
  </conditionalFormatting>
  <conditionalFormatting sqref="E171:E65536">
    <cfRule type="cellIs" dxfId="38" priority="9" stopIfTrue="1" operator="equal">
      <formula>0</formula>
    </cfRule>
  </conditionalFormatting>
  <conditionalFormatting sqref="G224">
    <cfRule type="cellIs" dxfId="37" priority="10" operator="equal">
      <formula>0</formula>
    </cfRule>
  </conditionalFormatting>
  <conditionalFormatting sqref="G225:G65536">
    <cfRule type="cellIs" dxfId="36" priority="14" stopIfTrue="1" operator="equal">
      <formula>0</formula>
    </cfRule>
  </conditionalFormatting>
  <conditionalFormatting sqref="R14:T166 G116:K165">
    <cfRule type="cellIs" dxfId="3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11" activePane="bottomRight" state="frozen"/>
      <selection activeCell="D209" sqref="D209"/>
      <selection pane="topRight" activeCell="D209" sqref="D209"/>
      <selection pane="bottomLeft" activeCell="D209" sqref="D209"/>
      <selection pane="bottomRight" activeCell="C228" sqref="C228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3" t="s">
        <v>41</v>
      </c>
      <c r="C2" s="56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4" t="s">
        <v>23</v>
      </c>
      <c r="C4" s="565" t="s">
        <v>1012</v>
      </c>
      <c r="D4" s="565" t="s">
        <v>42</v>
      </c>
      <c r="E4" s="564" t="s">
        <v>43</v>
      </c>
      <c r="F4" s="108" t="s">
        <v>1604</v>
      </c>
      <c r="G4" s="108" t="s">
        <v>1603</v>
      </c>
      <c r="H4" s="562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4"/>
      <c r="C5" s="565"/>
      <c r="D5" s="565"/>
      <c r="E5" s="564"/>
      <c r="F5" s="93"/>
      <c r="G5" s="93"/>
      <c r="H5" s="562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4" priority="138" operator="equal">
      <formula>0</formula>
    </cfRule>
  </conditionalFormatting>
  <conditionalFormatting sqref="B8:C135">
    <cfRule type="cellIs" dxfId="33" priority="51" operator="equal">
      <formula>0</formula>
    </cfRule>
  </conditionalFormatting>
  <conditionalFormatting sqref="B150:G1493">
    <cfRule type="cellIs" dxfId="32" priority="1" operator="equal">
      <formula>0</formula>
    </cfRule>
  </conditionalFormatting>
  <conditionalFormatting sqref="C143:G149">
    <cfRule type="cellIs" dxfId="31" priority="5" operator="equal">
      <formula>0</formula>
    </cfRule>
  </conditionalFormatting>
  <conditionalFormatting sqref="D9:G142">
    <cfRule type="cellIs" dxfId="30" priority="11" operator="equal">
      <formula>0</formula>
    </cfRule>
  </conditionalFormatting>
  <conditionalFormatting sqref="D1:IV5 A1:C7 D6:K6 H1455:IV1457 H1458:XFD1485 H1486:H1493 I1486:XFD1494 A1494:H1494 A1495:XFD65536">
    <cfRule type="cellIs" dxfId="29" priority="163" operator="equal">
      <formula>0</formula>
    </cfRule>
  </conditionalFormatting>
  <conditionalFormatting sqref="D7:IV8 C136:C142 B136:B149">
    <cfRule type="cellIs" dxfId="28" priority="62" operator="equal">
      <formula>0</formula>
    </cfRule>
  </conditionalFormatting>
  <conditionalFormatting sqref="H9:H1418">
    <cfRule type="cellIs" dxfId="27" priority="129" operator="equal">
      <formula>0</formula>
    </cfRule>
  </conditionalFormatting>
  <conditionalFormatting sqref="H1419:I1454">
    <cfRule type="cellIs" dxfId="26" priority="128" operator="equal">
      <formula>0</formula>
    </cfRule>
  </conditionalFormatting>
  <conditionalFormatting sqref="I108:I1418">
    <cfRule type="cellIs" dxfId="25" priority="125" operator="equal">
      <formula>0</formula>
    </cfRule>
  </conditionalFormatting>
  <conditionalFormatting sqref="J108:IV1454">
    <cfRule type="cellIs" dxfId="24" priority="139" operator="equal">
      <formula>0</formula>
    </cfRule>
  </conditionalFormatting>
  <conditionalFormatting sqref="M6:IV6">
    <cfRule type="cellIs" dxfId="23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0" t="s">
        <v>1454</v>
      </c>
      <c r="C2" s="570"/>
      <c r="D2" s="570"/>
      <c r="E2" s="570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75" t="s">
        <v>1532</v>
      </c>
      <c r="C4" s="576"/>
      <c r="D4" s="576"/>
      <c r="E4" s="577"/>
      <c r="F4" s="442"/>
      <c r="G4" s="442"/>
      <c r="H4" s="443"/>
      <c r="I4" s="602" t="s">
        <v>1533</v>
      </c>
      <c r="J4" s="603"/>
      <c r="K4" s="603"/>
      <c r="L4" s="604"/>
    </row>
    <row r="5" spans="1:12" ht="34.5" customHeight="1">
      <c r="A5" s="204"/>
      <c r="B5" s="445" t="s">
        <v>1379</v>
      </c>
      <c r="C5" s="277" t="s">
        <v>9</v>
      </c>
      <c r="D5" s="571" t="str">
        <f>DATA!D14</f>
        <v>ALFAMART KALIKONDANG</v>
      </c>
      <c r="E5" s="572"/>
      <c r="F5" s="208"/>
      <c r="G5" s="208"/>
      <c r="I5" s="446" t="s">
        <v>1379</v>
      </c>
      <c r="J5" s="277" t="s">
        <v>9</v>
      </c>
      <c r="K5" s="605" t="str">
        <f>D5</f>
        <v>ALFAMART KALIKONDANG</v>
      </c>
      <c r="L5" s="606"/>
    </row>
    <row r="6" spans="1:12" ht="31.5" customHeight="1">
      <c r="A6" s="204"/>
      <c r="B6" s="445" t="s">
        <v>1529</v>
      </c>
      <c r="C6" s="277" t="s">
        <v>9</v>
      </c>
      <c r="D6" s="580">
        <f>DATA!D17*1000</f>
        <v>0</v>
      </c>
      <c r="E6" s="581"/>
      <c r="F6" s="208"/>
      <c r="G6" s="208"/>
      <c r="I6" s="446" t="s">
        <v>1530</v>
      </c>
      <c r="J6" s="277" t="s">
        <v>9</v>
      </c>
      <c r="K6" s="607">
        <f>DATA!D20*1000</f>
        <v>22000</v>
      </c>
      <c r="L6" s="608"/>
    </row>
    <row r="7" spans="1:12" ht="30.75" customHeight="1">
      <c r="A7" s="204"/>
      <c r="B7" s="445" t="s">
        <v>1441</v>
      </c>
      <c r="C7" s="277" t="s">
        <v>9</v>
      </c>
      <c r="D7" s="578">
        <f>DATA!D18</f>
        <v>1</v>
      </c>
      <c r="E7" s="579"/>
      <c r="F7" s="444" t="s">
        <v>1453</v>
      </c>
      <c r="I7" s="446" t="s">
        <v>1441</v>
      </c>
      <c r="J7" s="277" t="s">
        <v>9</v>
      </c>
      <c r="K7" s="609">
        <f>DATA!D21</f>
        <v>3</v>
      </c>
      <c r="L7" s="610"/>
    </row>
    <row r="8" spans="1:12" ht="51" customHeight="1">
      <c r="A8" s="204"/>
      <c r="B8" s="445" t="s">
        <v>1442</v>
      </c>
      <c r="C8" s="277" t="s">
        <v>9</v>
      </c>
      <c r="D8" s="578">
        <f>DATA!D19</f>
        <v>220</v>
      </c>
      <c r="E8" s="579"/>
      <c r="F8" s="444" t="s">
        <v>1453</v>
      </c>
      <c r="G8" s="439">
        <v>220</v>
      </c>
      <c r="I8" s="446" t="s">
        <v>1442</v>
      </c>
      <c r="J8" s="277" t="s">
        <v>9</v>
      </c>
      <c r="K8" s="609">
        <f>DATA!D22</f>
        <v>380</v>
      </c>
      <c r="L8" s="610"/>
    </row>
    <row r="9" spans="1:12" ht="30" customHeight="1" thickBot="1">
      <c r="A9" s="204"/>
      <c r="B9" s="451" t="s">
        <v>1541</v>
      </c>
      <c r="C9" s="441" t="s">
        <v>9</v>
      </c>
      <c r="D9" s="573">
        <f>IF(D7=1,D6/(380/3^0.5),(D6/(380*3^0.5)))</f>
        <v>0</v>
      </c>
      <c r="E9" s="574"/>
      <c r="F9" s="207"/>
      <c r="G9" s="440">
        <v>380</v>
      </c>
      <c r="I9" s="452" t="s">
        <v>1541</v>
      </c>
      <c r="J9" s="441" t="s">
        <v>9</v>
      </c>
      <c r="K9" s="611">
        <f>IF(K7=1,K6/(380/3^0.5),(K6/(380*3^0.5)))</f>
        <v>33.425541900452018</v>
      </c>
      <c r="L9" s="612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582"/>
      <c r="E12" s="583"/>
      <c r="F12" s="208"/>
      <c r="G12" s="208"/>
      <c r="I12" s="468" t="s">
        <v>1534</v>
      </c>
      <c r="J12" s="469" t="s">
        <v>9</v>
      </c>
      <c r="K12" s="582"/>
      <c r="L12" s="583"/>
    </row>
    <row r="13" spans="1:12" ht="31.5" customHeight="1">
      <c r="A13" s="204"/>
      <c r="B13" s="476" t="s">
        <v>1380</v>
      </c>
      <c r="C13" s="456" t="s">
        <v>9</v>
      </c>
      <c r="D13" s="586"/>
      <c r="E13" s="587"/>
      <c r="F13" s="208"/>
      <c r="G13" s="208"/>
      <c r="I13" s="470" t="s">
        <v>1380</v>
      </c>
      <c r="J13" s="456" t="s">
        <v>9</v>
      </c>
      <c r="K13" s="586"/>
      <c r="L13" s="587"/>
    </row>
    <row r="14" spans="1:12" ht="30.75" customHeight="1">
      <c r="A14" s="204"/>
      <c r="B14" s="476" t="s">
        <v>1535</v>
      </c>
      <c r="C14" s="456" t="s">
        <v>9</v>
      </c>
      <c r="D14" s="594"/>
      <c r="E14" s="595"/>
      <c r="F14" s="444" t="s">
        <v>1453</v>
      </c>
      <c r="G14" s="448">
        <v>50</v>
      </c>
      <c r="I14" s="470" t="s">
        <v>1535</v>
      </c>
      <c r="J14" s="456" t="s">
        <v>9</v>
      </c>
      <c r="K14" s="596"/>
      <c r="L14" s="597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98">
        <v>0</v>
      </c>
      <c r="E16" s="599"/>
      <c r="F16" s="444"/>
      <c r="G16" s="448">
        <v>160</v>
      </c>
      <c r="I16" s="470" t="s">
        <v>1537</v>
      </c>
      <c r="J16" s="456" t="s">
        <v>9</v>
      </c>
      <c r="K16" s="600">
        <f>K9</f>
        <v>33.425541900452018</v>
      </c>
      <c r="L16" s="601"/>
    </row>
    <row r="17" spans="1:12" ht="34.5" customHeight="1">
      <c r="A17" s="204"/>
      <c r="B17" s="476" t="s">
        <v>1538</v>
      </c>
      <c r="C17" s="456" t="s">
        <v>9</v>
      </c>
      <c r="D17" s="588">
        <f>IF(D15=1,D14/(20/3^0.5),(D14/(20*3^0.5)))</f>
        <v>0</v>
      </c>
      <c r="E17" s="589"/>
      <c r="F17" s="444" t="s">
        <v>1453</v>
      </c>
      <c r="G17" s="449">
        <v>200</v>
      </c>
      <c r="I17" s="470" t="s">
        <v>1538</v>
      </c>
      <c r="J17" s="456" t="s">
        <v>9</v>
      </c>
      <c r="K17" s="592">
        <f>IF(K15=1,K14/(20/3^0.5),(K14/(20*3^0.5)))</f>
        <v>0</v>
      </c>
      <c r="L17" s="593"/>
    </row>
    <row r="18" spans="1:12" ht="34.5" customHeight="1">
      <c r="A18" s="204"/>
      <c r="B18" s="476" t="s">
        <v>1539</v>
      </c>
      <c r="C18" s="456" t="s">
        <v>9</v>
      </c>
      <c r="D18" s="588">
        <f>IF(D15=1,D14/(380/3^0.5),(D14/(380*3^0.5)))*1000</f>
        <v>0</v>
      </c>
      <c r="E18" s="589"/>
      <c r="F18" s="444" t="s">
        <v>1453</v>
      </c>
      <c r="G18" s="449">
        <v>250</v>
      </c>
      <c r="I18" s="470" t="s">
        <v>1539</v>
      </c>
      <c r="J18" s="456" t="s">
        <v>9</v>
      </c>
      <c r="K18" s="592">
        <f>IF(K15=1,K14/(380/3^0.5),(K14/(380*3^0.5)))*1000</f>
        <v>0</v>
      </c>
      <c r="L18" s="593"/>
    </row>
    <row r="19" spans="1:12" ht="30" customHeight="1">
      <c r="A19" s="204"/>
      <c r="B19" s="477" t="s">
        <v>1531</v>
      </c>
      <c r="C19" s="455" t="s">
        <v>9</v>
      </c>
      <c r="D19" s="588">
        <f>IF(D15=1,D14/(380/3^0.5),(D14/(380*3^0.5)))</f>
        <v>0</v>
      </c>
      <c r="E19" s="589"/>
      <c r="F19" s="207"/>
      <c r="G19" s="440"/>
      <c r="I19" s="472" t="s">
        <v>1531</v>
      </c>
      <c r="J19" s="455" t="s">
        <v>9</v>
      </c>
      <c r="K19" s="592">
        <f>IF(K15=1,K14/(380/3^0.5),(K14/(380*3^0.5)))</f>
        <v>0</v>
      </c>
      <c r="L19" s="593"/>
    </row>
    <row r="20" spans="1:12" ht="30" customHeight="1" thickBot="1">
      <c r="A20" s="204"/>
      <c r="B20" s="478" t="s">
        <v>1540</v>
      </c>
      <c r="C20" s="474" t="s">
        <v>9</v>
      </c>
      <c r="D20" s="584" t="e">
        <f>D16/D18</f>
        <v>#DIV/0!</v>
      </c>
      <c r="E20" s="585"/>
      <c r="F20" s="207"/>
      <c r="G20" s="440"/>
      <c r="I20" s="473" t="s">
        <v>1531</v>
      </c>
      <c r="J20" s="474" t="s">
        <v>9</v>
      </c>
      <c r="K20" s="590" t="e">
        <f>K16/K18</f>
        <v>#DIV/0!</v>
      </c>
      <c r="L20" s="591"/>
    </row>
    <row r="21" spans="1:12" ht="9.75" customHeight="1">
      <c r="A21" s="204"/>
      <c r="B21" s="463" t="s">
        <v>1540</v>
      </c>
      <c r="C21" s="464" t="s">
        <v>9</v>
      </c>
      <c r="D21" s="569">
        <v>1</v>
      </c>
      <c r="E21" s="569"/>
      <c r="F21" s="465"/>
      <c r="G21" s="466"/>
      <c r="H21" s="467"/>
      <c r="I21" s="463" t="s">
        <v>1531</v>
      </c>
      <c r="J21" s="464" t="s">
        <v>9</v>
      </c>
      <c r="K21" s="569">
        <v>1</v>
      </c>
      <c r="L21" s="569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66"/>
      <c r="C24" s="567"/>
      <c r="D24" s="567"/>
      <c r="E24" s="568"/>
      <c r="I24" s="566"/>
      <c r="J24" s="567"/>
      <c r="K24" s="567"/>
      <c r="L24" s="568"/>
    </row>
    <row r="26" spans="1:12">
      <c r="D26" s="458"/>
    </row>
    <row r="27" spans="1:12">
      <c r="D27" s="45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2" priority="5" stopIfTrue="1" operator="greaterThan">
      <formula>0.89</formula>
    </cfRule>
    <cfRule type="cellIs" dxfId="21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Normal="100" workbookViewId="0">
      <selection activeCell="D20" sqref="D20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3"/>
      <c r="C1" s="613"/>
      <c r="D1" s="613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1605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22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21318000</v>
      </c>
    </row>
    <row r="10" spans="2:11" ht="20.100000000000001" customHeight="1">
      <c r="B10" s="291" t="s">
        <v>1446</v>
      </c>
      <c r="C10" s="292" t="s">
        <v>9</v>
      </c>
      <c r="D10" s="298">
        <f ca="1">RAB!K121</f>
        <v>44811153.516399994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896223.07032799989</v>
      </c>
    </row>
    <row r="12" spans="2:11" ht="9" customHeight="1">
      <c r="B12" s="614"/>
      <c r="C12" s="614"/>
      <c r="D12" s="614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1630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1637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f>2*11</f>
        <v>22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3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380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C1" zoomScale="85" zoomScaleNormal="85" workbookViewId="0">
      <pane ySplit="6" topLeftCell="A7" activePane="bottomLeft" state="frozen"/>
      <selection activeCell="H1093" sqref="H1093"/>
      <selection pane="bottomLeft" activeCell="K16" sqref="K1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5" t="s">
        <v>1357</v>
      </c>
      <c r="C3" s="615"/>
      <c r="D3" s="615"/>
      <c r="E3" s="615"/>
      <c r="F3" s="305" t="str">
        <f>DATA!D14</f>
        <v>ALFAMART KALIKONDANG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6" t="s">
        <v>1349</v>
      </c>
      <c r="C5" s="616" t="s">
        <v>1358</v>
      </c>
      <c r="D5" s="617" t="s">
        <v>1359</v>
      </c>
      <c r="E5" s="617" t="s">
        <v>1360</v>
      </c>
      <c r="F5" s="616" t="s">
        <v>1361</v>
      </c>
      <c r="G5" s="616"/>
      <c r="H5" s="616"/>
      <c r="I5" s="616"/>
      <c r="J5" s="616"/>
      <c r="K5" s="616" t="s">
        <v>1362</v>
      </c>
      <c r="L5" s="616"/>
      <c r="M5" s="307"/>
      <c r="N5" s="620" t="s">
        <v>1363</v>
      </c>
      <c r="O5" s="617" t="s">
        <v>1364</v>
      </c>
      <c r="P5" s="617" t="s">
        <v>1365</v>
      </c>
      <c r="Q5" s="617" t="s">
        <v>1366</v>
      </c>
      <c r="R5" s="308"/>
      <c r="S5" s="309"/>
      <c r="T5" s="618" t="s">
        <v>1367</v>
      </c>
      <c r="U5" s="310"/>
    </row>
    <row r="6" spans="1:21" ht="20.100000000000001" customHeight="1">
      <c r="B6" s="616"/>
      <c r="C6" s="616"/>
      <c r="D6" s="616"/>
      <c r="E6" s="616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21"/>
      <c r="O6" s="616"/>
      <c r="P6" s="616"/>
      <c r="Q6" s="616"/>
      <c r="R6" s="308"/>
      <c r="S6" s="309"/>
      <c r="T6" s="616"/>
      <c r="U6" s="312"/>
    </row>
    <row r="7" spans="1:21" ht="20.100000000000001" customHeight="1">
      <c r="A7" s="313">
        <v>0</v>
      </c>
      <c r="B7" s="314">
        <v>2023</v>
      </c>
      <c r="C7" s="479">
        <f>DATA!D8*DATA!D26*2</f>
        <v>1760</v>
      </c>
      <c r="D7" s="316">
        <f>C7*4/24</f>
        <v>293.33333333333331</v>
      </c>
      <c r="E7" s="316">
        <f>C7-D7</f>
        <v>1466.6666666666667</v>
      </c>
      <c r="F7" s="317">
        <f ca="1">DATA!D10/1000000</f>
        <v>44.811153516399997</v>
      </c>
      <c r="G7" s="318">
        <f ca="1">DATA!$D$11/1000000</f>
        <v>0.89622307032799986</v>
      </c>
      <c r="H7" s="318">
        <f>C7*DATA!$D$5/1000000</f>
        <v>1.908060080760388</v>
      </c>
      <c r="I7" s="318">
        <f>(C7*DATA!$D$5*DATA!$D$7)/1000000</f>
        <v>4.2931351817108727E-2</v>
      </c>
      <c r="J7" s="316">
        <f ca="1">SUM(F7:I7)</f>
        <v>47.658368019305492</v>
      </c>
      <c r="K7" s="319">
        <f>DATA!D9/1000000</f>
        <v>21.318000000000001</v>
      </c>
      <c r="L7" s="316">
        <f>((D7*DATA!$D$23)/1000000)+((E7*DATA!$D$24)/1000000)</f>
        <v>2.542672</v>
      </c>
      <c r="M7" s="316">
        <f>K7+L7</f>
        <v>23.860672000000001</v>
      </c>
      <c r="N7" s="316">
        <f ca="1">M7-J7</f>
        <v>-23.797696019305491</v>
      </c>
      <c r="O7" s="314">
        <v>1</v>
      </c>
      <c r="P7" s="316">
        <f ca="1">O7*N7</f>
        <v>-23.797696019305491</v>
      </c>
      <c r="Q7" s="316">
        <f ca="1">P7</f>
        <v>-23.797696019305491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10560</v>
      </c>
      <c r="D8" s="316">
        <f>C8*4/24</f>
        <v>1760</v>
      </c>
      <c r="E8" s="316">
        <f t="shared" ref="E8:E32" si="0">C8-D8</f>
        <v>8800</v>
      </c>
      <c r="F8" s="314"/>
      <c r="G8" s="318">
        <f ca="1">DATA!$D$11/1000000</f>
        <v>0.89622307032799986</v>
      </c>
      <c r="H8" s="318">
        <f>C8*DATA!$D$5/1000000</f>
        <v>11.448360484562327</v>
      </c>
      <c r="I8" s="318">
        <f>(C8*DATA!$D$5*DATA!$D$7)/1000000</f>
        <v>0.25758811090265238</v>
      </c>
      <c r="J8" s="316">
        <f t="shared" ref="J8:J32" ca="1" si="1">SUM(F8:I8)</f>
        <v>12.60217166579298</v>
      </c>
      <c r="K8" s="321"/>
      <c r="L8" s="316">
        <f>((D8*DATA!$D$23)/1000000)+((E8*DATA!$D$24)/1000000)</f>
        <v>15.256031999999999</v>
      </c>
      <c r="M8" s="316">
        <f t="shared" ref="M8:M32" si="2">K8+L8</f>
        <v>15.256031999999999</v>
      </c>
      <c r="N8" s="316">
        <f ca="1">M8-J8</f>
        <v>2.6538603342070193</v>
      </c>
      <c r="O8" s="315">
        <f>1/(1+'[93]Asumsi I'!$C$3)^(KKF!A8)</f>
        <v>0.89285714285714279</v>
      </c>
      <c r="P8" s="316">
        <f ca="1">O8*N8</f>
        <v>2.3695181555419813</v>
      </c>
      <c r="Q8" s="316">
        <f ca="1">Q7+P8</f>
        <v>-21.428177863763509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10560</v>
      </c>
      <c r="D9" s="316">
        <f t="shared" ref="D9:D32" si="5">C9*4/24</f>
        <v>1760</v>
      </c>
      <c r="E9" s="316">
        <f t="shared" si="0"/>
        <v>8800</v>
      </c>
      <c r="F9" s="314"/>
      <c r="G9" s="318">
        <f ca="1">DATA!$D$11/1000000</f>
        <v>0.89622307032799986</v>
      </c>
      <c r="H9" s="318">
        <f>C9*DATA!$D$5/1000000</f>
        <v>11.448360484562327</v>
      </c>
      <c r="I9" s="318">
        <f>(C9*DATA!$D$5*DATA!$D$7)/1000000</f>
        <v>0.25758811090265238</v>
      </c>
      <c r="J9" s="316">
        <f t="shared" ca="1" si="1"/>
        <v>12.60217166579298</v>
      </c>
      <c r="K9" s="316"/>
      <c r="L9" s="316">
        <f>((D9*DATA!$D$23)/1000000)+((E9*DATA!$D$24)/1000000)</f>
        <v>15.256031999999999</v>
      </c>
      <c r="M9" s="316">
        <f t="shared" si="2"/>
        <v>15.256031999999999</v>
      </c>
      <c r="N9" s="316">
        <f t="shared" ref="N9:N32" ca="1" si="6">M9-J9</f>
        <v>2.6538603342070193</v>
      </c>
      <c r="O9" s="322">
        <f>1/(1+'[93]Asumsi I'!$C$3)^(KKF!A9)</f>
        <v>0.79719387755102034</v>
      </c>
      <c r="P9" s="316">
        <f t="shared" ref="P9:P32" ca="1" si="7">O9*N9</f>
        <v>2.1156412103053404</v>
      </c>
      <c r="Q9" s="316">
        <f ca="1">Q8+P9</f>
        <v>-19.312536653458167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10560</v>
      </c>
      <c r="D10" s="316">
        <f t="shared" si="5"/>
        <v>1760</v>
      </c>
      <c r="E10" s="316">
        <f t="shared" si="0"/>
        <v>8800</v>
      </c>
      <c r="F10" s="314"/>
      <c r="G10" s="318">
        <f ca="1">DATA!$D$11/1000000</f>
        <v>0.89622307032799986</v>
      </c>
      <c r="H10" s="318">
        <f>C10*DATA!$D$5/1000000</f>
        <v>11.448360484562327</v>
      </c>
      <c r="I10" s="318">
        <f>(C10*DATA!$D$5*DATA!$D$7)/1000000</f>
        <v>0.25758811090265238</v>
      </c>
      <c r="J10" s="316">
        <f t="shared" ca="1" si="1"/>
        <v>12.60217166579298</v>
      </c>
      <c r="K10" s="314"/>
      <c r="L10" s="316">
        <f>((D10*DATA!$D$23)/1000000)+((E10*DATA!$D$24)/1000000)</f>
        <v>15.256031999999999</v>
      </c>
      <c r="M10" s="316">
        <f t="shared" si="2"/>
        <v>15.256031999999999</v>
      </c>
      <c r="N10" s="316">
        <f t="shared" ca="1" si="6"/>
        <v>2.6538603342070193</v>
      </c>
      <c r="O10" s="315">
        <f>1/(1+'[93]Asumsi I'!$C$3)^(KKF!A10)</f>
        <v>0.71178024781341087</v>
      </c>
      <c r="P10" s="316">
        <f t="shared" ca="1" si="7"/>
        <v>1.8889653663440535</v>
      </c>
      <c r="Q10" s="316">
        <f t="shared" ref="Q10:Q30" ca="1" si="9">Q9+P10</f>
        <v>-17.423571287114115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10560</v>
      </c>
      <c r="D11" s="316">
        <f t="shared" si="5"/>
        <v>1760</v>
      </c>
      <c r="E11" s="316">
        <f t="shared" si="0"/>
        <v>8800</v>
      </c>
      <c r="F11" s="314"/>
      <c r="G11" s="318">
        <f ca="1">DATA!$D$11/1000000</f>
        <v>0.89622307032799986</v>
      </c>
      <c r="H11" s="318">
        <f>C11*DATA!$D$5/1000000</f>
        <v>11.448360484562327</v>
      </c>
      <c r="I11" s="318">
        <f>(C11*DATA!$D$5*DATA!$D$7)/1000000</f>
        <v>0.25758811090265238</v>
      </c>
      <c r="J11" s="316">
        <f t="shared" ca="1" si="1"/>
        <v>12.60217166579298</v>
      </c>
      <c r="K11" s="314"/>
      <c r="L11" s="316">
        <f>((D11*DATA!$D$23)/1000000)+((E11*DATA!$D$24)/1000000)</f>
        <v>15.256031999999999</v>
      </c>
      <c r="M11" s="316">
        <f t="shared" si="2"/>
        <v>15.256031999999999</v>
      </c>
      <c r="N11" s="316">
        <f t="shared" ca="1" si="6"/>
        <v>2.6538603342070193</v>
      </c>
      <c r="O11" s="315">
        <f>1/(1+'[93]Asumsi I'!$C$3)^(KKF!A11)</f>
        <v>0.63551807840483121</v>
      </c>
      <c r="P11" s="316">
        <f t="shared" ca="1" si="7"/>
        <v>1.686576219950048</v>
      </c>
      <c r="Q11" s="316">
        <f t="shared" ca="1" si="9"/>
        <v>-15.736995067164067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10560</v>
      </c>
      <c r="D12" s="316">
        <f t="shared" si="5"/>
        <v>1760</v>
      </c>
      <c r="E12" s="316">
        <f t="shared" si="0"/>
        <v>8800</v>
      </c>
      <c r="F12" s="314"/>
      <c r="G12" s="318">
        <f ca="1">DATA!$D$11/1000000</f>
        <v>0.89622307032799986</v>
      </c>
      <c r="H12" s="318">
        <f>C12*DATA!$D$5/1000000</f>
        <v>11.448360484562327</v>
      </c>
      <c r="I12" s="318">
        <f>(C12*DATA!$D$5*DATA!$D$7)/1000000</f>
        <v>0.25758811090265238</v>
      </c>
      <c r="J12" s="316">
        <f t="shared" ca="1" si="1"/>
        <v>12.60217166579298</v>
      </c>
      <c r="K12" s="314"/>
      <c r="L12" s="316">
        <f>((D12*DATA!$D$23)/1000000)+((E12*DATA!$D$24)/1000000)</f>
        <v>15.256031999999999</v>
      </c>
      <c r="M12" s="316">
        <f t="shared" si="2"/>
        <v>15.256031999999999</v>
      </c>
      <c r="N12" s="316">
        <f t="shared" ca="1" si="6"/>
        <v>2.6538603342070193</v>
      </c>
      <c r="O12" s="315">
        <f>1/(1+'[93]Asumsi I'!$C$3)^(KKF!A12)</f>
        <v>0.56742685571859919</v>
      </c>
      <c r="P12" s="316">
        <f t="shared" ca="1" si="7"/>
        <v>1.5058716249553998</v>
      </c>
      <c r="Q12" s="316">
        <f t="shared" ca="1" si="9"/>
        <v>-14.231123442208666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10560</v>
      </c>
      <c r="D13" s="316">
        <f t="shared" si="5"/>
        <v>1760</v>
      </c>
      <c r="E13" s="316">
        <f t="shared" si="0"/>
        <v>8800</v>
      </c>
      <c r="F13" s="314"/>
      <c r="G13" s="318">
        <f ca="1">DATA!$D$11/1000000</f>
        <v>0.89622307032799986</v>
      </c>
      <c r="H13" s="318">
        <f>C13*DATA!$D$5/1000000</f>
        <v>11.448360484562327</v>
      </c>
      <c r="I13" s="318">
        <f>(C13*DATA!$D$5*DATA!$D$7)/1000000</f>
        <v>0.25758811090265238</v>
      </c>
      <c r="J13" s="316">
        <f t="shared" ca="1" si="1"/>
        <v>12.60217166579298</v>
      </c>
      <c r="K13" s="314"/>
      <c r="L13" s="316">
        <f>((D13*DATA!$D$23)/1000000)+((E13*DATA!$D$24)/1000000)</f>
        <v>15.256031999999999</v>
      </c>
      <c r="M13" s="316">
        <f t="shared" si="2"/>
        <v>15.256031999999999</v>
      </c>
      <c r="N13" s="316">
        <f t="shared" ca="1" si="6"/>
        <v>2.6538603342070193</v>
      </c>
      <c r="O13" s="315">
        <f>1/(1+'[93]Asumsi I'!$C$3)^(KKF!A13)</f>
        <v>0.50663112117732068</v>
      </c>
      <c r="P13" s="316">
        <f t="shared" ca="1" si="7"/>
        <v>1.3445282365673212</v>
      </c>
      <c r="Q13" s="316">
        <f t="shared" ca="1" si="9"/>
        <v>-12.886595205641346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10560</v>
      </c>
      <c r="D14" s="316">
        <f t="shared" si="5"/>
        <v>1760</v>
      </c>
      <c r="E14" s="316">
        <f t="shared" si="0"/>
        <v>8800</v>
      </c>
      <c r="F14" s="314"/>
      <c r="G14" s="318">
        <f ca="1">DATA!$D$11/1000000</f>
        <v>0.89622307032799986</v>
      </c>
      <c r="H14" s="318">
        <f>C14*DATA!$D$5/1000000</f>
        <v>11.448360484562327</v>
      </c>
      <c r="I14" s="318">
        <f>(C14*DATA!$D$5*DATA!$D$7)/1000000</f>
        <v>0.25758811090265238</v>
      </c>
      <c r="J14" s="316">
        <f t="shared" ca="1" si="1"/>
        <v>12.60217166579298</v>
      </c>
      <c r="K14" s="314"/>
      <c r="L14" s="316">
        <f>((D14*DATA!$D$23)/1000000)+((E14*DATA!$D$24)/1000000)</f>
        <v>15.256031999999999</v>
      </c>
      <c r="M14" s="316">
        <f t="shared" si="2"/>
        <v>15.256031999999999</v>
      </c>
      <c r="N14" s="316">
        <f t="shared" ca="1" si="6"/>
        <v>2.6538603342070193</v>
      </c>
      <c r="O14" s="315">
        <f>1/(1+'[93]Asumsi I'!$C$3)^(KKF!A14)</f>
        <v>0.45234921533689343</v>
      </c>
      <c r="P14" s="316">
        <f t="shared" ca="1" si="7"/>
        <v>1.200471639792251</v>
      </c>
      <c r="Q14" s="316">
        <f t="shared" ca="1" si="9"/>
        <v>-11.686123565849094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10560</v>
      </c>
      <c r="D15" s="316">
        <f t="shared" si="5"/>
        <v>1760</v>
      </c>
      <c r="E15" s="316">
        <f t="shared" si="0"/>
        <v>8800</v>
      </c>
      <c r="F15" s="314"/>
      <c r="G15" s="318">
        <f ca="1">DATA!$D$11/1000000</f>
        <v>0.89622307032799986</v>
      </c>
      <c r="H15" s="318">
        <f>C15*DATA!$D$5/1000000</f>
        <v>11.448360484562327</v>
      </c>
      <c r="I15" s="318">
        <f>(C15*DATA!$D$5*DATA!$D$7)/1000000</f>
        <v>0.25758811090265238</v>
      </c>
      <c r="J15" s="316">
        <f t="shared" ca="1" si="1"/>
        <v>12.60217166579298</v>
      </c>
      <c r="K15" s="314"/>
      <c r="L15" s="316">
        <f>((D15*DATA!$D$23)/1000000)+((E15*DATA!$D$24)/1000000)</f>
        <v>15.256031999999999</v>
      </c>
      <c r="M15" s="316">
        <f t="shared" si="2"/>
        <v>15.256031999999999</v>
      </c>
      <c r="N15" s="316">
        <f t="shared" ca="1" si="6"/>
        <v>2.6538603342070193</v>
      </c>
      <c r="O15" s="315">
        <f>1/(1+'[93]Asumsi I'!$C$3)^(KKF!A15)</f>
        <v>0.4038832279793691</v>
      </c>
      <c r="P15" s="316">
        <f t="shared" ca="1" si="7"/>
        <v>1.0718496783859381</v>
      </c>
      <c r="Q15" s="316">
        <f t="shared" ca="1" si="9"/>
        <v>-10.614273887463156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10560</v>
      </c>
      <c r="D16" s="316">
        <f t="shared" si="5"/>
        <v>1760</v>
      </c>
      <c r="E16" s="316">
        <f t="shared" si="0"/>
        <v>8800</v>
      </c>
      <c r="F16" s="314"/>
      <c r="G16" s="318">
        <f ca="1">DATA!$D$11/1000000</f>
        <v>0.89622307032799986</v>
      </c>
      <c r="H16" s="318">
        <f>C16*DATA!$D$5/1000000</f>
        <v>11.448360484562327</v>
      </c>
      <c r="I16" s="318">
        <f>(C16*DATA!$D$5*DATA!$D$7)/1000000</f>
        <v>0.25758811090265238</v>
      </c>
      <c r="J16" s="316">
        <f t="shared" ca="1" si="1"/>
        <v>12.60217166579298</v>
      </c>
      <c r="K16" s="314"/>
      <c r="L16" s="316">
        <f>((D16*DATA!$D$23)/1000000)+((E16*DATA!$D$24)/1000000)</f>
        <v>15.256031999999999</v>
      </c>
      <c r="M16" s="316">
        <f t="shared" si="2"/>
        <v>15.256031999999999</v>
      </c>
      <c r="N16" s="316">
        <f t="shared" ca="1" si="6"/>
        <v>2.6538603342070193</v>
      </c>
      <c r="O16" s="315">
        <f>1/(1+'[93]Asumsi I'!$C$3)^(KKF!A16)</f>
        <v>0.36061002498157957</v>
      </c>
      <c r="P16" s="316">
        <f t="shared" ca="1" si="7"/>
        <v>0.95700864141601627</v>
      </c>
      <c r="Q16" s="316">
        <f t="shared" ca="1" si="9"/>
        <v>-9.6572652460471406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10560</v>
      </c>
      <c r="D17" s="316">
        <f t="shared" si="5"/>
        <v>1760</v>
      </c>
      <c r="E17" s="316">
        <f t="shared" si="0"/>
        <v>8800</v>
      </c>
      <c r="F17" s="314"/>
      <c r="G17" s="318">
        <f ca="1">DATA!$D$11/1000000</f>
        <v>0.89622307032799986</v>
      </c>
      <c r="H17" s="318">
        <f>C17*DATA!$D$5/1000000</f>
        <v>11.448360484562327</v>
      </c>
      <c r="I17" s="318">
        <f>(C17*DATA!$D$5*DATA!$D$7)/1000000</f>
        <v>0.25758811090265238</v>
      </c>
      <c r="J17" s="316">
        <f t="shared" ca="1" si="1"/>
        <v>12.60217166579298</v>
      </c>
      <c r="K17" s="314"/>
      <c r="L17" s="316">
        <f>((D17*DATA!$D$23)/1000000)+((E17*DATA!$D$24)/1000000)</f>
        <v>15.256031999999999</v>
      </c>
      <c r="M17" s="316">
        <f t="shared" si="2"/>
        <v>15.256031999999999</v>
      </c>
      <c r="N17" s="316">
        <f t="shared" ca="1" si="6"/>
        <v>2.6538603342070193</v>
      </c>
      <c r="O17" s="315">
        <f>1/(1+'[93]Asumsi I'!$C$3)^(KKF!A17)</f>
        <v>0.32197323659069599</v>
      </c>
      <c r="P17" s="316">
        <f t="shared" ca="1" si="7"/>
        <v>0.85447200126430012</v>
      </c>
      <c r="Q17" s="316">
        <f t="shared" ca="1" si="9"/>
        <v>-8.8027932447828405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10560</v>
      </c>
      <c r="D18" s="316">
        <f t="shared" si="5"/>
        <v>1760</v>
      </c>
      <c r="E18" s="316">
        <f t="shared" si="0"/>
        <v>8800</v>
      </c>
      <c r="F18" s="314"/>
      <c r="G18" s="318">
        <f ca="1">DATA!$D$11/1000000</f>
        <v>0.89622307032799986</v>
      </c>
      <c r="H18" s="318">
        <f>C18*DATA!$D$5/1000000</f>
        <v>11.448360484562327</v>
      </c>
      <c r="I18" s="318">
        <f>(C18*DATA!$D$5*DATA!$D$7)/1000000</f>
        <v>0.25758811090265238</v>
      </c>
      <c r="J18" s="316">
        <f t="shared" ca="1" si="1"/>
        <v>12.60217166579298</v>
      </c>
      <c r="K18" s="314"/>
      <c r="L18" s="316">
        <f>((D18*DATA!$D$23)/1000000)+((E18*DATA!$D$24)/1000000)</f>
        <v>15.256031999999999</v>
      </c>
      <c r="M18" s="316">
        <f t="shared" si="2"/>
        <v>15.256031999999999</v>
      </c>
      <c r="N18" s="316">
        <f t="shared" ca="1" si="6"/>
        <v>2.6538603342070193</v>
      </c>
      <c r="O18" s="315">
        <f>1/(1+'[93]Asumsi I'!$C$3)^(KKF!A18)</f>
        <v>0.28747610409883567</v>
      </c>
      <c r="P18" s="316">
        <f t="shared" ca="1" si="7"/>
        <v>0.76292142970026788</v>
      </c>
      <c r="Q18" s="316">
        <f t="shared" ca="1" si="9"/>
        <v>-8.0398718150825719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10560</v>
      </c>
      <c r="D19" s="316">
        <f t="shared" si="5"/>
        <v>1760</v>
      </c>
      <c r="E19" s="316">
        <f t="shared" si="0"/>
        <v>8800</v>
      </c>
      <c r="F19" s="314"/>
      <c r="G19" s="318">
        <f ca="1">DATA!$D$11/1000000</f>
        <v>0.89622307032799986</v>
      </c>
      <c r="H19" s="318">
        <f>C19*DATA!$D$5/1000000</f>
        <v>11.448360484562327</v>
      </c>
      <c r="I19" s="318">
        <f>(C19*DATA!$D$5*DATA!$D$7)/1000000</f>
        <v>0.25758811090265238</v>
      </c>
      <c r="J19" s="316">
        <f t="shared" ca="1" si="1"/>
        <v>12.60217166579298</v>
      </c>
      <c r="K19" s="314"/>
      <c r="L19" s="316">
        <f>((D19*DATA!$D$23)/1000000)+((E19*DATA!$D$24)/1000000)</f>
        <v>15.256031999999999</v>
      </c>
      <c r="M19" s="316">
        <f t="shared" si="2"/>
        <v>15.256031999999999</v>
      </c>
      <c r="N19" s="316">
        <f t="shared" ca="1" si="6"/>
        <v>2.6538603342070193</v>
      </c>
      <c r="O19" s="315">
        <f>1/(1+'[93]Asumsi I'!$C$3)^(KKF!A19)</f>
        <v>0.25667509294538904</v>
      </c>
      <c r="P19" s="316">
        <f t="shared" ca="1" si="7"/>
        <v>0.68117984794666786</v>
      </c>
      <c r="Q19" s="316">
        <f t="shared" ca="1" si="9"/>
        <v>-7.3586919671359041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10560</v>
      </c>
      <c r="D20" s="316">
        <f t="shared" si="5"/>
        <v>1760</v>
      </c>
      <c r="E20" s="316">
        <f t="shared" si="0"/>
        <v>8800</v>
      </c>
      <c r="F20" s="314"/>
      <c r="G20" s="318">
        <f ca="1">DATA!$D$11/1000000</f>
        <v>0.89622307032799986</v>
      </c>
      <c r="H20" s="318">
        <f>C20*DATA!$D$5/1000000</f>
        <v>11.448360484562327</v>
      </c>
      <c r="I20" s="318">
        <f>(C20*DATA!$D$5*DATA!$D$7)/1000000</f>
        <v>0.25758811090265238</v>
      </c>
      <c r="J20" s="316">
        <f t="shared" ca="1" si="1"/>
        <v>12.60217166579298</v>
      </c>
      <c r="K20" s="314"/>
      <c r="L20" s="316">
        <f>((D20*DATA!$D$23)/1000000)+((E20*DATA!$D$24)/1000000)</f>
        <v>15.256031999999999</v>
      </c>
      <c r="M20" s="316">
        <f t="shared" si="2"/>
        <v>15.256031999999999</v>
      </c>
      <c r="N20" s="316">
        <f t="shared" ca="1" si="6"/>
        <v>2.6538603342070193</v>
      </c>
      <c r="O20" s="315">
        <f>1/(1+'[93]Asumsi I'!$C$3)^(KKF!A20)</f>
        <v>0.22917419012981158</v>
      </c>
      <c r="P20" s="316">
        <f t="shared" ca="1" si="7"/>
        <v>0.6081962928095247</v>
      </c>
      <c r="Q20" s="316">
        <f t="shared" ca="1" si="9"/>
        <v>-6.7504956743263795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10560</v>
      </c>
      <c r="D21" s="316">
        <f t="shared" si="5"/>
        <v>1760</v>
      </c>
      <c r="E21" s="316">
        <f t="shared" si="0"/>
        <v>8800</v>
      </c>
      <c r="F21" s="314"/>
      <c r="G21" s="318">
        <f ca="1">DATA!$D$11/1000000</f>
        <v>0.89622307032799986</v>
      </c>
      <c r="H21" s="318">
        <f>C21*DATA!$D$5/1000000</f>
        <v>11.448360484562327</v>
      </c>
      <c r="I21" s="318">
        <f>(C21*DATA!$D$5*DATA!$D$7)/1000000</f>
        <v>0.25758811090265238</v>
      </c>
      <c r="J21" s="316">
        <f t="shared" ca="1" si="1"/>
        <v>12.60217166579298</v>
      </c>
      <c r="K21" s="314"/>
      <c r="L21" s="316">
        <f>((D21*DATA!$D$23)/1000000)+((E21*DATA!$D$24)/1000000)</f>
        <v>15.256031999999999</v>
      </c>
      <c r="M21" s="316">
        <f t="shared" si="2"/>
        <v>15.256031999999999</v>
      </c>
      <c r="N21" s="316">
        <f t="shared" ca="1" si="6"/>
        <v>2.6538603342070193</v>
      </c>
      <c r="O21" s="315">
        <f>1/(1+'[93]Asumsi I'!$C$3)^(KKF!A21)</f>
        <v>0.20461981261590317</v>
      </c>
      <c r="P21" s="316">
        <f t="shared" ca="1" si="7"/>
        <v>0.54303240429421851</v>
      </c>
      <c r="Q21" s="316">
        <f t="shared" ca="1" si="9"/>
        <v>-6.2074632700321608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10560</v>
      </c>
      <c r="D22" s="316">
        <f t="shared" si="5"/>
        <v>1760</v>
      </c>
      <c r="E22" s="316">
        <f t="shared" si="0"/>
        <v>8800</v>
      </c>
      <c r="F22" s="314"/>
      <c r="G22" s="318">
        <f ca="1">DATA!$D$11/1000000</f>
        <v>0.89622307032799986</v>
      </c>
      <c r="H22" s="318">
        <f>C22*DATA!$D$5/1000000</f>
        <v>11.448360484562327</v>
      </c>
      <c r="I22" s="318">
        <f>(C22*DATA!$D$5*DATA!$D$7)/1000000</f>
        <v>0.25758811090265238</v>
      </c>
      <c r="J22" s="316">
        <f t="shared" ca="1" si="1"/>
        <v>12.60217166579298</v>
      </c>
      <c r="K22" s="314"/>
      <c r="L22" s="316">
        <f>((D22*DATA!$D$23)/1000000)+((E22*DATA!$D$24)/1000000)</f>
        <v>15.256031999999999</v>
      </c>
      <c r="M22" s="316">
        <f t="shared" si="2"/>
        <v>15.256031999999999</v>
      </c>
      <c r="N22" s="316">
        <f t="shared" ca="1" si="6"/>
        <v>2.6538603342070193</v>
      </c>
      <c r="O22" s="315">
        <f>1/(1+'[93]Asumsi I'!$C$3)^(KKF!A22)</f>
        <v>0.18269626126419927</v>
      </c>
      <c r="P22" s="316">
        <f t="shared" ca="1" si="7"/>
        <v>0.48485036097698081</v>
      </c>
      <c r="Q22" s="316">
        <f t="shared" ca="1" si="9"/>
        <v>-5.7226129090551803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10560</v>
      </c>
      <c r="D23" s="316">
        <f t="shared" si="5"/>
        <v>1760</v>
      </c>
      <c r="E23" s="316">
        <f t="shared" si="0"/>
        <v>8800</v>
      </c>
      <c r="F23" s="314"/>
      <c r="G23" s="318">
        <f ca="1">DATA!$D$11/1000000</f>
        <v>0.89622307032799986</v>
      </c>
      <c r="H23" s="318">
        <f>C23*DATA!$D$5/1000000</f>
        <v>11.448360484562327</v>
      </c>
      <c r="I23" s="318">
        <f>(C23*DATA!$D$5*DATA!$D$7)/1000000</f>
        <v>0.25758811090265238</v>
      </c>
      <c r="J23" s="316">
        <f t="shared" ca="1" si="1"/>
        <v>12.60217166579298</v>
      </c>
      <c r="K23" s="314"/>
      <c r="L23" s="316">
        <f>((D23*DATA!$D$23)/1000000)+((E23*DATA!$D$24)/1000000)</f>
        <v>15.256031999999999</v>
      </c>
      <c r="M23" s="316">
        <f t="shared" si="2"/>
        <v>15.256031999999999</v>
      </c>
      <c r="N23" s="316">
        <f t="shared" ca="1" si="6"/>
        <v>2.6538603342070193</v>
      </c>
      <c r="O23" s="315">
        <f>1/(1+'[93]Asumsi I'!$C$3)^(KKF!A23)</f>
        <v>0.16312166184303503</v>
      </c>
      <c r="P23" s="316">
        <f t="shared" ca="1" si="7"/>
        <v>0.43290210801516132</v>
      </c>
      <c r="Q23" s="316">
        <f t="shared" ca="1" si="9"/>
        <v>-5.2897108010400187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10560</v>
      </c>
      <c r="D24" s="316">
        <f t="shared" si="5"/>
        <v>1760</v>
      </c>
      <c r="E24" s="316">
        <f t="shared" si="0"/>
        <v>8800</v>
      </c>
      <c r="F24" s="314"/>
      <c r="G24" s="318">
        <f ca="1">DATA!$D$11/1000000</f>
        <v>0.89622307032799986</v>
      </c>
      <c r="H24" s="318">
        <f>C24*DATA!$D$5/1000000</f>
        <v>11.448360484562327</v>
      </c>
      <c r="I24" s="318">
        <f>(C24*DATA!$D$5*DATA!$D$7)/1000000</f>
        <v>0.25758811090265238</v>
      </c>
      <c r="J24" s="316">
        <f t="shared" ca="1" si="1"/>
        <v>12.60217166579298</v>
      </c>
      <c r="K24" s="314"/>
      <c r="L24" s="316">
        <f>((D24*DATA!$D$23)/1000000)+((E24*DATA!$D$24)/1000000)</f>
        <v>15.256031999999999</v>
      </c>
      <c r="M24" s="316">
        <f t="shared" si="2"/>
        <v>15.256031999999999</v>
      </c>
      <c r="N24" s="316">
        <f t="shared" ca="1" si="6"/>
        <v>2.6538603342070193</v>
      </c>
      <c r="O24" s="315">
        <f>1/(1+'[93]Asumsi I'!$C$3)^(KKF!A24)</f>
        <v>0.14564434093128129</v>
      </c>
      <c r="P24" s="316">
        <f t="shared" ca="1" si="7"/>
        <v>0.38651973929925121</v>
      </c>
      <c r="Q24" s="316">
        <f t="shared" ca="1" si="9"/>
        <v>-4.9031910617407677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10560</v>
      </c>
      <c r="D25" s="316">
        <f t="shared" si="5"/>
        <v>1760</v>
      </c>
      <c r="E25" s="316">
        <f t="shared" si="0"/>
        <v>8800</v>
      </c>
      <c r="F25" s="314"/>
      <c r="G25" s="318">
        <f ca="1">DATA!$D$11/1000000</f>
        <v>0.89622307032799986</v>
      </c>
      <c r="H25" s="318">
        <f>C25*DATA!$D$5/1000000</f>
        <v>11.448360484562327</v>
      </c>
      <c r="I25" s="318">
        <f>(C25*DATA!$D$5*DATA!$D$7)/1000000</f>
        <v>0.25758811090265238</v>
      </c>
      <c r="J25" s="316">
        <f t="shared" ca="1" si="1"/>
        <v>12.60217166579298</v>
      </c>
      <c r="K25" s="314"/>
      <c r="L25" s="316">
        <f>((D25*DATA!$D$23)/1000000)+((E25*DATA!$D$24)/1000000)</f>
        <v>15.256031999999999</v>
      </c>
      <c r="M25" s="316">
        <f t="shared" si="2"/>
        <v>15.256031999999999</v>
      </c>
      <c r="N25" s="316">
        <f t="shared" ca="1" si="6"/>
        <v>2.6538603342070193</v>
      </c>
      <c r="O25" s="315">
        <f>1/(1+'[93]Asumsi I'!$C$3)^(KKF!A25)</f>
        <v>0.13003959011721541</v>
      </c>
      <c r="P25" s="316">
        <f t="shared" ca="1" si="7"/>
        <v>0.3451069100886171</v>
      </c>
      <c r="Q25" s="316">
        <f t="shared" ca="1" si="9"/>
        <v>-4.5580841516521504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10560</v>
      </c>
      <c r="D26" s="316">
        <f t="shared" si="5"/>
        <v>1760</v>
      </c>
      <c r="E26" s="316">
        <f t="shared" si="0"/>
        <v>8800</v>
      </c>
      <c r="F26" s="314"/>
      <c r="G26" s="318">
        <f ca="1">DATA!$D$11/1000000</f>
        <v>0.89622307032799986</v>
      </c>
      <c r="H26" s="318">
        <f>C26*DATA!$D$5/1000000</f>
        <v>11.448360484562327</v>
      </c>
      <c r="I26" s="318">
        <f>(C26*DATA!$D$5*DATA!$D$7)/1000000</f>
        <v>0.25758811090265238</v>
      </c>
      <c r="J26" s="316">
        <f t="shared" ca="1" si="1"/>
        <v>12.60217166579298</v>
      </c>
      <c r="K26" s="314"/>
      <c r="L26" s="316">
        <f>((D26*DATA!$D$23)/1000000)+((E26*DATA!$D$24)/1000000)</f>
        <v>15.256031999999999</v>
      </c>
      <c r="M26" s="316">
        <f t="shared" si="2"/>
        <v>15.256031999999999</v>
      </c>
      <c r="N26" s="316">
        <f t="shared" ca="1" si="6"/>
        <v>2.6538603342070193</v>
      </c>
      <c r="O26" s="315">
        <f>1/(1+'[93]Asumsi I'!$C$3)^(KKF!A26)</f>
        <v>0.1161067768903709</v>
      </c>
      <c r="P26" s="316">
        <f t="shared" ca="1" si="7"/>
        <v>0.30813116972197951</v>
      </c>
      <c r="Q26" s="316">
        <f t="shared" ca="1" si="9"/>
        <v>-4.2499529819301713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10560</v>
      </c>
      <c r="D27" s="316">
        <f t="shared" si="5"/>
        <v>1760</v>
      </c>
      <c r="E27" s="316">
        <f t="shared" si="0"/>
        <v>8800</v>
      </c>
      <c r="F27" s="314"/>
      <c r="G27" s="318">
        <f ca="1">DATA!$D$11/1000000</f>
        <v>0.89622307032799986</v>
      </c>
      <c r="H27" s="318">
        <f>C27*DATA!$D$5/1000000</f>
        <v>11.448360484562327</v>
      </c>
      <c r="I27" s="318">
        <f>(C27*DATA!$D$5*DATA!$D$7)/1000000</f>
        <v>0.25758811090265238</v>
      </c>
      <c r="J27" s="316">
        <f t="shared" ca="1" si="1"/>
        <v>12.60217166579298</v>
      </c>
      <c r="K27" s="314"/>
      <c r="L27" s="316">
        <f>((D27*DATA!$D$23)/1000000)+((E27*DATA!$D$24)/1000000)</f>
        <v>15.256031999999999</v>
      </c>
      <c r="M27" s="316">
        <f t="shared" si="2"/>
        <v>15.256031999999999</v>
      </c>
      <c r="N27" s="316">
        <f t="shared" ca="1" si="6"/>
        <v>2.6538603342070193</v>
      </c>
      <c r="O27" s="315">
        <f>1/(1+'[93]Asumsi I'!$C$3)^(KKF!A27)</f>
        <v>0.1036667650806883</v>
      </c>
      <c r="P27" s="316">
        <f t="shared" ca="1" si="7"/>
        <v>0.27511711582319598</v>
      </c>
      <c r="Q27" s="316">
        <f t="shared" ca="1" si="9"/>
        <v>-3.9748358661069751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10560</v>
      </c>
      <c r="D28" s="316">
        <f t="shared" si="5"/>
        <v>1760</v>
      </c>
      <c r="E28" s="316">
        <f t="shared" si="0"/>
        <v>8800</v>
      </c>
      <c r="F28" s="314"/>
      <c r="G28" s="318">
        <f ca="1">DATA!$D$11/1000000</f>
        <v>0.89622307032799986</v>
      </c>
      <c r="H28" s="318">
        <f>C28*DATA!$D$5/1000000</f>
        <v>11.448360484562327</v>
      </c>
      <c r="I28" s="318">
        <f>(C28*DATA!$D$5*DATA!$D$7)/1000000</f>
        <v>0.25758811090265238</v>
      </c>
      <c r="J28" s="316">
        <f t="shared" ca="1" si="1"/>
        <v>12.60217166579298</v>
      </c>
      <c r="K28" s="314"/>
      <c r="L28" s="316">
        <f>((D28*DATA!$D$23)/1000000)+((E28*DATA!$D$24)/1000000)</f>
        <v>15.256031999999999</v>
      </c>
      <c r="M28" s="316">
        <f t="shared" si="2"/>
        <v>15.256031999999999</v>
      </c>
      <c r="N28" s="316">
        <f t="shared" ca="1" si="6"/>
        <v>2.6538603342070193</v>
      </c>
      <c r="O28" s="315">
        <f>1/(1+'[93]Asumsi I'!$C$3)^(KKF!A28)</f>
        <v>9.2559611679185971E-2</v>
      </c>
      <c r="P28" s="316">
        <f t="shared" ca="1" si="7"/>
        <v>0.24564028198499641</v>
      </c>
      <c r="Q28" s="316">
        <f t="shared" ca="1" si="9"/>
        <v>-3.7291955841219786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10560</v>
      </c>
      <c r="D29" s="316">
        <f t="shared" si="5"/>
        <v>1760</v>
      </c>
      <c r="E29" s="316">
        <f t="shared" si="0"/>
        <v>8800</v>
      </c>
      <c r="F29" s="314"/>
      <c r="G29" s="318">
        <f ca="1">DATA!$D$11/1000000</f>
        <v>0.89622307032799986</v>
      </c>
      <c r="H29" s="318">
        <f>C29*DATA!$D$5/1000000</f>
        <v>11.448360484562327</v>
      </c>
      <c r="I29" s="318">
        <f>(C29*DATA!$D$5*DATA!$D$7)/1000000</f>
        <v>0.25758811090265238</v>
      </c>
      <c r="J29" s="316">
        <f t="shared" ca="1" si="1"/>
        <v>12.60217166579298</v>
      </c>
      <c r="K29" s="314"/>
      <c r="L29" s="316">
        <f>((D29*DATA!$D$23)/1000000)+((E29*DATA!$D$24)/1000000)</f>
        <v>15.256031999999999</v>
      </c>
      <c r="M29" s="316">
        <f t="shared" si="2"/>
        <v>15.256031999999999</v>
      </c>
      <c r="N29" s="316">
        <f t="shared" ca="1" si="6"/>
        <v>2.6538603342070193</v>
      </c>
      <c r="O29" s="315">
        <f>1/(1+'[93]Asumsi I'!$C$3)^(KKF!A29)</f>
        <v>8.2642510427844609E-2</v>
      </c>
      <c r="P29" s="316">
        <f t="shared" ca="1" si="7"/>
        <v>0.21932168034374677</v>
      </c>
      <c r="Q29" s="316">
        <f t="shared" ca="1" si="9"/>
        <v>-3.5098739037782316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10560</v>
      </c>
      <c r="D30" s="316">
        <f t="shared" si="5"/>
        <v>1760</v>
      </c>
      <c r="E30" s="316">
        <f t="shared" si="0"/>
        <v>8800</v>
      </c>
      <c r="F30" s="314"/>
      <c r="G30" s="318">
        <f ca="1">DATA!$D$11/1000000</f>
        <v>0.89622307032799986</v>
      </c>
      <c r="H30" s="318">
        <f>C30*DATA!$D$5/1000000</f>
        <v>11.448360484562327</v>
      </c>
      <c r="I30" s="318">
        <f>(C30*DATA!$D$5*DATA!$D$7)/1000000</f>
        <v>0.25758811090265238</v>
      </c>
      <c r="J30" s="316">
        <f t="shared" ca="1" si="1"/>
        <v>12.60217166579298</v>
      </c>
      <c r="K30" s="314"/>
      <c r="L30" s="316">
        <f>((D30*DATA!$D$23)/1000000)+((E30*DATA!$D$24)/1000000)</f>
        <v>15.256031999999999</v>
      </c>
      <c r="M30" s="316">
        <f t="shared" si="2"/>
        <v>15.256031999999999</v>
      </c>
      <c r="N30" s="316">
        <f t="shared" ca="1" si="6"/>
        <v>2.6538603342070193</v>
      </c>
      <c r="O30" s="315">
        <f>1/(1+'[93]Asumsi I'!$C$3)^(KKF!A30)</f>
        <v>7.3787955739146982E-2</v>
      </c>
      <c r="P30" s="316">
        <f t="shared" ca="1" si="7"/>
        <v>0.19582292887834535</v>
      </c>
      <c r="Q30" s="316">
        <f t="shared" ca="1" si="9"/>
        <v>-3.3140509748998861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10560</v>
      </c>
      <c r="D31" s="316">
        <f t="shared" si="5"/>
        <v>1760</v>
      </c>
      <c r="E31" s="316">
        <f t="shared" si="0"/>
        <v>8800</v>
      </c>
      <c r="F31" s="314"/>
      <c r="G31" s="318">
        <f ca="1">DATA!$D$11/1000000</f>
        <v>0.89622307032799986</v>
      </c>
      <c r="H31" s="318">
        <f>C31*DATA!$D$5/1000000</f>
        <v>11.448360484562327</v>
      </c>
      <c r="I31" s="318">
        <f>(C31*DATA!$D$5*DATA!$D$7)/1000000</f>
        <v>0.25758811090265238</v>
      </c>
      <c r="J31" s="316">
        <f t="shared" ca="1" si="1"/>
        <v>12.60217166579298</v>
      </c>
      <c r="K31" s="314"/>
      <c r="L31" s="316">
        <f>((D31*DATA!$D$23)/1000000)+((E31*DATA!$D$24)/1000000)</f>
        <v>15.256031999999999</v>
      </c>
      <c r="M31" s="316">
        <f t="shared" si="2"/>
        <v>15.256031999999999</v>
      </c>
      <c r="N31" s="316">
        <f t="shared" ca="1" si="6"/>
        <v>2.6538603342070193</v>
      </c>
      <c r="O31" s="315">
        <f>1/(1+'[93]Asumsi I'!$C$3)^(KKF!A31)</f>
        <v>6.5882103338524081E-2</v>
      </c>
      <c r="P31" s="316">
        <f t="shared" ca="1" si="7"/>
        <v>0.17484190078423689</v>
      </c>
      <c r="Q31" s="316">
        <f ca="1">Q30+P31</f>
        <v>-3.1392090741156493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10560</v>
      </c>
      <c r="D32" s="316">
        <f t="shared" si="5"/>
        <v>1760</v>
      </c>
      <c r="E32" s="316">
        <f t="shared" si="0"/>
        <v>8800</v>
      </c>
      <c r="F32" s="314"/>
      <c r="G32" s="318">
        <f ca="1">DATA!$D$11/1000000</f>
        <v>0.89622307032799986</v>
      </c>
      <c r="H32" s="318">
        <f>C32*DATA!$D$5/1000000</f>
        <v>11.448360484562327</v>
      </c>
      <c r="I32" s="318">
        <f>(C32*DATA!$D$5*DATA!$D$7)/1000000</f>
        <v>0.25758811090265238</v>
      </c>
      <c r="J32" s="316">
        <f t="shared" ca="1" si="1"/>
        <v>12.60217166579298</v>
      </c>
      <c r="K32" s="314"/>
      <c r="L32" s="316">
        <f>((D32*DATA!$D$23)/1000000)+((E32*DATA!$D$24)/1000000)</f>
        <v>15.256031999999999</v>
      </c>
      <c r="M32" s="316">
        <f t="shared" si="2"/>
        <v>15.256031999999999</v>
      </c>
      <c r="N32" s="316">
        <f t="shared" ca="1" si="6"/>
        <v>2.6538603342070193</v>
      </c>
      <c r="O32" s="315">
        <f>1/(1+'[93]Asumsi I'!$C$3)^(KKF!A32)</f>
        <v>5.8823306552253637E-2</v>
      </c>
      <c r="P32" s="316">
        <f t="shared" ca="1" si="7"/>
        <v>0.15610883998592578</v>
      </c>
      <c r="Q32" s="316">
        <f ca="1">Q31+P32</f>
        <v>-2.9831002341297235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9" t="s">
        <v>1374</v>
      </c>
      <c r="G33" s="619"/>
      <c r="H33" s="619"/>
      <c r="I33" s="324"/>
      <c r="J33" s="325">
        <f ca="1">SUM(J7:J32)</f>
        <v>362.71265966413</v>
      </c>
      <c r="K33" s="619" t="s">
        <v>1375</v>
      </c>
      <c r="L33" s="619"/>
      <c r="M33" s="325">
        <f>SUM(M7:M32)</f>
        <v>405.26147200000008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17.958129674350758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1.1173072160626267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-2.6634823519015427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0.1015899344492488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0" priority="1" stopIfTrue="1" operator="greaterThanOrEqual">
      <formula>$F$7</formula>
    </cfRule>
    <cfRule type="cellIs" dxfId="19" priority="2" stopIfTrue="1" operator="lessThan">
      <formula>$F$7</formula>
    </cfRule>
  </conditionalFormatting>
  <conditionalFormatting sqref="Q7:Q32">
    <cfRule type="cellIs" dxfId="18" priority="3" operator="lessThan">
      <formula>0</formula>
    </cfRule>
    <cfRule type="cellIs" dxfId="17" priority="4" operator="lessThan">
      <formula>0</formula>
    </cfRule>
    <cfRule type="cellIs" dxfId="16" priority="5" operator="lessThan">
      <formula>-6395.81</formula>
    </cfRule>
    <cfRule type="cellIs" dxfId="15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36"/>
  <sheetViews>
    <sheetView showGridLines="0" zoomScale="85" zoomScaleNormal="85" zoomScaleSheetLayoutView="70" workbookViewId="0">
      <pane ySplit="13" topLeftCell="A127" activePane="bottomLeft" state="frozen"/>
      <selection activeCell="H1093" sqref="H1093"/>
      <selection pane="bottomLeft" activeCell="M132" sqref="M132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2" t="s">
        <v>1036</v>
      </c>
      <c r="P3" s="622"/>
      <c r="Q3" s="346"/>
      <c r="T3" s="344"/>
      <c r="U3" s="345" t="s">
        <v>1041</v>
      </c>
      <c r="V3" s="344"/>
    </row>
    <row r="4" spans="1:22" ht="15.75" customHeight="1">
      <c r="B4" s="623" t="s">
        <v>1023</v>
      </c>
      <c r="C4" s="623"/>
      <c r="D4" s="623"/>
      <c r="E4" s="623"/>
      <c r="F4" s="623"/>
      <c r="G4" s="623"/>
      <c r="H4" s="623"/>
      <c r="I4" s="623"/>
      <c r="J4" s="623"/>
      <c r="K4" s="623"/>
      <c r="O4" s="622"/>
      <c r="P4" s="622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9" t="str">
        <f>DATA!D14</f>
        <v>ALFAMART KALIKONDANG</v>
      </c>
      <c r="H6" s="639"/>
      <c r="I6" s="639"/>
      <c r="J6" s="639"/>
      <c r="K6" s="639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1631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25" t="s">
        <v>0</v>
      </c>
      <c r="C11" s="627" t="s">
        <v>1</v>
      </c>
      <c r="D11" s="630" t="s">
        <v>42</v>
      </c>
      <c r="E11" s="630" t="s">
        <v>43</v>
      </c>
      <c r="F11" s="630" t="s">
        <v>2</v>
      </c>
      <c r="G11" s="632" t="s">
        <v>41</v>
      </c>
      <c r="H11" s="630" t="s">
        <v>3</v>
      </c>
      <c r="I11" s="630"/>
      <c r="J11" s="630"/>
      <c r="K11" s="649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26"/>
      <c r="C12" s="628"/>
      <c r="D12" s="631"/>
      <c r="E12" s="631"/>
      <c r="F12" s="631"/>
      <c r="G12" s="633"/>
      <c r="H12" s="635" t="s">
        <v>46</v>
      </c>
      <c r="I12" s="635" t="s">
        <v>5</v>
      </c>
      <c r="J12" s="631" t="s">
        <v>47</v>
      </c>
      <c r="K12" s="650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26"/>
      <c r="C13" s="629"/>
      <c r="D13" s="631"/>
      <c r="E13" s="631"/>
      <c r="F13" s="631"/>
      <c r="G13" s="634"/>
      <c r="H13" s="636"/>
      <c r="I13" s="636"/>
      <c r="J13" s="631"/>
      <c r="K13" s="650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101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1</v>
      </c>
      <c r="G17" s="360">
        <f ca="1">IF(ISERROR(OFFSET('HARGA SATUAN'!$I$6,MATCH(RAB!C17,'HARGA SATUAN'!$C$7:$C$1492,0),0)),0,OFFSET('HARGA SATUAN'!$I$6,MATCH(RAB!C17,'HARGA SATUAN'!$C$7:$C$1492,0),0))</f>
        <v>3382600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3382600</v>
      </c>
      <c r="J17" s="361">
        <f t="shared" ref="J17" ca="1" si="10">IF(D17="JASA",G17*F17,0)</f>
        <v>0</v>
      </c>
      <c r="K17" s="362">
        <f t="shared" ref="K17" ca="1" si="11">SUM(H17:J17)</f>
        <v>3382600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2</v>
      </c>
      <c r="C18" s="109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v>1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ref="H18:H21" ca="1" si="12">IF(OR(D18="MDU",D18="MDU-KD"),(IF($O$3="RAB NON MDU","PLN KD",G18*F18)),0)</f>
        <v>0</v>
      </c>
      <c r="I18" s="361">
        <f t="shared" ref="I18:I21" ca="1" si="13">IF(D18="HDW",G18*F18,0)</f>
        <v>0</v>
      </c>
      <c r="J18" s="361">
        <f t="shared" ref="J18:J21" ca="1" si="14">IF(D18="JASA",G18*F18,0)</f>
        <v>10066.666666666668</v>
      </c>
      <c r="K18" s="362">
        <f t="shared" ref="K18:K21" ca="1" si="15">SUM(H18:J18)</f>
        <v>10066.666666666668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>
        <v>3</v>
      </c>
      <c r="C19" s="109" t="s">
        <v>461</v>
      </c>
      <c r="D19" s="358" t="str">
        <f ca="1">IF(ISERROR(OFFSET('HARGA SATUAN'!$D$6,MATCH(RAB!C19,'HARGA SATUAN'!$C$7:$C$1492,0),0)),"",OFFSET('HARGA SATUAN'!$D$6,MATCH(RAB!C19,'HARGA SATUAN'!$C$7:$C$1492,0),0))</f>
        <v>HDW</v>
      </c>
      <c r="E19" s="359" t="str">
        <f ca="1">IF(B19="+","Unit",IF(ISERROR(OFFSET('HARGA SATUAN'!$E$6,MATCH(RAB!C19,'HARGA SATUAN'!$C$7:$C$1492,0),0)),"",OFFSET('HARGA SATUAN'!$E$6,MATCH(RAB!C19,'HARGA SATUAN'!$C$7:$C$1492,0),0)))</f>
        <v>Set</v>
      </c>
      <c r="F19" s="368">
        <v>1</v>
      </c>
      <c r="G19" s="360">
        <f ca="1">IF(ISERROR(OFFSET('HARGA SATUAN'!$I$6,MATCH(RAB!C19,'HARGA SATUAN'!$C$7:$C$1492,0),0)),0,OFFSET('HARGA SATUAN'!$I$6,MATCH(RAB!C19,'HARGA SATUAN'!$C$7:$C$1492,0),0))</f>
        <v>200000</v>
      </c>
      <c r="H19" s="361">
        <f t="shared" ca="1" si="12"/>
        <v>0</v>
      </c>
      <c r="I19" s="361">
        <f t="shared" ca="1" si="13"/>
        <v>200000</v>
      </c>
      <c r="J19" s="361">
        <f t="shared" ca="1" si="14"/>
        <v>0</v>
      </c>
      <c r="K19" s="362">
        <f t="shared" ca="1" si="15"/>
        <v>200000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71"/>
      <c r="C20" s="109"/>
      <c r="D20" s="358"/>
      <c r="E20" s="359"/>
      <c r="F20" s="368"/>
      <c r="G20" s="360"/>
      <c r="H20" s="361"/>
      <c r="I20" s="361"/>
      <c r="J20" s="361"/>
      <c r="K20" s="362"/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66" t="s">
        <v>1607</v>
      </c>
      <c r="C21" s="367" t="s">
        <v>1616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2"/>
        <v>0</v>
      </c>
      <c r="I21" s="361">
        <f t="shared" ca="1" si="13"/>
        <v>0</v>
      </c>
      <c r="J21" s="361">
        <f t="shared" ca="1" si="14"/>
        <v>0</v>
      </c>
      <c r="K21" s="362">
        <f t="shared" ca="1" si="15"/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65" customFormat="1">
      <c r="A22" s="336"/>
      <c r="B22" s="498"/>
      <c r="C22" s="499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501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" ca="1" si="16">IF(OR(D22="MDU",D22="MDU-KD"),(IF($O$3="RAB NON MDU","PLN KD",G22*F22)),0)</f>
        <v>0</v>
      </c>
      <c r="I22" s="361">
        <f t="shared" ref="I22" ca="1" si="17">IF(D22="HDW",G22*F22,0)</f>
        <v>0</v>
      </c>
      <c r="J22" s="361">
        <f t="shared" ref="J22" ca="1" si="18">IF(D22="JASA",G22*F22,0)</f>
        <v>0</v>
      </c>
      <c r="K22" s="362">
        <f t="shared" ref="K22" ca="1" si="19">SUM(H22:J22)</f>
        <v>0</v>
      </c>
      <c r="L22" s="342"/>
      <c r="M22" s="342"/>
      <c r="N22" s="369"/>
      <c r="O22" s="344"/>
      <c r="P22" s="397"/>
      <c r="Q22" s="344"/>
    </row>
    <row r="23" spans="1:22" s="365" customFormat="1">
      <c r="A23" s="336"/>
      <c r="B23" s="520" t="s">
        <v>1035</v>
      </c>
      <c r="C23" s="521" t="s">
        <v>1617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>Unit</v>
      </c>
      <c r="F23" s="501">
        <v>2</v>
      </c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ref="H23:H32" ca="1" si="20">IF(OR(D23="MDU",D23="MDU-KD"),(IF($O$3="RAB NON MDU","PLN KD",G23*F23)),0)</f>
        <v>0</v>
      </c>
      <c r="I23" s="361">
        <f t="shared" ref="I23:I32" ca="1" si="21">IF(D23="HDW",G23*F23,0)</f>
        <v>0</v>
      </c>
      <c r="J23" s="361">
        <f t="shared" ref="J23:J32" ca="1" si="22">IF(D23="JASA",G23*F23,0)</f>
        <v>0</v>
      </c>
      <c r="K23" s="362">
        <f t="shared" ref="K23:K32" ca="1" si="23">SUM(H23:J23)</f>
        <v>0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520">
        <v>1</v>
      </c>
      <c r="C24" s="521" t="s">
        <v>595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501">
        <f>F23*1</f>
        <v>2</v>
      </c>
      <c r="G24" s="360">
        <f ca="1">IF(ISERROR(OFFSET('HARGA SATUAN'!$I$6,MATCH(RAB!C24,'HARGA SATUAN'!$C$7:$C$1492,0),0)),0,OFFSET('HARGA SATUAN'!$I$6,MATCH(RAB!C24,'HARGA SATUAN'!$C$7:$C$1492,0),0))</f>
        <v>78500</v>
      </c>
      <c r="H24" s="361">
        <f t="shared" ca="1" si="20"/>
        <v>0</v>
      </c>
      <c r="I24" s="361">
        <f t="shared" ca="1" si="21"/>
        <v>157000</v>
      </c>
      <c r="J24" s="361">
        <f t="shared" ca="1" si="22"/>
        <v>0</v>
      </c>
      <c r="K24" s="362">
        <f t="shared" ca="1" si="23"/>
        <v>157000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520">
        <v>2</v>
      </c>
      <c r="C25" s="521" t="s">
        <v>229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01">
        <f>F23*1</f>
        <v>2</v>
      </c>
      <c r="G25" s="360">
        <f ca="1">IF(ISERROR(OFFSET('HARGA SATUAN'!$I$6,MATCH(RAB!C25,'HARGA SATUAN'!$C$7:$C$1492,0),0)),0,OFFSET('HARGA SATUAN'!$I$6,MATCH(RAB!C25,'HARGA SATUAN'!$C$7:$C$1492,0),0))</f>
        <v>4212</v>
      </c>
      <c r="H25" s="361">
        <f t="shared" ca="1" si="20"/>
        <v>0</v>
      </c>
      <c r="I25" s="361">
        <f t="shared" ca="1" si="21"/>
        <v>8424</v>
      </c>
      <c r="J25" s="361">
        <f t="shared" ca="1" si="22"/>
        <v>0</v>
      </c>
      <c r="K25" s="362">
        <f t="shared" ca="1" si="23"/>
        <v>8424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520">
        <v>3</v>
      </c>
      <c r="C26" s="521" t="s">
        <v>266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Mtr</v>
      </c>
      <c r="F26" s="501">
        <f>F23*1</f>
        <v>2</v>
      </c>
      <c r="G26" s="360">
        <f ca="1">IF(ISERROR(OFFSET('HARGA SATUAN'!$I$6,MATCH(RAB!C26,'HARGA SATUAN'!$C$7:$C$1492,0),0)),0,OFFSET('HARGA SATUAN'!$I$6,MATCH(RAB!C26,'HARGA SATUAN'!$C$7:$C$1492,0),0))</f>
        <v>23310</v>
      </c>
      <c r="H26" s="361">
        <f t="shared" ca="1" si="20"/>
        <v>0</v>
      </c>
      <c r="I26" s="361">
        <f t="shared" ca="1" si="21"/>
        <v>46620</v>
      </c>
      <c r="J26" s="361">
        <f t="shared" ca="1" si="22"/>
        <v>0</v>
      </c>
      <c r="K26" s="362">
        <f t="shared" ca="1" si="23"/>
        <v>46620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520">
        <v>4</v>
      </c>
      <c r="C27" s="521" t="s">
        <v>35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1">
        <f>F23*1</f>
        <v>2</v>
      </c>
      <c r="G27" s="360">
        <f ca="1">IF(ISERROR(OFFSET('HARGA SATUAN'!$I$6,MATCH(RAB!C27,'HARGA SATUAN'!$C$7:$C$1492,0),0)),0,OFFSET('HARGA SATUAN'!$I$6,MATCH(RAB!C27,'HARGA SATUAN'!$C$7:$C$1492,0),0))</f>
        <v>2300</v>
      </c>
      <c r="H27" s="361">
        <f t="shared" ca="1" si="20"/>
        <v>0</v>
      </c>
      <c r="I27" s="361">
        <f t="shared" ca="1" si="21"/>
        <v>4600</v>
      </c>
      <c r="J27" s="361">
        <f t="shared" ca="1" si="22"/>
        <v>0</v>
      </c>
      <c r="K27" s="362">
        <f t="shared" ca="1" si="23"/>
        <v>4600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520">
        <v>5</v>
      </c>
      <c r="C28" s="521" t="s">
        <v>630</v>
      </c>
      <c r="D28" s="358" t="str">
        <f ca="1">IF(ISERROR(OFFSET('HARGA SATUAN'!$D$6,MATCH(RAB!C28,'HARGA SATUAN'!$C$7:$C$1492,0),0)),"",OFFSET('HARGA SATUAN'!$D$6,MATCH(RAB!C28,'HARGA SATUAN'!$C$7:$C$1492,0),0))</f>
        <v>JASA</v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501">
        <f>F23*1</f>
        <v>2</v>
      </c>
      <c r="G28" s="360">
        <f ca="1">IF(ISERROR(OFFSET('HARGA SATUAN'!$I$6,MATCH(RAB!C28,'HARGA SATUAN'!$C$7:$C$1492,0),0)),0,OFFSET('HARGA SATUAN'!$I$6,MATCH(RAB!C28,'HARGA SATUAN'!$C$7:$C$1492,0),0))</f>
        <v>35700</v>
      </c>
      <c r="H28" s="361">
        <f t="shared" ca="1" si="20"/>
        <v>0</v>
      </c>
      <c r="I28" s="361">
        <f t="shared" ca="1" si="21"/>
        <v>0</v>
      </c>
      <c r="J28" s="361">
        <f t="shared" ca="1" si="22"/>
        <v>71400</v>
      </c>
      <c r="K28" s="362">
        <f t="shared" ca="1" si="23"/>
        <v>71400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498"/>
      <c r="C29" s="499"/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/>
      </c>
      <c r="F29" s="501"/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ca="1" si="20"/>
        <v>0</v>
      </c>
      <c r="I29" s="361">
        <f t="shared" ca="1" si="21"/>
        <v>0</v>
      </c>
      <c r="J29" s="361">
        <f t="shared" ca="1" si="22"/>
        <v>0</v>
      </c>
      <c r="K29" s="362">
        <f t="shared" ca="1" si="23"/>
        <v>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520" t="s">
        <v>1035</v>
      </c>
      <c r="C30" s="521" t="s">
        <v>1618</v>
      </c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>Unit</v>
      </c>
      <c r="F30" s="501">
        <v>1</v>
      </c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20"/>
        <v>0</v>
      </c>
      <c r="I30" s="361">
        <f t="shared" ca="1" si="21"/>
        <v>0</v>
      </c>
      <c r="J30" s="361">
        <f t="shared" ca="1" si="22"/>
        <v>0</v>
      </c>
      <c r="K30" s="362">
        <f t="shared" ca="1" si="23"/>
        <v>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520">
        <v>1</v>
      </c>
      <c r="C31" s="521" t="s">
        <v>598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1">
        <f>F30*1</f>
        <v>1</v>
      </c>
      <c r="G31" s="360">
        <f ca="1">IF(ISERROR(OFFSET('HARGA SATUAN'!$I$6,MATCH(RAB!C31,'HARGA SATUAN'!$C$7:$C$1492,0),0)),0,OFFSET('HARGA SATUAN'!$I$6,MATCH(RAB!C31,'HARGA SATUAN'!$C$7:$C$1492,0),0))</f>
        <v>3965</v>
      </c>
      <c r="H31" s="361">
        <f t="shared" ca="1" si="20"/>
        <v>0</v>
      </c>
      <c r="I31" s="361">
        <f t="shared" ca="1" si="21"/>
        <v>3965</v>
      </c>
      <c r="J31" s="361">
        <f t="shared" ca="1" si="22"/>
        <v>0</v>
      </c>
      <c r="K31" s="362">
        <f t="shared" ca="1" si="23"/>
        <v>3965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520">
        <v>2</v>
      </c>
      <c r="C32" s="521" t="s">
        <v>474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1">
        <f>F30*1</f>
        <v>1</v>
      </c>
      <c r="G32" s="360">
        <f ca="1">IF(ISERROR(OFFSET('HARGA SATUAN'!$I$6,MATCH(RAB!C32,'HARGA SATUAN'!$C$7:$C$1492,0),0)),0,OFFSET('HARGA SATUAN'!$I$6,MATCH(RAB!C32,'HARGA SATUAN'!$C$7:$C$1492,0),0))</f>
        <v>3711.24</v>
      </c>
      <c r="H32" s="361">
        <f t="shared" ca="1" si="20"/>
        <v>0</v>
      </c>
      <c r="I32" s="361">
        <f t="shared" ca="1" si="21"/>
        <v>3711.24</v>
      </c>
      <c r="J32" s="361">
        <f t="shared" ca="1" si="22"/>
        <v>0</v>
      </c>
      <c r="K32" s="362">
        <f t="shared" ca="1" si="23"/>
        <v>3711.24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520">
        <v>3</v>
      </c>
      <c r="C33" s="521" t="s">
        <v>266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Mtr</v>
      </c>
      <c r="F33" s="501">
        <f>F30*1</f>
        <v>1</v>
      </c>
      <c r="G33" s="360">
        <f ca="1">IF(ISERROR(OFFSET('HARGA SATUAN'!$I$6,MATCH(RAB!C33,'HARGA SATUAN'!$C$7:$C$1492,0),0)),0,OFFSET('HARGA SATUAN'!$I$6,MATCH(RAB!C33,'HARGA SATUAN'!$C$7:$C$1492,0),0))</f>
        <v>23310</v>
      </c>
      <c r="H33" s="361">
        <f t="shared" ref="H33:H37" ca="1" si="24">IF(OR(D33="MDU",D33="MDU-KD"),(IF($O$3="RAB NON MDU","PLN KD",G33*F33)),0)</f>
        <v>0</v>
      </c>
      <c r="I33" s="361">
        <f t="shared" ref="I33:I37" ca="1" si="25">IF(D33="HDW",G33*F33,0)</f>
        <v>23310</v>
      </c>
      <c r="J33" s="361">
        <f t="shared" ref="J33:J37" ca="1" si="26">IF(D33="JASA",G33*F33,0)</f>
        <v>0</v>
      </c>
      <c r="K33" s="362">
        <f t="shared" ref="K33:K37" ca="1" si="27">SUM(H33:J33)</f>
        <v>23310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520">
        <v>4</v>
      </c>
      <c r="C34" s="521" t="s">
        <v>35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1">
        <f>F30*1</f>
        <v>1</v>
      </c>
      <c r="G34" s="360">
        <f ca="1">IF(ISERROR(OFFSET('HARGA SATUAN'!$I$6,MATCH(RAB!C34,'HARGA SATUAN'!$C$7:$C$1492,0),0)),0,OFFSET('HARGA SATUAN'!$I$6,MATCH(RAB!C34,'HARGA SATUAN'!$C$7:$C$1492,0),0))</f>
        <v>2300</v>
      </c>
      <c r="H34" s="361">
        <f t="shared" ca="1" si="24"/>
        <v>0</v>
      </c>
      <c r="I34" s="361">
        <f t="shared" ca="1" si="25"/>
        <v>2300</v>
      </c>
      <c r="J34" s="361">
        <f t="shared" ca="1" si="26"/>
        <v>0</v>
      </c>
      <c r="K34" s="362">
        <f t="shared" ca="1" si="27"/>
        <v>2300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520">
        <v>5</v>
      </c>
      <c r="C35" s="521" t="s">
        <v>632</v>
      </c>
      <c r="D35" s="358" t="str">
        <f ca="1">IF(ISERROR(OFFSET('HARGA SATUAN'!$D$6,MATCH(RAB!C35,'HARGA SATUAN'!$C$7:$C$1492,0),0)),"",OFFSET('HARGA SATUAN'!$D$6,MATCH(RAB!C35,'HARGA SATUAN'!$C$7:$C$1492,0),0))</f>
        <v>JASA</v>
      </c>
      <c r="E35" s="359" t="str">
        <f ca="1">IF(B35="+","Unit",IF(ISERROR(OFFSET('HARGA SATUAN'!$E$6,MATCH(RAB!C35,'HARGA SATUAN'!$C$7:$C$1492,0),0)),"",OFFSET('HARGA SATUAN'!$E$6,MATCH(RAB!C35,'HARGA SATUAN'!$C$7:$C$1492,0),0)))</f>
        <v>Unit</v>
      </c>
      <c r="F35" s="501">
        <f>F30*1</f>
        <v>1</v>
      </c>
      <c r="G35" s="360">
        <f ca="1">IF(ISERROR(OFFSET('HARGA SATUAN'!$I$6,MATCH(RAB!C35,'HARGA SATUAN'!$C$7:$C$1492,0),0)),0,OFFSET('HARGA SATUAN'!$I$6,MATCH(RAB!C35,'HARGA SATUAN'!$C$7:$C$1492,0),0))</f>
        <v>22700</v>
      </c>
      <c r="H35" s="361">
        <f t="shared" ca="1" si="24"/>
        <v>0</v>
      </c>
      <c r="I35" s="361">
        <f t="shared" ca="1" si="25"/>
        <v>0</v>
      </c>
      <c r="J35" s="361">
        <f t="shared" ca="1" si="26"/>
        <v>22700</v>
      </c>
      <c r="K35" s="362">
        <f t="shared" ca="1" si="27"/>
        <v>22700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498"/>
      <c r="C36" s="499"/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/>
      </c>
      <c r="F36" s="501"/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ca="1" si="24"/>
        <v>0</v>
      </c>
      <c r="I36" s="361">
        <f t="shared" ca="1" si="25"/>
        <v>0</v>
      </c>
      <c r="J36" s="361">
        <f t="shared" ca="1" si="26"/>
        <v>0</v>
      </c>
      <c r="K36" s="362">
        <f t="shared" ca="1" si="27"/>
        <v>0</v>
      </c>
      <c r="L36" s="342"/>
      <c r="M36" s="342"/>
      <c r="N36" s="369"/>
      <c r="O36" s="344"/>
      <c r="P36" s="397"/>
      <c r="Q36" s="344"/>
    </row>
    <row r="37" spans="1:17" s="365" customFormat="1">
      <c r="A37" s="336"/>
      <c r="B37" s="498"/>
      <c r="C37" s="519" t="s">
        <v>1623</v>
      </c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501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ca="1" si="24"/>
        <v>0</v>
      </c>
      <c r="I37" s="361">
        <f t="shared" ca="1" si="25"/>
        <v>0</v>
      </c>
      <c r="J37" s="361">
        <f t="shared" ca="1" si="26"/>
        <v>0</v>
      </c>
      <c r="K37" s="362">
        <f t="shared" ca="1" si="27"/>
        <v>0</v>
      </c>
      <c r="L37" s="342"/>
      <c r="M37" s="342"/>
      <c r="N37" s="369"/>
      <c r="O37" s="344"/>
      <c r="P37" s="397"/>
      <c r="Q37" s="344"/>
    </row>
    <row r="38" spans="1:17" s="365" customFormat="1">
      <c r="A38" s="336"/>
      <c r="B38" s="498">
        <v>1</v>
      </c>
      <c r="C38" s="109" t="s">
        <v>1402</v>
      </c>
      <c r="D38" s="358" t="str">
        <f ca="1">IF(ISERROR(OFFSET('HARGA SATUAN'!$D$6,MATCH(RAB!C38,'HARGA SATUAN'!$C$7:$C$1492,0),0)),"",OFFSET('HARGA SATUAN'!$D$6,MATCH(RAB!C38,'HARGA SATUAN'!$C$7:$C$1492,0),0))</f>
        <v>MDU-KD</v>
      </c>
      <c r="E38" s="359" t="str">
        <f ca="1">IF(B38="+","Unit",IF(ISERROR(OFFSET('HARGA SATUAN'!$E$6,MATCH(RAB!C38,'HARGA SATUAN'!$C$7:$C$1492,0),0)),"",OFFSET('HARGA SATUAN'!$E$6,MATCH(RAB!C38,'HARGA SATUAN'!$C$7:$C$1492,0),0)))</f>
        <v>Mtr</v>
      </c>
      <c r="F38" s="501">
        <v>35</v>
      </c>
      <c r="G38" s="360">
        <f ca="1">IF(ISERROR(OFFSET('HARGA SATUAN'!$I$6,MATCH(RAB!C38,'HARGA SATUAN'!$C$7:$C$1492,0),0)),0,OFFSET('HARGA SATUAN'!$I$6,MATCH(RAB!C38,'HARGA SATUAN'!$C$7:$C$1492,0),0))</f>
        <v>53300</v>
      </c>
      <c r="H38" s="361">
        <f t="shared" ref="H38:H40" ca="1" si="28">IF(OR(D38="MDU",D38="MDU-KD"),(IF($O$3="RAB NON MDU","PLN KD",G38*F38)),0)</f>
        <v>1865500</v>
      </c>
      <c r="I38" s="361">
        <f t="shared" ref="I38:I40" ca="1" si="29">IF(D38="HDW",G38*F38,0)</f>
        <v>0</v>
      </c>
      <c r="J38" s="361">
        <f t="shared" ref="J38:J40" ca="1" si="30">IF(D38="JASA",G38*F38,0)</f>
        <v>0</v>
      </c>
      <c r="K38" s="362">
        <f t="shared" ref="K38:K40" ca="1" si="31">SUM(H38:J38)</f>
        <v>1865500</v>
      </c>
      <c r="L38" s="342"/>
      <c r="M38" s="342"/>
      <c r="N38" s="369"/>
      <c r="O38" s="344"/>
      <c r="P38" s="397"/>
      <c r="Q38" s="344"/>
    </row>
    <row r="39" spans="1:17" s="365" customFormat="1">
      <c r="A39" s="336"/>
      <c r="B39" s="498">
        <v>2</v>
      </c>
      <c r="C39" s="109" t="s">
        <v>347</v>
      </c>
      <c r="D39" s="513" t="s">
        <v>47</v>
      </c>
      <c r="E39" s="514" t="s">
        <v>297</v>
      </c>
      <c r="F39" s="514">
        <f>F38/50</f>
        <v>0.7</v>
      </c>
      <c r="G39" s="515">
        <v>85000</v>
      </c>
      <c r="H39" s="361">
        <f t="shared" si="28"/>
        <v>0</v>
      </c>
      <c r="I39" s="361">
        <f t="shared" si="29"/>
        <v>0</v>
      </c>
      <c r="J39" s="361">
        <f t="shared" si="30"/>
        <v>59499.999999999993</v>
      </c>
      <c r="K39" s="362">
        <f t="shared" si="31"/>
        <v>59499.999999999993</v>
      </c>
      <c r="L39" s="342"/>
      <c r="M39" s="342"/>
      <c r="N39" s="369"/>
      <c r="O39" s="344"/>
      <c r="P39" s="397"/>
      <c r="Q39" s="344"/>
    </row>
    <row r="40" spans="1:17" s="365" customFormat="1">
      <c r="A40" s="336"/>
      <c r="B40" s="498"/>
      <c r="C40" s="499"/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/>
      </c>
      <c r="F40" s="501"/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ca="1" si="28"/>
        <v>0</v>
      </c>
      <c r="I40" s="361">
        <f t="shared" ca="1" si="29"/>
        <v>0</v>
      </c>
      <c r="J40" s="361">
        <f t="shared" ca="1" si="30"/>
        <v>0</v>
      </c>
      <c r="K40" s="362">
        <f t="shared" ca="1" si="31"/>
        <v>0</v>
      </c>
      <c r="L40" s="342"/>
      <c r="M40" s="342"/>
      <c r="N40" s="369"/>
      <c r="O40" s="344"/>
      <c r="P40" s="397"/>
      <c r="Q40" s="344"/>
    </row>
    <row r="41" spans="1:17" s="365" customFormat="1">
      <c r="A41" s="336"/>
      <c r="B41" s="498"/>
      <c r="C41" s="519" t="s">
        <v>1622</v>
      </c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/>
      </c>
      <c r="F41" s="501"/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ref="H41:H63" ca="1" si="32">IF(OR(D41="MDU",D41="MDU-KD"),(IF($O$3="RAB NON MDU","PLN KD",G41*F41)),0)</f>
        <v>0</v>
      </c>
      <c r="I41" s="361">
        <f t="shared" ref="I41:I63" ca="1" si="33">IF(D41="HDW",G41*F41,0)</f>
        <v>0</v>
      </c>
      <c r="J41" s="361">
        <f t="shared" ref="J41:J63" ca="1" si="34">IF(D41="JASA",G41*F41,0)</f>
        <v>0</v>
      </c>
      <c r="K41" s="362">
        <f t="shared" ref="K41:K63" ca="1" si="35">SUM(H41:J41)</f>
        <v>0</v>
      </c>
      <c r="L41" s="342"/>
      <c r="M41" s="342"/>
      <c r="N41" s="369"/>
      <c r="O41" s="344"/>
      <c r="P41" s="397"/>
      <c r="Q41" s="344"/>
    </row>
    <row r="42" spans="1:17" s="365" customFormat="1">
      <c r="A42" s="336"/>
      <c r="B42" s="511" t="s">
        <v>1035</v>
      </c>
      <c r="C42" s="512" t="s">
        <v>1619</v>
      </c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>Unit</v>
      </c>
      <c r="F42" s="501">
        <v>1</v>
      </c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ca="1" si="32"/>
        <v>0</v>
      </c>
      <c r="I42" s="361">
        <f t="shared" ca="1" si="33"/>
        <v>0</v>
      </c>
      <c r="J42" s="361">
        <f t="shared" ca="1" si="34"/>
        <v>0</v>
      </c>
      <c r="K42" s="362">
        <f t="shared" ca="1" si="35"/>
        <v>0</v>
      </c>
      <c r="L42" s="342"/>
      <c r="M42" s="342"/>
      <c r="N42" s="369"/>
      <c r="O42" s="344"/>
      <c r="P42" s="397"/>
      <c r="Q42" s="344"/>
    </row>
    <row r="43" spans="1:17" s="365" customFormat="1">
      <c r="A43" s="336"/>
      <c r="B43" s="511">
        <v>1</v>
      </c>
      <c r="C43" s="512" t="s">
        <v>28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01">
        <f>F42*1</f>
        <v>1</v>
      </c>
      <c r="G43" s="360">
        <f ca="1">IF(ISERROR(OFFSET('HARGA SATUAN'!$I$6,MATCH(RAB!C43,'HARGA SATUAN'!$C$7:$C$1492,0),0)),0,OFFSET('HARGA SATUAN'!$I$6,MATCH(RAB!C43,'HARGA SATUAN'!$C$7:$C$1492,0),0))</f>
        <v>26500</v>
      </c>
      <c r="H43" s="361">
        <f t="shared" ca="1" si="32"/>
        <v>0</v>
      </c>
      <c r="I43" s="361">
        <f t="shared" ca="1" si="33"/>
        <v>26500</v>
      </c>
      <c r="J43" s="361">
        <f t="shared" ca="1" si="34"/>
        <v>0</v>
      </c>
      <c r="K43" s="362">
        <f t="shared" ca="1" si="35"/>
        <v>26500</v>
      </c>
      <c r="L43" s="342"/>
      <c r="M43" s="342"/>
      <c r="N43" s="369"/>
      <c r="O43" s="344"/>
      <c r="P43" s="397"/>
      <c r="Q43" s="344"/>
    </row>
    <row r="44" spans="1:17" s="365" customFormat="1">
      <c r="A44" s="336"/>
      <c r="B44" s="511">
        <v>2</v>
      </c>
      <c r="C44" s="512" t="s">
        <v>203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01">
        <f>F42*1</f>
        <v>1</v>
      </c>
      <c r="G44" s="360">
        <f ca="1">IF(ISERROR(OFFSET('HARGA SATUAN'!$I$6,MATCH(RAB!C44,'HARGA SATUAN'!$C$7:$C$1492,0),0)),0,OFFSET('HARGA SATUAN'!$I$6,MATCH(RAB!C44,'HARGA SATUAN'!$C$7:$C$1492,0),0))</f>
        <v>12500</v>
      </c>
      <c r="H44" s="361">
        <f t="shared" ca="1" si="32"/>
        <v>0</v>
      </c>
      <c r="I44" s="361">
        <f t="shared" ca="1" si="33"/>
        <v>12500</v>
      </c>
      <c r="J44" s="361">
        <f t="shared" ca="1" si="34"/>
        <v>0</v>
      </c>
      <c r="K44" s="362">
        <f t="shared" ca="1" si="35"/>
        <v>12500</v>
      </c>
      <c r="L44" s="342"/>
      <c r="M44" s="342"/>
      <c r="N44" s="369"/>
      <c r="O44" s="344"/>
      <c r="P44" s="397"/>
      <c r="Q44" s="344"/>
    </row>
    <row r="45" spans="1:17" s="365" customFormat="1">
      <c r="A45" s="336"/>
      <c r="B45" s="511">
        <v>3</v>
      </c>
      <c r="C45" s="512" t="s">
        <v>206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Mtr</v>
      </c>
      <c r="F45" s="501">
        <f>F42*12</f>
        <v>12</v>
      </c>
      <c r="G45" s="360">
        <f ca="1">IF(ISERROR(OFFSET('HARGA SATUAN'!$I$6,MATCH(RAB!C45,'HARGA SATUAN'!$C$7:$C$1492,0),0)),0,OFFSET('HARGA SATUAN'!$I$6,MATCH(RAB!C45,'HARGA SATUAN'!$C$7:$C$1492,0),0))</f>
        <v>39204</v>
      </c>
      <c r="H45" s="361">
        <f t="shared" ca="1" si="32"/>
        <v>0</v>
      </c>
      <c r="I45" s="361">
        <f t="shared" ca="1" si="33"/>
        <v>470448</v>
      </c>
      <c r="J45" s="361">
        <f t="shared" ca="1" si="34"/>
        <v>0</v>
      </c>
      <c r="K45" s="362">
        <f t="shared" ca="1" si="35"/>
        <v>470448</v>
      </c>
      <c r="L45" s="342"/>
      <c r="M45" s="342"/>
      <c r="N45" s="369"/>
      <c r="O45" s="344"/>
      <c r="P45" s="397"/>
      <c r="Q45" s="344"/>
    </row>
    <row r="46" spans="1:17" s="365" customFormat="1">
      <c r="A46" s="336"/>
      <c r="B46" s="511">
        <v>4</v>
      </c>
      <c r="C46" s="512" t="s">
        <v>287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1">
        <f>F42*2</f>
        <v>2</v>
      </c>
      <c r="G46" s="360">
        <f ca="1">IF(ISERROR(OFFSET('HARGA SATUAN'!$I$6,MATCH(RAB!C46,'HARGA SATUAN'!$C$7:$C$1492,0),0)),0,OFFSET('HARGA SATUAN'!$I$6,MATCH(RAB!C46,'HARGA SATUAN'!$C$7:$C$1492,0),0))</f>
        <v>40000</v>
      </c>
      <c r="H46" s="361">
        <f t="shared" ca="1" si="32"/>
        <v>0</v>
      </c>
      <c r="I46" s="361">
        <f t="shared" ca="1" si="33"/>
        <v>80000</v>
      </c>
      <c r="J46" s="361">
        <f t="shared" ca="1" si="34"/>
        <v>0</v>
      </c>
      <c r="K46" s="362">
        <f t="shared" ca="1" si="35"/>
        <v>80000</v>
      </c>
      <c r="L46" s="342"/>
      <c r="M46" s="342"/>
      <c r="N46" s="369"/>
      <c r="O46" s="344"/>
      <c r="P46" s="397"/>
      <c r="Q46" s="344"/>
    </row>
    <row r="47" spans="1:17" s="365" customFormat="1">
      <c r="A47" s="336"/>
      <c r="B47" s="511">
        <v>5</v>
      </c>
      <c r="C47" s="512" t="s">
        <v>26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01">
        <f>F42*1</f>
        <v>1</v>
      </c>
      <c r="G47" s="360">
        <f ca="1">IF(ISERROR(OFFSET('HARGA SATUAN'!$I$6,MATCH(RAB!C47,'HARGA SATUAN'!$C$7:$C$1492,0),0)),0,OFFSET('HARGA SATUAN'!$I$6,MATCH(RAB!C47,'HARGA SATUAN'!$C$7:$C$1492,0),0))</f>
        <v>2500</v>
      </c>
      <c r="H47" s="361">
        <f t="shared" ca="1" si="32"/>
        <v>0</v>
      </c>
      <c r="I47" s="361">
        <f t="shared" ca="1" si="33"/>
        <v>2500</v>
      </c>
      <c r="J47" s="361">
        <f t="shared" ca="1" si="34"/>
        <v>0</v>
      </c>
      <c r="K47" s="362">
        <f t="shared" ca="1" si="35"/>
        <v>2500</v>
      </c>
      <c r="L47" s="342"/>
      <c r="M47" s="342"/>
      <c r="N47" s="369"/>
      <c r="O47" s="344"/>
      <c r="P47" s="397"/>
      <c r="Q47" s="344"/>
    </row>
    <row r="48" spans="1:17" s="365" customFormat="1">
      <c r="A48" s="336"/>
      <c r="B48" s="511">
        <v>6</v>
      </c>
      <c r="C48" s="512" t="s">
        <v>760</v>
      </c>
      <c r="D48" s="358" t="str">
        <f ca="1">IF(ISERROR(OFFSET('HARGA SATUAN'!$D$6,MATCH(RAB!C48,'HARGA SATUAN'!$C$7:$C$1492,0),0)),"",OFFSET('HARGA SATUAN'!$D$6,MATCH(RAB!C48,'HARGA SATUAN'!$C$7:$C$1492,0),0))</f>
        <v>JASA</v>
      </c>
      <c r="E48" s="359" t="str">
        <f ca="1">IF(B48="+","Unit",IF(ISERROR(OFFSET('HARGA SATUAN'!$E$6,MATCH(RAB!C48,'HARGA SATUAN'!$C$7:$C$1492,0),0)),"",OFFSET('HARGA SATUAN'!$E$6,MATCH(RAB!C48,'HARGA SATUAN'!$C$7:$C$1492,0),0)))</f>
        <v>Unit</v>
      </c>
      <c r="F48" s="501">
        <f>F42*1</f>
        <v>1</v>
      </c>
      <c r="G48" s="360">
        <f ca="1">IF(ISERROR(OFFSET('HARGA SATUAN'!$I$6,MATCH(RAB!C48,'HARGA SATUAN'!$C$7:$C$1492,0),0)),0,OFFSET('HARGA SATUAN'!$I$6,MATCH(RAB!C48,'HARGA SATUAN'!$C$7:$C$1492,0),0))</f>
        <v>36600</v>
      </c>
      <c r="H48" s="361">
        <f t="shared" ca="1" si="32"/>
        <v>0</v>
      </c>
      <c r="I48" s="361">
        <f t="shared" ca="1" si="33"/>
        <v>0</v>
      </c>
      <c r="J48" s="361">
        <f t="shared" ca="1" si="34"/>
        <v>36600</v>
      </c>
      <c r="K48" s="362">
        <f t="shared" ca="1" si="35"/>
        <v>36600</v>
      </c>
      <c r="L48" s="342"/>
      <c r="M48" s="342"/>
      <c r="N48" s="369"/>
      <c r="O48" s="344"/>
      <c r="P48" s="397"/>
      <c r="Q48" s="344"/>
    </row>
    <row r="49" spans="1:17" s="365" customFormat="1">
      <c r="A49" s="336"/>
      <c r="B49" s="498"/>
      <c r="C49" s="499"/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/>
      </c>
      <c r="F49" s="501"/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ca="1" si="32"/>
        <v>0</v>
      </c>
      <c r="I49" s="361">
        <f t="shared" ca="1" si="33"/>
        <v>0</v>
      </c>
      <c r="J49" s="361">
        <f t="shared" ca="1" si="34"/>
        <v>0</v>
      </c>
      <c r="K49" s="362">
        <f t="shared" ca="1" si="35"/>
        <v>0</v>
      </c>
      <c r="L49" s="342"/>
      <c r="M49" s="342"/>
      <c r="N49" s="369"/>
      <c r="O49" s="344"/>
      <c r="P49" s="397"/>
      <c r="Q49" s="344"/>
    </row>
    <row r="50" spans="1:17" s="365" customFormat="1">
      <c r="A50" s="336"/>
      <c r="B50" s="511" t="s">
        <v>1035</v>
      </c>
      <c r="C50" s="512" t="s">
        <v>1620</v>
      </c>
      <c r="D50" s="358" t="str">
        <f ca="1">IF(ISERROR(OFFSET('HARGA SATUAN'!$D$6,MATCH(RAB!C50,'HARGA SATUAN'!$C$7:$C$1492,0),0)),"",OFFSET('HARGA SATUAN'!$D$6,MATCH(RAB!C50,'HARGA SATUAN'!$C$7:$C$1492,0),0))</f>
        <v/>
      </c>
      <c r="E50" s="359" t="str">
        <f ca="1">IF(B50="+","Unit",IF(ISERROR(OFFSET('HARGA SATUAN'!$E$6,MATCH(RAB!C50,'HARGA SATUAN'!$C$7:$C$1492,0),0)),"",OFFSET('HARGA SATUAN'!$E$6,MATCH(RAB!C50,'HARGA SATUAN'!$C$7:$C$1492,0),0)))</f>
        <v>Unit</v>
      </c>
      <c r="F50" s="501">
        <v>1</v>
      </c>
      <c r="G50" s="360">
        <f ca="1">IF(ISERROR(OFFSET('HARGA SATUAN'!$I$6,MATCH(RAB!C50,'HARGA SATUAN'!$C$7:$C$1492,0),0)),0,OFFSET('HARGA SATUAN'!$I$6,MATCH(RAB!C50,'HARGA SATUAN'!$C$7:$C$1492,0),0))</f>
        <v>0</v>
      </c>
      <c r="H50" s="361">
        <f t="shared" ca="1" si="32"/>
        <v>0</v>
      </c>
      <c r="I50" s="361">
        <f t="shared" ca="1" si="33"/>
        <v>0</v>
      </c>
      <c r="J50" s="361">
        <f t="shared" ca="1" si="34"/>
        <v>0</v>
      </c>
      <c r="K50" s="362">
        <f t="shared" ca="1" si="35"/>
        <v>0</v>
      </c>
      <c r="L50" s="342"/>
      <c r="M50" s="342"/>
      <c r="N50" s="369"/>
      <c r="O50" s="344"/>
      <c r="P50" s="397"/>
      <c r="Q50" s="344"/>
    </row>
    <row r="51" spans="1:17" s="365" customFormat="1">
      <c r="A51" s="336"/>
      <c r="B51" s="516">
        <v>1</v>
      </c>
      <c r="C51" s="517" t="s">
        <v>597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1">
        <f>F50*1</f>
        <v>1</v>
      </c>
      <c r="G51" s="360">
        <f ca="1">IF(ISERROR(OFFSET('HARGA SATUAN'!$I$6,MATCH(RAB!C51,'HARGA SATUAN'!$C$7:$C$1492,0),0)),0,OFFSET('HARGA SATUAN'!$I$6,MATCH(RAB!C51,'HARGA SATUAN'!$C$7:$C$1492,0),0))</f>
        <v>120900</v>
      </c>
      <c r="H51" s="361">
        <f t="shared" ca="1" si="32"/>
        <v>0</v>
      </c>
      <c r="I51" s="361">
        <f t="shared" ca="1" si="33"/>
        <v>120900</v>
      </c>
      <c r="J51" s="361">
        <f t="shared" ca="1" si="34"/>
        <v>0</v>
      </c>
      <c r="K51" s="362">
        <f t="shared" ca="1" si="35"/>
        <v>120900</v>
      </c>
      <c r="L51" s="342"/>
      <c r="M51" s="342"/>
      <c r="N51" s="369"/>
      <c r="O51" s="344"/>
      <c r="P51" s="397"/>
      <c r="Q51" s="344"/>
    </row>
    <row r="52" spans="1:17" s="365" customFormat="1">
      <c r="A52" s="336"/>
      <c r="B52" s="503">
        <v>2</v>
      </c>
      <c r="C52" s="504" t="s">
        <v>261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1">
        <f>F50*1</f>
        <v>1</v>
      </c>
      <c r="G52" s="360">
        <f ca="1">IF(ISERROR(OFFSET('HARGA SATUAN'!$I$6,MATCH(RAB!C52,'HARGA SATUAN'!$C$7:$C$1492,0),0)),0,OFFSET('HARGA SATUAN'!$I$6,MATCH(RAB!C52,'HARGA SATUAN'!$C$7:$C$1492,0),0))</f>
        <v>135800</v>
      </c>
      <c r="H52" s="361">
        <f t="shared" ca="1" si="32"/>
        <v>0</v>
      </c>
      <c r="I52" s="361">
        <f t="shared" ca="1" si="33"/>
        <v>135800</v>
      </c>
      <c r="J52" s="361">
        <f t="shared" ca="1" si="34"/>
        <v>0</v>
      </c>
      <c r="K52" s="362">
        <f t="shared" ca="1" si="35"/>
        <v>135800</v>
      </c>
      <c r="L52" s="342"/>
      <c r="M52" s="342"/>
      <c r="N52" s="369"/>
      <c r="O52" s="344"/>
      <c r="P52" s="397"/>
      <c r="Q52" s="344"/>
    </row>
    <row r="53" spans="1:17" s="365" customFormat="1">
      <c r="A53" s="336"/>
      <c r="B53" s="503">
        <v>3</v>
      </c>
      <c r="C53" s="505" t="s">
        <v>214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18">
        <f>F50*1</f>
        <v>1</v>
      </c>
      <c r="G53" s="360">
        <f ca="1">IF(ISERROR(OFFSET('HARGA SATUAN'!$I$6,MATCH(RAB!C53,'HARGA SATUAN'!$C$7:$C$1492,0),0)),0,OFFSET('HARGA SATUAN'!$I$6,MATCH(RAB!C53,'HARGA SATUAN'!$C$7:$C$1492,0),0))</f>
        <v>4500</v>
      </c>
      <c r="H53" s="361">
        <f t="shared" ca="1" si="32"/>
        <v>0</v>
      </c>
      <c r="I53" s="361">
        <f t="shared" ca="1" si="33"/>
        <v>4500</v>
      </c>
      <c r="J53" s="361">
        <f t="shared" ca="1" si="34"/>
        <v>0</v>
      </c>
      <c r="K53" s="362">
        <f t="shared" ca="1" si="35"/>
        <v>4500</v>
      </c>
      <c r="L53" s="342"/>
      <c r="M53" s="342"/>
      <c r="N53" s="369"/>
      <c r="O53" s="344"/>
      <c r="P53" s="397"/>
      <c r="Q53" s="344"/>
    </row>
    <row r="54" spans="1:17" s="365" customFormat="1">
      <c r="A54" s="336"/>
      <c r="B54" s="511">
        <v>4</v>
      </c>
      <c r="C54" s="512" t="s">
        <v>768</v>
      </c>
      <c r="D54" s="358" t="str">
        <f ca="1">IF(ISERROR(OFFSET('HARGA SATUAN'!$D$6,MATCH(RAB!C54,'HARGA SATUAN'!$C$7:$C$1492,0),0)),"",OFFSET('HARGA SATUAN'!$D$6,MATCH(RAB!C54,'HARGA SATUAN'!$C$7:$C$1492,0),0))</f>
        <v>JASA</v>
      </c>
      <c r="E54" s="359" t="str">
        <f ca="1">IF(B54="+","Unit",IF(ISERROR(OFFSET('HARGA SATUAN'!$E$6,MATCH(RAB!C54,'HARGA SATUAN'!$C$7:$C$1492,0),0)),"",OFFSET('HARGA SATUAN'!$E$6,MATCH(RAB!C54,'HARGA SATUAN'!$C$7:$C$1492,0),0)))</f>
        <v>Unit</v>
      </c>
      <c r="F54" s="501">
        <f>F50*1</f>
        <v>1</v>
      </c>
      <c r="G54" s="360">
        <f ca="1">IF(ISERROR(OFFSET('HARGA SATUAN'!$I$6,MATCH(RAB!C54,'HARGA SATUAN'!$C$7:$C$1492,0),0)),0,OFFSET('HARGA SATUAN'!$I$6,MATCH(RAB!C54,'HARGA SATUAN'!$C$7:$C$1492,0),0))</f>
        <v>55500</v>
      </c>
      <c r="H54" s="361">
        <f t="shared" ca="1" si="32"/>
        <v>0</v>
      </c>
      <c r="I54" s="361">
        <f t="shared" ca="1" si="33"/>
        <v>0</v>
      </c>
      <c r="J54" s="361">
        <f t="shared" ca="1" si="34"/>
        <v>55500</v>
      </c>
      <c r="K54" s="362">
        <f t="shared" ca="1" si="35"/>
        <v>55500</v>
      </c>
      <c r="L54" s="342"/>
      <c r="M54" s="342"/>
      <c r="N54" s="369"/>
      <c r="O54" s="344"/>
      <c r="P54" s="397"/>
      <c r="Q54" s="344"/>
    </row>
    <row r="55" spans="1:17" s="365" customFormat="1">
      <c r="A55" s="336"/>
      <c r="B55" s="511"/>
      <c r="C55" s="512"/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/>
      </c>
      <c r="F55" s="501"/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ca="1" si="32"/>
        <v>0</v>
      </c>
      <c r="I55" s="361">
        <f t="shared" ca="1" si="33"/>
        <v>0</v>
      </c>
      <c r="J55" s="361">
        <f t="shared" ca="1" si="34"/>
        <v>0</v>
      </c>
      <c r="K55" s="362">
        <f t="shared" ca="1" si="35"/>
        <v>0</v>
      </c>
      <c r="L55" s="342"/>
      <c r="M55" s="342"/>
      <c r="N55" s="369"/>
      <c r="O55" s="344"/>
      <c r="P55" s="397"/>
      <c r="Q55" s="344"/>
    </row>
    <row r="56" spans="1:17" s="365" customFormat="1">
      <c r="A56" s="336"/>
      <c r="B56" s="511" t="s">
        <v>1035</v>
      </c>
      <c r="C56" s="512" t="s">
        <v>1621</v>
      </c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>Unit</v>
      </c>
      <c r="F56" s="501">
        <v>1</v>
      </c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ca="1" si="32"/>
        <v>0</v>
      </c>
      <c r="I56" s="361">
        <f t="shared" ca="1" si="33"/>
        <v>0</v>
      </c>
      <c r="J56" s="361">
        <f t="shared" ca="1" si="34"/>
        <v>0</v>
      </c>
      <c r="K56" s="362">
        <f t="shared" ca="1" si="35"/>
        <v>0</v>
      </c>
      <c r="L56" s="342"/>
      <c r="M56" s="342"/>
      <c r="N56" s="369"/>
      <c r="O56" s="344"/>
      <c r="P56" s="397"/>
      <c r="Q56" s="344"/>
    </row>
    <row r="57" spans="1:17" s="365" customFormat="1">
      <c r="A57" s="336"/>
      <c r="B57" s="511">
        <v>1</v>
      </c>
      <c r="C57" s="512" t="s">
        <v>30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01">
        <f>F56*1</f>
        <v>1</v>
      </c>
      <c r="G57" s="360">
        <f ca="1">IF(ISERROR(OFFSET('HARGA SATUAN'!$I$6,MATCH(RAB!C57,'HARGA SATUAN'!$C$7:$C$1492,0),0)),0,OFFSET('HARGA SATUAN'!$I$6,MATCH(RAB!C57,'HARGA SATUAN'!$C$7:$C$1492,0),0))</f>
        <v>47459</v>
      </c>
      <c r="H57" s="361">
        <f t="shared" ca="1" si="32"/>
        <v>0</v>
      </c>
      <c r="I57" s="361">
        <f t="shared" ca="1" si="33"/>
        <v>47459</v>
      </c>
      <c r="J57" s="361">
        <f t="shared" ca="1" si="34"/>
        <v>0</v>
      </c>
      <c r="K57" s="362">
        <f t="shared" ca="1" si="35"/>
        <v>47459</v>
      </c>
      <c r="L57" s="342"/>
      <c r="M57" s="342"/>
      <c r="N57" s="369"/>
      <c r="O57" s="344"/>
      <c r="P57" s="397"/>
      <c r="Q57" s="344"/>
    </row>
    <row r="58" spans="1:17" s="365" customFormat="1">
      <c r="A58" s="336"/>
      <c r="B58" s="511">
        <v>2</v>
      </c>
      <c r="C58" s="512" t="s">
        <v>32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Mtr</v>
      </c>
      <c r="F58" s="501">
        <f>F56*1</f>
        <v>1</v>
      </c>
      <c r="G58" s="360">
        <f ca="1">IF(ISERROR(OFFSET('HARGA SATUAN'!$I$6,MATCH(RAB!C58,'HARGA SATUAN'!$C$7:$C$1492,0),0)),0,OFFSET('HARGA SATUAN'!$I$6,MATCH(RAB!C58,'HARGA SATUAN'!$C$7:$C$1492,0),0))</f>
        <v>30000</v>
      </c>
      <c r="H58" s="361">
        <f t="shared" ca="1" si="32"/>
        <v>0</v>
      </c>
      <c r="I58" s="361">
        <f t="shared" ca="1" si="33"/>
        <v>30000</v>
      </c>
      <c r="J58" s="361">
        <f t="shared" ca="1" si="34"/>
        <v>0</v>
      </c>
      <c r="K58" s="362">
        <f t="shared" ca="1" si="35"/>
        <v>30000</v>
      </c>
      <c r="L58" s="342"/>
      <c r="M58" s="342"/>
      <c r="N58" s="369"/>
      <c r="O58" s="344"/>
      <c r="P58" s="397"/>
      <c r="Q58" s="344"/>
    </row>
    <row r="59" spans="1:17" s="365" customFormat="1">
      <c r="A59" s="336"/>
      <c r="B59" s="511">
        <v>3</v>
      </c>
      <c r="C59" s="512" t="s">
        <v>33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01">
        <f>F56*1</f>
        <v>1</v>
      </c>
      <c r="G59" s="360">
        <f ca="1">IF(ISERROR(OFFSET('HARGA SATUAN'!$I$6,MATCH(RAB!C59,'HARGA SATUAN'!$C$7:$C$1492,0),0)),0,OFFSET('HARGA SATUAN'!$I$6,MATCH(RAB!C59,'HARGA SATUAN'!$C$7:$C$1492,0),0))</f>
        <v>9500</v>
      </c>
      <c r="H59" s="361">
        <f t="shared" ca="1" si="32"/>
        <v>0</v>
      </c>
      <c r="I59" s="361">
        <f t="shared" ca="1" si="33"/>
        <v>9500</v>
      </c>
      <c r="J59" s="361">
        <f t="shared" ca="1" si="34"/>
        <v>0</v>
      </c>
      <c r="K59" s="362">
        <f t="shared" ca="1" si="35"/>
        <v>9500</v>
      </c>
      <c r="L59" s="342"/>
      <c r="M59" s="342"/>
      <c r="N59" s="369"/>
      <c r="O59" s="344"/>
      <c r="P59" s="397"/>
      <c r="Q59" s="344"/>
    </row>
    <row r="60" spans="1:17" s="365" customFormat="1">
      <c r="A60" s="336"/>
      <c r="B60" s="511">
        <v>4</v>
      </c>
      <c r="C60" s="512" t="s">
        <v>738</v>
      </c>
      <c r="D60" s="358" t="str">
        <f ca="1">IF(ISERROR(OFFSET('HARGA SATUAN'!$D$6,MATCH(RAB!C60,'HARGA SATUAN'!$C$7:$C$1492,0),0)),"",OFFSET('HARGA SATUAN'!$D$6,MATCH(RAB!C60,'HARGA SATUAN'!$C$7:$C$1492,0),0))</f>
        <v>JASA</v>
      </c>
      <c r="E60" s="359" t="str">
        <f ca="1">IF(B60="+","Unit",IF(ISERROR(OFFSET('HARGA SATUAN'!$E$6,MATCH(RAB!C60,'HARGA SATUAN'!$C$7:$C$1492,0),0)),"",OFFSET('HARGA SATUAN'!$E$6,MATCH(RAB!C60,'HARGA SATUAN'!$C$7:$C$1492,0),0)))</f>
        <v>Unit</v>
      </c>
      <c r="F60" s="501">
        <f>F56*1</f>
        <v>1</v>
      </c>
      <c r="G60" s="360">
        <f ca="1">IF(ISERROR(OFFSET('HARGA SATUAN'!$I$6,MATCH(RAB!C60,'HARGA SATUAN'!$C$7:$C$1492,0),0)),0,OFFSET('HARGA SATUAN'!$I$6,MATCH(RAB!C60,'HARGA SATUAN'!$C$7:$C$1492,0),0))</f>
        <v>21200</v>
      </c>
      <c r="H60" s="361">
        <f t="shared" ca="1" si="32"/>
        <v>0</v>
      </c>
      <c r="I60" s="361">
        <f t="shared" ca="1" si="33"/>
        <v>0</v>
      </c>
      <c r="J60" s="361">
        <f t="shared" ca="1" si="34"/>
        <v>21200</v>
      </c>
      <c r="K60" s="362">
        <f t="shared" ca="1" si="35"/>
        <v>21200</v>
      </c>
      <c r="L60" s="342"/>
      <c r="M60" s="342"/>
      <c r="N60" s="369"/>
      <c r="O60" s="344"/>
      <c r="P60" s="397"/>
      <c r="Q60" s="344"/>
    </row>
    <row r="61" spans="1:17" s="365" customFormat="1">
      <c r="A61" s="336"/>
      <c r="B61" s="498"/>
      <c r="C61" s="499"/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/>
      </c>
      <c r="F61" s="501"/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ca="1" si="32"/>
        <v>0</v>
      </c>
      <c r="I61" s="361">
        <f t="shared" ca="1" si="33"/>
        <v>0</v>
      </c>
      <c r="J61" s="361">
        <f t="shared" ca="1" si="34"/>
        <v>0</v>
      </c>
      <c r="K61" s="362">
        <f t="shared" ca="1" si="35"/>
        <v>0</v>
      </c>
      <c r="L61" s="342"/>
      <c r="M61" s="342"/>
      <c r="N61" s="369"/>
      <c r="O61" s="344"/>
      <c r="P61" s="397"/>
      <c r="Q61" s="344"/>
    </row>
    <row r="62" spans="1:17">
      <c r="B62" s="366" t="s">
        <v>1608</v>
      </c>
      <c r="C62" s="367" t="s">
        <v>1610</v>
      </c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/>
      </c>
      <c r="F62" s="501"/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ca="1" si="32"/>
        <v>0</v>
      </c>
      <c r="I62" s="361">
        <f t="shared" ca="1" si="33"/>
        <v>0</v>
      </c>
      <c r="J62" s="361">
        <f t="shared" ca="1" si="34"/>
        <v>0</v>
      </c>
      <c r="K62" s="362">
        <f t="shared" ca="1" si="35"/>
        <v>0</v>
      </c>
    </row>
    <row r="63" spans="1:17">
      <c r="B63" s="494"/>
      <c r="C63" s="497"/>
      <c r="D63" s="358" t="str">
        <f ca="1">IF(ISERROR(OFFSET('HARGA SATUAN'!$D$6,MATCH(RAB!C63,'HARGA SATUAN'!$C$7:$C$1492,0),0)),"",OFFSET('HARGA SATUAN'!$D$6,MATCH(RAB!C63,'HARGA SATUAN'!$C$7:$C$1492,0),0))</f>
        <v/>
      </c>
      <c r="E63" s="359" t="str">
        <f ca="1">IF(B63="+","Unit",IF(ISERROR(OFFSET('HARGA SATUAN'!$E$6,MATCH(RAB!C63,'HARGA SATUAN'!$C$7:$C$1492,0),0)),"",OFFSET('HARGA SATUAN'!$E$6,MATCH(RAB!C63,'HARGA SATUAN'!$C$7:$C$1492,0),0)))</f>
        <v/>
      </c>
      <c r="F63" s="501"/>
      <c r="G63" s="360">
        <f ca="1">IF(ISERROR(OFFSET('HARGA SATUAN'!$I$6,MATCH(RAB!C63,'HARGA SATUAN'!$C$7:$C$1492,0),0)),0,OFFSET('HARGA SATUAN'!$I$6,MATCH(RAB!C63,'HARGA SATUAN'!$C$7:$C$1492,0),0))</f>
        <v>0</v>
      </c>
      <c r="H63" s="361">
        <f t="shared" ca="1" si="32"/>
        <v>0</v>
      </c>
      <c r="I63" s="361">
        <f t="shared" ca="1" si="33"/>
        <v>0</v>
      </c>
      <c r="J63" s="361">
        <f t="shared" ca="1" si="34"/>
        <v>0</v>
      </c>
      <c r="K63" s="362">
        <f t="shared" ca="1" si="35"/>
        <v>0</v>
      </c>
    </row>
    <row r="64" spans="1:17">
      <c r="B64" s="520" t="s">
        <v>1035</v>
      </c>
      <c r="C64" s="521" t="s">
        <v>1629</v>
      </c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IF(B64="+","Unit",IF(ISERROR(OFFSET('HARGA SATUAN'!$E$6,MATCH(RAB!C64,'HARGA SATUAN'!$C$7:$C$1492,0),0)),"",OFFSET('HARGA SATUAN'!$E$6,MATCH(RAB!C64,'HARGA SATUAN'!$C$7:$C$1492,0),0)))</f>
        <v>Unit</v>
      </c>
      <c r="F64" s="502">
        <v>1</v>
      </c>
      <c r="G64" s="360">
        <f ca="1">IF(ISERROR(OFFSET('HARGA SATUAN'!$I$6,MATCH(RAB!C64,'HARGA SATUAN'!$C$7:$C$1492,0),0)),0,OFFSET('HARGA SATUAN'!$I$6,MATCH(RAB!C64,'HARGA SATUAN'!$C$7:$C$1492,0),0))</f>
        <v>0</v>
      </c>
      <c r="H64" s="361">
        <f t="shared" ref="H64:H70" ca="1" si="36">IF(OR(D64="MDU",D64="MDU-KD"),(IF($O$3="RAB NON MDU","PLN KD",G64*F64)),0)</f>
        <v>0</v>
      </c>
      <c r="I64" s="361">
        <f t="shared" ref="I64:I70" ca="1" si="37">IF(D64="HDW",G64*F64,0)</f>
        <v>0</v>
      </c>
      <c r="J64" s="361">
        <f t="shared" ref="J64:J70" ca="1" si="38">IF(D64="JASA",G64*F64,0)</f>
        <v>0</v>
      </c>
      <c r="K64" s="362">
        <f t="shared" ref="K64:K70" ca="1" si="39">SUM(H64:J64)</f>
        <v>0</v>
      </c>
    </row>
    <row r="65" spans="2:11">
      <c r="B65" s="520">
        <v>1</v>
      </c>
      <c r="C65" s="521" t="s">
        <v>535</v>
      </c>
      <c r="D65" s="358" t="str">
        <f ca="1">IF(ISERROR(OFFSET('HARGA SATUAN'!$D$6,MATCH(RAB!C65,'HARGA SATUAN'!$C$7:$C$1492,0),0)),"",OFFSET('HARGA SATUAN'!$D$6,MATCH(RAB!C65,'HARGA SATUAN'!$C$7:$C$1492,0),0))</f>
        <v>MDU-KD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02">
        <f>F64*1</f>
        <v>1</v>
      </c>
      <c r="G65" s="360">
        <f ca="1">IF(ISERROR(OFFSET('HARGA SATUAN'!$I$6,MATCH(RAB!C65,'HARGA SATUAN'!$C$7:$C$1492,0),0)),0,OFFSET('HARGA SATUAN'!$I$6,MATCH(RAB!C65,'HARGA SATUAN'!$C$7:$C$1492,0),0))</f>
        <v>848250</v>
      </c>
      <c r="H65" s="361">
        <f t="shared" ca="1" si="36"/>
        <v>848250</v>
      </c>
      <c r="I65" s="361">
        <f t="shared" ca="1" si="37"/>
        <v>0</v>
      </c>
      <c r="J65" s="361">
        <f t="shared" ca="1" si="38"/>
        <v>0</v>
      </c>
      <c r="K65" s="362">
        <f t="shared" ca="1" si="39"/>
        <v>848250</v>
      </c>
    </row>
    <row r="66" spans="2:11">
      <c r="B66" s="520">
        <v>2</v>
      </c>
      <c r="C66" s="109" t="s">
        <v>62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02">
        <f>F64*1</f>
        <v>1</v>
      </c>
      <c r="G66" s="360">
        <f ca="1">IF(ISERROR(OFFSET('HARGA SATUAN'!$I$6,MATCH(RAB!C66,'HARGA SATUAN'!$C$7:$C$1492,0),0)),0,OFFSET('HARGA SATUAN'!$I$6,MATCH(RAB!C66,'HARGA SATUAN'!$C$7:$C$1492,0),0))</f>
        <v>32500</v>
      </c>
      <c r="H66" s="361">
        <f t="shared" ca="1" si="36"/>
        <v>0</v>
      </c>
      <c r="I66" s="361">
        <f t="shared" ca="1" si="37"/>
        <v>32500</v>
      </c>
      <c r="J66" s="361">
        <f t="shared" ca="1" si="38"/>
        <v>0</v>
      </c>
      <c r="K66" s="362">
        <f t="shared" ca="1" si="39"/>
        <v>32500</v>
      </c>
    </row>
    <row r="67" spans="2:11">
      <c r="B67" s="520">
        <v>3</v>
      </c>
      <c r="C67" s="521" t="s">
        <v>187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Bh</v>
      </c>
      <c r="F67" s="502">
        <f>F64*1</f>
        <v>1</v>
      </c>
      <c r="G67" s="360">
        <f ca="1">IF(ISERROR(OFFSET('HARGA SATUAN'!$I$6,MATCH(RAB!C67,'HARGA SATUAN'!$C$7:$C$1492,0),0)),0,OFFSET('HARGA SATUAN'!$I$6,MATCH(RAB!C67,'HARGA SATUAN'!$C$7:$C$1492,0),0))</f>
        <v>17100</v>
      </c>
      <c r="H67" s="361">
        <f t="shared" ca="1" si="36"/>
        <v>0</v>
      </c>
      <c r="I67" s="361">
        <f t="shared" ca="1" si="37"/>
        <v>17100</v>
      </c>
      <c r="J67" s="361">
        <f t="shared" ca="1" si="38"/>
        <v>0</v>
      </c>
      <c r="K67" s="362">
        <f t="shared" ca="1" si="39"/>
        <v>17100</v>
      </c>
    </row>
    <row r="68" spans="2:11">
      <c r="B68" s="520">
        <v>4</v>
      </c>
      <c r="C68" s="109" t="s">
        <v>174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Bh</v>
      </c>
      <c r="F68" s="502">
        <f>F64*1</f>
        <v>1</v>
      </c>
      <c r="G68" s="360">
        <f ca="1">IF(ISERROR(OFFSET('HARGA SATUAN'!$I$6,MATCH(RAB!C68,'HARGA SATUAN'!$C$7:$C$1492,0),0)),0,OFFSET('HARGA SATUAN'!$I$6,MATCH(RAB!C68,'HARGA SATUAN'!$C$7:$C$1492,0),0))</f>
        <v>67700</v>
      </c>
      <c r="H68" s="361">
        <f t="shared" ca="1" si="36"/>
        <v>0</v>
      </c>
      <c r="I68" s="361">
        <f t="shared" ca="1" si="37"/>
        <v>67700</v>
      </c>
      <c r="J68" s="361">
        <f t="shared" ca="1" si="38"/>
        <v>0</v>
      </c>
      <c r="K68" s="362">
        <f t="shared" ca="1" si="39"/>
        <v>67700</v>
      </c>
    </row>
    <row r="69" spans="2:11">
      <c r="B69" s="520">
        <v>5</v>
      </c>
      <c r="C69" s="521" t="s">
        <v>747</v>
      </c>
      <c r="D69" s="358" t="str">
        <f ca="1">IF(ISERROR(OFFSET('HARGA SATUAN'!$D$6,MATCH(RAB!C69,'HARGA SATUAN'!$C$7:$C$1492,0),0)),"",OFFSET('HARGA SATUAN'!$D$6,MATCH(RAB!C69,'HARGA SATUAN'!$C$7:$C$1492,0),0))</f>
        <v>JASA</v>
      </c>
      <c r="E69" s="359" t="str">
        <f ca="1">IF(B69="+","Unit",IF(ISERROR(OFFSET('HARGA SATUAN'!$E$6,MATCH(RAB!C69,'HARGA SATUAN'!$C$7:$C$1492,0),0)),"",OFFSET('HARGA SATUAN'!$E$6,MATCH(RAB!C69,'HARGA SATUAN'!$C$7:$C$1492,0),0)))</f>
        <v>Unit</v>
      </c>
      <c r="F69" s="502">
        <f>F64*1</f>
        <v>1</v>
      </c>
      <c r="G69" s="360">
        <f ca="1">IF(ISERROR(OFFSET('HARGA SATUAN'!$I$6,MATCH(RAB!C69,'HARGA SATUAN'!$C$7:$C$1492,0),0)),0,OFFSET('HARGA SATUAN'!$I$6,MATCH(RAB!C69,'HARGA SATUAN'!$C$7:$C$1492,0),0))</f>
        <v>58400</v>
      </c>
      <c r="H69" s="361">
        <f t="shared" ca="1" si="36"/>
        <v>0</v>
      </c>
      <c r="I69" s="361">
        <f t="shared" ca="1" si="37"/>
        <v>0</v>
      </c>
      <c r="J69" s="361">
        <f t="shared" ca="1" si="38"/>
        <v>58400</v>
      </c>
      <c r="K69" s="362">
        <f t="shared" ca="1" si="39"/>
        <v>58400</v>
      </c>
    </row>
    <row r="70" spans="2:11">
      <c r="B70" s="494"/>
      <c r="C70" s="497"/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/>
      </c>
      <c r="F70" s="501"/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ca="1" si="36"/>
        <v>0</v>
      </c>
      <c r="I70" s="361">
        <f t="shared" ca="1" si="37"/>
        <v>0</v>
      </c>
      <c r="J70" s="361">
        <f t="shared" ca="1" si="38"/>
        <v>0</v>
      </c>
      <c r="K70" s="362">
        <f t="shared" ca="1" si="39"/>
        <v>0</v>
      </c>
    </row>
    <row r="71" spans="2:11">
      <c r="B71" s="520" t="s">
        <v>1035</v>
      </c>
      <c r="C71" s="521" t="s">
        <v>1624</v>
      </c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>Unit</v>
      </c>
      <c r="F71" s="23">
        <v>1</v>
      </c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ref="H71:H83" ca="1" si="40">IF(OR(D71="MDU",D71="MDU-KD"),(IF($O$3="RAB NON MDU","PLN KD",G71*F71)),0)</f>
        <v>0</v>
      </c>
      <c r="I71" s="361">
        <f t="shared" ref="I71:I83" ca="1" si="41">IF(D71="HDW",G71*F71,0)</f>
        <v>0</v>
      </c>
      <c r="J71" s="361">
        <f t="shared" ref="J71:J83" ca="1" si="42">IF(D71="JASA",G71*F71,0)</f>
        <v>0</v>
      </c>
      <c r="K71" s="362">
        <f t="shared" ref="K71:K83" ca="1" si="43">SUM(H71:J71)</f>
        <v>0</v>
      </c>
    </row>
    <row r="72" spans="2:11">
      <c r="B72" s="520">
        <v>1</v>
      </c>
      <c r="C72" s="506" t="s">
        <v>532</v>
      </c>
      <c r="D72" s="358" t="str">
        <f ca="1">IF(ISERROR(OFFSET('HARGA SATUAN'!$D$6,MATCH(RAB!C72,'HARGA SATUAN'!$C$7:$C$1492,0),0)),"",OFFSET('HARGA SATUAN'!$D$6,MATCH(RAB!C72,'HARGA SATUAN'!$C$7:$C$1492,0),0))</f>
        <v>MDU-KD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507">
        <f>F71*1</f>
        <v>1</v>
      </c>
      <c r="G72" s="360">
        <f ca="1">IF(ISERROR(OFFSET('HARGA SATUAN'!$I$6,MATCH(RAB!C72,'HARGA SATUAN'!$C$7:$C$1492,0),0)),0,OFFSET('HARGA SATUAN'!$I$6,MATCH(RAB!C72,'HARGA SATUAN'!$C$7:$C$1492,0),0))</f>
        <v>27845400</v>
      </c>
      <c r="H72" s="361">
        <f t="shared" ca="1" si="40"/>
        <v>27845400</v>
      </c>
      <c r="I72" s="361">
        <f t="shared" ca="1" si="41"/>
        <v>0</v>
      </c>
      <c r="J72" s="361">
        <f t="shared" ca="1" si="42"/>
        <v>0</v>
      </c>
      <c r="K72" s="362">
        <f t="shared" ca="1" si="43"/>
        <v>27845400</v>
      </c>
    </row>
    <row r="73" spans="2:11">
      <c r="B73" s="503">
        <v>2</v>
      </c>
      <c r="C73" s="506" t="s">
        <v>1612</v>
      </c>
      <c r="D73" s="358" t="str">
        <f ca="1">IF(ISERROR(OFFSET('HARGA SATUAN'!$D$6,MATCH(RAB!C73,'HARGA SATUAN'!$C$7:$C$1492,0),0)),"",OFFSET('HARGA SATUAN'!$D$6,MATCH(RAB!C73,'HARGA SATUAN'!$C$7:$C$1492,0),0))</f>
        <v/>
      </c>
      <c r="E73" s="359" t="str">
        <f ca="1">IF(B73="+","Unit",IF(ISERROR(OFFSET('HARGA SATUAN'!$E$6,MATCH(RAB!C73,'HARGA SATUAN'!$C$7:$C$1492,0),0)),"",OFFSET('HARGA SATUAN'!$E$6,MATCH(RAB!C73,'HARGA SATUAN'!$C$7:$C$1492,0),0)))</f>
        <v/>
      </c>
      <c r="F73" s="507"/>
      <c r="G73" s="360">
        <f ca="1">IF(ISERROR(OFFSET('HARGA SATUAN'!$I$6,MATCH(RAB!C73,'HARGA SATUAN'!$C$7:$C$1492,0),0)),0,OFFSET('HARGA SATUAN'!$I$6,MATCH(RAB!C73,'HARGA SATUAN'!$C$7:$C$1492,0),0))</f>
        <v>0</v>
      </c>
      <c r="H73" s="361">
        <f t="shared" ca="1" si="40"/>
        <v>0</v>
      </c>
      <c r="I73" s="361">
        <f t="shared" ca="1" si="41"/>
        <v>0</v>
      </c>
      <c r="J73" s="361">
        <f t="shared" ca="1" si="42"/>
        <v>0</v>
      </c>
      <c r="K73" s="362">
        <f t="shared" ca="1" si="43"/>
        <v>0</v>
      </c>
    </row>
    <row r="74" spans="2:11">
      <c r="B74" s="503"/>
      <c r="C74" s="506" t="s">
        <v>65</v>
      </c>
      <c r="D74" s="358" t="str">
        <f ca="1">IF(ISERROR(OFFSET('HARGA SATUAN'!$D$6,MATCH(RAB!C74,'HARGA SATUAN'!$C$7:$C$1492,0),0)),"",OFFSET('HARGA SATUAN'!$D$6,MATCH(RAB!C74,'HARGA SATUAN'!$C$7:$C$1492,0),0))</f>
        <v>MDU-KD</v>
      </c>
      <c r="E74" s="359" t="str">
        <f ca="1">IF(B74="+","Unit",IF(ISERROR(OFFSET('HARGA SATUAN'!$E$6,MATCH(RAB!C74,'HARGA SATUAN'!$C$7:$C$1492,0),0)),"",OFFSET('HARGA SATUAN'!$E$6,MATCH(RAB!C74,'HARGA SATUAN'!$C$7:$C$1492,0),0)))</f>
        <v>Mtr</v>
      </c>
      <c r="F74" s="507">
        <f>F71*2</f>
        <v>2</v>
      </c>
      <c r="G74" s="360">
        <f ca="1">IF(ISERROR(OFFSET('HARGA SATUAN'!$I$6,MATCH(RAB!C74,'HARGA SATUAN'!$C$7:$C$1492,0),0)),0,OFFSET('HARGA SATUAN'!$I$6,MATCH(RAB!C74,'HARGA SATUAN'!$C$7:$C$1492,0),0))</f>
        <v>14200</v>
      </c>
      <c r="H74" s="361">
        <f t="shared" ca="1" si="40"/>
        <v>28400</v>
      </c>
      <c r="I74" s="361">
        <f t="shared" ca="1" si="41"/>
        <v>0</v>
      </c>
      <c r="J74" s="361">
        <f t="shared" ca="1" si="42"/>
        <v>0</v>
      </c>
      <c r="K74" s="362">
        <f t="shared" ca="1" si="43"/>
        <v>28400</v>
      </c>
    </row>
    <row r="75" spans="2:11">
      <c r="B75" s="520"/>
      <c r="C75" s="506" t="s">
        <v>1625</v>
      </c>
      <c r="D75" s="358" t="str">
        <f ca="1">IF(ISERROR(OFFSET('HARGA SATUAN'!$D$6,MATCH(RAB!C75,'HARGA SATUAN'!$C$7:$C$1492,0),0)),"",OFFSET('HARGA SATUAN'!$D$6,MATCH(RAB!C75,'HARGA SATUAN'!$C$7:$C$1492,0),0))</f>
        <v/>
      </c>
      <c r="E75" s="359" t="str">
        <f ca="1">IF(B75="+","Unit",IF(ISERROR(OFFSET('HARGA SATUAN'!$E$6,MATCH(RAB!C75,'HARGA SATUAN'!$C$7:$C$1492,0),0)),"",OFFSET('HARGA SATUAN'!$E$6,MATCH(RAB!C75,'HARGA SATUAN'!$C$7:$C$1492,0),0)))</f>
        <v/>
      </c>
      <c r="F75" s="507">
        <f>F71*2</f>
        <v>2</v>
      </c>
      <c r="G75" s="360">
        <f ca="1">IF(ISERROR(OFFSET('HARGA SATUAN'!$I$6,MATCH(RAB!C75,'HARGA SATUAN'!$C$7:$C$1492,0),0)),0,OFFSET('HARGA SATUAN'!$I$6,MATCH(RAB!C75,'HARGA SATUAN'!$C$7:$C$1492,0),0))</f>
        <v>0</v>
      </c>
      <c r="H75" s="361">
        <f t="shared" ca="1" si="40"/>
        <v>0</v>
      </c>
      <c r="I75" s="361">
        <f t="shared" ca="1" si="41"/>
        <v>0</v>
      </c>
      <c r="J75" s="361">
        <f t="shared" ca="1" si="42"/>
        <v>0</v>
      </c>
      <c r="K75" s="362">
        <f t="shared" ca="1" si="43"/>
        <v>0</v>
      </c>
    </row>
    <row r="76" spans="2:11">
      <c r="B76" s="520">
        <v>3</v>
      </c>
      <c r="C76" s="506" t="s">
        <v>207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507">
        <f>F71*1</f>
        <v>1</v>
      </c>
      <c r="G76" s="360">
        <f ca="1">IF(ISERROR(OFFSET('HARGA SATUAN'!$I$6,MATCH(RAB!C76,'HARGA SATUAN'!$C$7:$C$1492,0),0)),0,OFFSET('HARGA SATUAN'!$I$6,MATCH(RAB!C76,'HARGA SATUAN'!$C$7:$C$1492,0),0))</f>
        <v>87000</v>
      </c>
      <c r="H76" s="361">
        <f t="shared" ca="1" si="40"/>
        <v>0</v>
      </c>
      <c r="I76" s="361">
        <f t="shared" ca="1" si="41"/>
        <v>87000</v>
      </c>
      <c r="J76" s="361">
        <f t="shared" ca="1" si="42"/>
        <v>0</v>
      </c>
      <c r="K76" s="362">
        <f t="shared" ca="1" si="43"/>
        <v>87000</v>
      </c>
    </row>
    <row r="77" spans="2:11">
      <c r="B77" s="520">
        <v>4</v>
      </c>
      <c r="C77" s="506" t="s">
        <v>176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Bh</v>
      </c>
      <c r="F77" s="507">
        <f>F71*2</f>
        <v>2</v>
      </c>
      <c r="G77" s="360">
        <f ca="1">IF(ISERROR(OFFSET('HARGA SATUAN'!$I$6,MATCH(RAB!C77,'HARGA SATUAN'!$C$7:$C$1492,0),0)),0,OFFSET('HARGA SATUAN'!$I$6,MATCH(RAB!C77,'HARGA SATUAN'!$C$7:$C$1492,0),0))</f>
        <v>404600</v>
      </c>
      <c r="H77" s="361">
        <f t="shared" ca="1" si="40"/>
        <v>0</v>
      </c>
      <c r="I77" s="361">
        <f t="shared" ca="1" si="41"/>
        <v>809200</v>
      </c>
      <c r="J77" s="361">
        <f t="shared" ca="1" si="42"/>
        <v>0</v>
      </c>
      <c r="K77" s="362">
        <f t="shared" ca="1" si="43"/>
        <v>809200</v>
      </c>
    </row>
    <row r="78" spans="2:11">
      <c r="B78" s="520">
        <v>5</v>
      </c>
      <c r="C78" s="506" t="s">
        <v>184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507">
        <f>F71*3</f>
        <v>3</v>
      </c>
      <c r="G78" s="360">
        <f ca="1">IF(ISERROR(OFFSET('HARGA SATUAN'!$I$6,MATCH(RAB!C78,'HARGA SATUAN'!$C$7:$C$1492,0),0)),0,OFFSET('HARGA SATUAN'!$I$6,MATCH(RAB!C78,'HARGA SATUAN'!$C$7:$C$1492,0),0))</f>
        <v>15900</v>
      </c>
      <c r="H78" s="361">
        <f t="shared" ca="1" si="40"/>
        <v>0</v>
      </c>
      <c r="I78" s="361">
        <f t="shared" ca="1" si="41"/>
        <v>47700</v>
      </c>
      <c r="J78" s="361">
        <f t="shared" ca="1" si="42"/>
        <v>0</v>
      </c>
      <c r="K78" s="362">
        <f t="shared" ca="1" si="43"/>
        <v>47700</v>
      </c>
    </row>
    <row r="79" spans="2:11">
      <c r="B79" s="520">
        <v>6</v>
      </c>
      <c r="C79" s="506" t="s">
        <v>187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507">
        <f>F71*2</f>
        <v>2</v>
      </c>
      <c r="G79" s="360">
        <f ca="1">IF(ISERROR(OFFSET('HARGA SATUAN'!$I$6,MATCH(RAB!C79,'HARGA SATUAN'!$C$7:$C$1492,0),0)),0,OFFSET('HARGA SATUAN'!$I$6,MATCH(RAB!C79,'HARGA SATUAN'!$C$7:$C$1492,0),0))</f>
        <v>17100</v>
      </c>
      <c r="H79" s="361">
        <f t="shared" ca="1" si="40"/>
        <v>0</v>
      </c>
      <c r="I79" s="361">
        <f t="shared" ca="1" si="41"/>
        <v>34200</v>
      </c>
      <c r="J79" s="361">
        <f t="shared" ca="1" si="42"/>
        <v>0</v>
      </c>
      <c r="K79" s="362">
        <f t="shared" ca="1" si="43"/>
        <v>34200</v>
      </c>
    </row>
    <row r="80" spans="2:11">
      <c r="B80" s="520">
        <v>7</v>
      </c>
      <c r="C80" s="506" t="s">
        <v>1626</v>
      </c>
      <c r="D80" s="358" t="str">
        <f ca="1">IF(ISERROR(OFFSET('HARGA SATUAN'!$D$6,MATCH(RAB!C80,'HARGA SATUAN'!$C$7:$C$1492,0),0)),"",OFFSET('HARGA SATUAN'!$D$6,MATCH(RAB!C80,'HARGA SATUAN'!$C$7:$C$1492,0),0))</f>
        <v/>
      </c>
      <c r="E80" s="359" t="str">
        <f ca="1">IF(B80="+","Unit",IF(ISERROR(OFFSET('HARGA SATUAN'!$E$6,MATCH(RAB!C80,'HARGA SATUAN'!$C$7:$C$1492,0),0)),"",OFFSET('HARGA SATUAN'!$E$6,MATCH(RAB!C80,'HARGA SATUAN'!$C$7:$C$1492,0),0)))</f>
        <v/>
      </c>
      <c r="F80" s="507">
        <f>F71*4</f>
        <v>4</v>
      </c>
      <c r="G80" s="360">
        <f ca="1">IF(ISERROR(OFFSET('HARGA SATUAN'!$I$6,MATCH(RAB!C80,'HARGA SATUAN'!$C$7:$C$1492,0),0)),0,OFFSET('HARGA SATUAN'!$I$6,MATCH(RAB!C80,'HARGA SATUAN'!$C$7:$C$1492,0),0))</f>
        <v>0</v>
      </c>
      <c r="H80" s="361">
        <f t="shared" ca="1" si="40"/>
        <v>0</v>
      </c>
      <c r="I80" s="361">
        <f t="shared" ca="1" si="41"/>
        <v>0</v>
      </c>
      <c r="J80" s="361">
        <f t="shared" ca="1" si="42"/>
        <v>0</v>
      </c>
      <c r="K80" s="362">
        <f t="shared" ca="1" si="43"/>
        <v>0</v>
      </c>
    </row>
    <row r="81" spans="2:11">
      <c r="B81" s="520">
        <v>8</v>
      </c>
      <c r="C81" s="506" t="s">
        <v>149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Set</v>
      </c>
      <c r="F81" s="507">
        <f>F71*1</f>
        <v>1</v>
      </c>
      <c r="G81" s="360">
        <f ca="1">IF(ISERROR(OFFSET('HARGA SATUAN'!$I$6,MATCH(RAB!C81,'HARGA SATUAN'!$C$7:$C$1492,0),0)),0,OFFSET('HARGA SATUAN'!$I$6,MATCH(RAB!C81,'HARGA SATUAN'!$C$7:$C$1492,0),0))</f>
        <v>67800</v>
      </c>
      <c r="H81" s="361">
        <f t="shared" ca="1" si="40"/>
        <v>0</v>
      </c>
      <c r="I81" s="361">
        <f t="shared" ca="1" si="41"/>
        <v>67800</v>
      </c>
      <c r="J81" s="361">
        <f t="shared" ca="1" si="42"/>
        <v>0</v>
      </c>
      <c r="K81" s="362">
        <f t="shared" ca="1" si="43"/>
        <v>67800</v>
      </c>
    </row>
    <row r="82" spans="2:11">
      <c r="B82" s="520">
        <v>9</v>
      </c>
      <c r="C82" s="506" t="s">
        <v>32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Mtr</v>
      </c>
      <c r="F82" s="507">
        <f>F71*2</f>
        <v>2</v>
      </c>
      <c r="G82" s="360">
        <f ca="1">IF(ISERROR(OFFSET('HARGA SATUAN'!$I$6,MATCH(RAB!C82,'HARGA SATUAN'!$C$7:$C$1492,0),0)),0,OFFSET('HARGA SATUAN'!$I$6,MATCH(RAB!C82,'HARGA SATUAN'!$C$7:$C$1492,0),0))</f>
        <v>30000</v>
      </c>
      <c r="H82" s="361">
        <f t="shared" ca="1" si="40"/>
        <v>0</v>
      </c>
      <c r="I82" s="361">
        <f t="shared" ca="1" si="41"/>
        <v>60000</v>
      </c>
      <c r="J82" s="361">
        <f t="shared" ca="1" si="42"/>
        <v>0</v>
      </c>
      <c r="K82" s="362">
        <f t="shared" ca="1" si="43"/>
        <v>60000</v>
      </c>
    </row>
    <row r="83" spans="2:11">
      <c r="B83" s="520">
        <v>10</v>
      </c>
      <c r="C83" s="506" t="s">
        <v>781</v>
      </c>
      <c r="D83" s="358" t="str">
        <f ca="1">IF(ISERROR(OFFSET('HARGA SATUAN'!$D$6,MATCH(RAB!C83,'HARGA SATUAN'!$C$7:$C$1492,0),0)),"",OFFSET('HARGA SATUAN'!$D$6,MATCH(RAB!C83,'HARGA SATUAN'!$C$7:$C$1492,0),0))</f>
        <v>JASA</v>
      </c>
      <c r="E83" s="359" t="str">
        <f ca="1">IF(B83="+","Unit",IF(ISERROR(OFFSET('HARGA SATUAN'!$E$6,MATCH(RAB!C83,'HARGA SATUAN'!$C$7:$C$1492,0),0)),"",OFFSET('HARGA SATUAN'!$E$6,MATCH(RAB!C83,'HARGA SATUAN'!$C$7:$C$1492,0),0)))</f>
        <v>Unit</v>
      </c>
      <c r="F83" s="507">
        <f>F71*1</f>
        <v>1</v>
      </c>
      <c r="G83" s="360">
        <f ca="1">IF(ISERROR(OFFSET('HARGA SATUAN'!$I$6,MATCH(RAB!C83,'HARGA SATUAN'!$C$7:$C$1492,0),0)),0,OFFSET('HARGA SATUAN'!$I$6,MATCH(RAB!C83,'HARGA SATUAN'!$C$7:$C$1492,0),0))</f>
        <v>346400</v>
      </c>
      <c r="H83" s="361">
        <f t="shared" ca="1" si="40"/>
        <v>0</v>
      </c>
      <c r="I83" s="361">
        <f t="shared" ca="1" si="41"/>
        <v>0</v>
      </c>
      <c r="J83" s="361">
        <f t="shared" ca="1" si="42"/>
        <v>346400</v>
      </c>
      <c r="K83" s="362">
        <f t="shared" ca="1" si="43"/>
        <v>346400</v>
      </c>
    </row>
    <row r="84" spans="2:11">
      <c r="B84" s="508"/>
      <c r="C84" s="109"/>
      <c r="D84" s="358" t="str">
        <f ca="1">IF(ISERROR(OFFSET('HARGA SATUAN'!$D$6,MATCH(RAB!C84,'HARGA SATUAN'!$C$7:$C$1492,0),0)),"",OFFSET('HARGA SATUAN'!$D$6,MATCH(RAB!C84,'HARGA SATUAN'!$C$7:$C$1492,0),0))</f>
        <v/>
      </c>
      <c r="E84" s="359" t="str">
        <f ca="1">IF(B84="+","Unit",IF(ISERROR(OFFSET('HARGA SATUAN'!$E$6,MATCH(RAB!C84,'HARGA SATUAN'!$C$7:$C$1492,0),0)),"",OFFSET('HARGA SATUAN'!$E$6,MATCH(RAB!C84,'HARGA SATUAN'!$C$7:$C$1492,0),0)))</f>
        <v/>
      </c>
      <c r="F84" s="501"/>
      <c r="G84" s="360">
        <f ca="1">IF(ISERROR(OFFSET('HARGA SATUAN'!$I$6,MATCH(RAB!C84,'HARGA SATUAN'!$C$7:$C$1492,0),0)),0,OFFSET('HARGA SATUAN'!$I$6,MATCH(RAB!C84,'HARGA SATUAN'!$C$7:$C$1492,0),0))</f>
        <v>0</v>
      </c>
      <c r="H84" s="361">
        <f t="shared" ref="H84" ca="1" si="44">IF(OR(D84="MDU",D84="MDU-KD"),(IF($O$3="RAB NON MDU","PLN KD",G84*F84)),0)</f>
        <v>0</v>
      </c>
      <c r="I84" s="361">
        <f t="shared" ref="I84" ca="1" si="45">IF(D84="HDW",G84*F84,0)</f>
        <v>0</v>
      </c>
      <c r="J84" s="361">
        <f t="shared" ref="J84" ca="1" si="46">IF(D84="JASA",G84*F84,0)</f>
        <v>0</v>
      </c>
      <c r="K84" s="362">
        <f t="shared" ref="K84" ca="1" si="47">SUM(H84:J84)</f>
        <v>0</v>
      </c>
    </row>
    <row r="85" spans="2:11">
      <c r="B85" s="503" t="s">
        <v>1035</v>
      </c>
      <c r="C85" s="504" t="s">
        <v>1613</v>
      </c>
      <c r="D85" s="358" t="str">
        <f ca="1">IF(ISERROR(OFFSET('HARGA SATUAN'!$D$6,MATCH(RAB!C85,'HARGA SATUAN'!$C$7:$C$1492,0),0)),"",OFFSET('HARGA SATUAN'!$D$6,MATCH(RAB!C85,'HARGA SATUAN'!$C$7:$C$1492,0),0))</f>
        <v/>
      </c>
      <c r="E85" s="359" t="str">
        <f ca="1">IF(B85="+","Unit",IF(ISERROR(OFFSET('HARGA SATUAN'!$E$6,MATCH(RAB!C85,'HARGA SATUAN'!$C$7:$C$1492,0),0)),"",OFFSET('HARGA SATUAN'!$E$6,MATCH(RAB!C85,'HARGA SATUAN'!$C$7:$C$1492,0),0)))</f>
        <v>Unit</v>
      </c>
      <c r="F85" s="501">
        <v>2</v>
      </c>
      <c r="G85" s="360">
        <f ca="1">IF(ISERROR(OFFSET('HARGA SATUAN'!$I$6,MATCH(RAB!C85,'HARGA SATUAN'!$C$7:$C$1492,0),0)),0,OFFSET('HARGA SATUAN'!$I$6,MATCH(RAB!C85,'HARGA SATUAN'!$C$7:$C$1492,0),0))</f>
        <v>0</v>
      </c>
      <c r="H85" s="361">
        <f t="shared" ref="H85:H95" ca="1" si="48">IF(OR(D85="MDU",D85="MDU-KD"),(IF($O$3="RAB NON MDU","PLN KD",G85*F85)),0)</f>
        <v>0</v>
      </c>
      <c r="I85" s="361">
        <f t="shared" ref="I85:I95" ca="1" si="49">IF(D85="HDW",G85*F85,0)</f>
        <v>0</v>
      </c>
      <c r="J85" s="361">
        <f t="shared" ref="J85:J95" ca="1" si="50">IF(D85="JASA",G85*F85,0)</f>
        <v>0</v>
      </c>
      <c r="K85" s="362">
        <f t="shared" ref="K85:K95" ca="1" si="51">SUM(H85:J85)</f>
        <v>0</v>
      </c>
    </row>
    <row r="86" spans="2:11">
      <c r="B86" s="503">
        <v>1</v>
      </c>
      <c r="C86" s="505" t="s">
        <v>29</v>
      </c>
      <c r="D86" s="358" t="str">
        <f ca="1">IF(ISERROR(OFFSET('HARGA SATUAN'!$D$6,MATCH(RAB!C86,'HARGA SATUAN'!$C$7:$C$1492,0),0)),"",OFFSET('HARGA SATUAN'!$D$6,MATCH(RAB!C86,'HARGA SATUAN'!$C$7:$C$1492,0),0))</f>
        <v>HDW</v>
      </c>
      <c r="E86" s="359" t="str">
        <f ca="1">IF(B86="+","Unit",IF(ISERROR(OFFSET('HARGA SATUAN'!$E$6,MATCH(RAB!C86,'HARGA SATUAN'!$C$7:$C$1492,0),0)),"",OFFSET('HARGA SATUAN'!$E$6,MATCH(RAB!C86,'HARGA SATUAN'!$C$7:$C$1492,0),0)))</f>
        <v>Bh</v>
      </c>
      <c r="F86" s="501">
        <f>F85*1</f>
        <v>2</v>
      </c>
      <c r="G86" s="360">
        <f ca="1">IF(ISERROR(OFFSET('HARGA SATUAN'!$I$6,MATCH(RAB!C86,'HARGA SATUAN'!$C$7:$C$1492,0),0)),0,OFFSET('HARGA SATUAN'!$I$6,MATCH(RAB!C86,'HARGA SATUAN'!$C$7:$C$1492,0),0))</f>
        <v>185200</v>
      </c>
      <c r="H86" s="361">
        <f t="shared" ca="1" si="48"/>
        <v>0</v>
      </c>
      <c r="I86" s="361">
        <f t="shared" ca="1" si="49"/>
        <v>370400</v>
      </c>
      <c r="J86" s="361">
        <f t="shared" ca="1" si="50"/>
        <v>0</v>
      </c>
      <c r="K86" s="362">
        <f t="shared" ca="1" si="51"/>
        <v>370400</v>
      </c>
    </row>
    <row r="87" spans="2:11">
      <c r="B87" s="498">
        <v>2</v>
      </c>
      <c r="C87" s="499" t="s">
        <v>30</v>
      </c>
      <c r="D87" s="358" t="str">
        <f ca="1">IF(ISERROR(OFFSET('HARGA SATUAN'!$D$6,MATCH(RAB!C87,'HARGA SATUAN'!$C$7:$C$1492,0),0)),"",OFFSET('HARGA SATUAN'!$D$6,MATCH(RAB!C87,'HARGA SATUAN'!$C$7:$C$1492,0),0))</f>
        <v>HDW</v>
      </c>
      <c r="E87" s="359" t="str">
        <f ca="1">IF(B87="+","Unit",IF(ISERROR(OFFSET('HARGA SATUAN'!$E$6,MATCH(RAB!C87,'HARGA SATUAN'!$C$7:$C$1492,0),0)),"",OFFSET('HARGA SATUAN'!$E$6,MATCH(RAB!C87,'HARGA SATUAN'!$C$7:$C$1492,0),0)))</f>
        <v>Bh</v>
      </c>
      <c r="F87" s="501">
        <f>F85*1</f>
        <v>2</v>
      </c>
      <c r="G87" s="360">
        <f ca="1">IF(ISERROR(OFFSET('HARGA SATUAN'!$I$6,MATCH(RAB!C87,'HARGA SATUAN'!$C$7:$C$1492,0),0)),0,OFFSET('HARGA SATUAN'!$I$6,MATCH(RAB!C87,'HARGA SATUAN'!$C$7:$C$1492,0),0))</f>
        <v>47459</v>
      </c>
      <c r="H87" s="361">
        <f t="shared" ca="1" si="48"/>
        <v>0</v>
      </c>
      <c r="I87" s="361">
        <f t="shared" ca="1" si="49"/>
        <v>94918</v>
      </c>
      <c r="J87" s="361">
        <f t="shared" ca="1" si="50"/>
        <v>0</v>
      </c>
      <c r="K87" s="362">
        <f t="shared" ca="1" si="51"/>
        <v>94918</v>
      </c>
    </row>
    <row r="88" spans="2:11">
      <c r="B88" s="498">
        <v>3</v>
      </c>
      <c r="C88" s="499" t="s">
        <v>31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Bh</v>
      </c>
      <c r="F88" s="501">
        <f>F85*1</f>
        <v>2</v>
      </c>
      <c r="G88" s="360">
        <f ca="1">IF(ISERROR(OFFSET('HARGA SATUAN'!$I$6,MATCH(RAB!C88,'HARGA SATUAN'!$C$7:$C$1492,0),0)),0,OFFSET('HARGA SATUAN'!$I$6,MATCH(RAB!C88,'HARGA SATUAN'!$C$7:$C$1492,0),0))</f>
        <v>4880</v>
      </c>
      <c r="H88" s="361">
        <f t="shared" ca="1" si="48"/>
        <v>0</v>
      </c>
      <c r="I88" s="361">
        <f t="shared" ca="1" si="49"/>
        <v>9760</v>
      </c>
      <c r="J88" s="361">
        <f t="shared" ca="1" si="50"/>
        <v>0</v>
      </c>
      <c r="K88" s="362">
        <f t="shared" ca="1" si="51"/>
        <v>9760</v>
      </c>
    </row>
    <row r="89" spans="2:11">
      <c r="B89" s="498">
        <v>4</v>
      </c>
      <c r="C89" s="499" t="s">
        <v>32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Mtr</v>
      </c>
      <c r="F89" s="501">
        <f>F85*10</f>
        <v>20</v>
      </c>
      <c r="G89" s="360">
        <f ca="1">IF(ISERROR(OFFSET('HARGA SATUAN'!$I$6,MATCH(RAB!C89,'HARGA SATUAN'!$C$7:$C$1492,0),0)),0,OFFSET('HARGA SATUAN'!$I$6,MATCH(RAB!C89,'HARGA SATUAN'!$C$7:$C$1492,0),0))</f>
        <v>30000</v>
      </c>
      <c r="H89" s="361">
        <f t="shared" ca="1" si="48"/>
        <v>0</v>
      </c>
      <c r="I89" s="361">
        <f t="shared" ca="1" si="49"/>
        <v>600000</v>
      </c>
      <c r="J89" s="361">
        <f t="shared" ca="1" si="50"/>
        <v>0</v>
      </c>
      <c r="K89" s="362">
        <f t="shared" ca="1" si="51"/>
        <v>600000</v>
      </c>
    </row>
    <row r="90" spans="2:11">
      <c r="B90" s="498">
        <v>5</v>
      </c>
      <c r="C90" s="499" t="s">
        <v>33</v>
      </c>
      <c r="D90" s="358" t="str">
        <f ca="1">IF(ISERROR(OFFSET('HARGA SATUAN'!$D$6,MATCH(RAB!C90,'HARGA SATUAN'!$C$7:$C$1492,0),0)),"",OFFSET('HARGA SATUAN'!$D$6,MATCH(RAB!C90,'HARGA SATUAN'!$C$7:$C$1492,0),0))</f>
        <v>HDW</v>
      </c>
      <c r="E90" s="359" t="str">
        <f ca="1">IF(B90="+","Unit",IF(ISERROR(OFFSET('HARGA SATUAN'!$E$6,MATCH(RAB!C90,'HARGA SATUAN'!$C$7:$C$1492,0),0)),"",OFFSET('HARGA SATUAN'!$E$6,MATCH(RAB!C90,'HARGA SATUAN'!$C$7:$C$1492,0),0)))</f>
        <v>Bh</v>
      </c>
      <c r="F90" s="501">
        <f>F85*2</f>
        <v>4</v>
      </c>
      <c r="G90" s="360">
        <f ca="1">IF(ISERROR(OFFSET('HARGA SATUAN'!$I$6,MATCH(RAB!C90,'HARGA SATUAN'!$C$7:$C$1492,0),0)),0,OFFSET('HARGA SATUAN'!$I$6,MATCH(RAB!C90,'HARGA SATUAN'!$C$7:$C$1492,0),0))</f>
        <v>9500</v>
      </c>
      <c r="H90" s="361">
        <f t="shared" ca="1" si="48"/>
        <v>0</v>
      </c>
      <c r="I90" s="361">
        <f t="shared" ca="1" si="49"/>
        <v>38000</v>
      </c>
      <c r="J90" s="361">
        <f t="shared" ca="1" si="50"/>
        <v>0</v>
      </c>
      <c r="K90" s="362">
        <f t="shared" ca="1" si="51"/>
        <v>38000</v>
      </c>
    </row>
    <row r="91" spans="2:11">
      <c r="B91" s="498">
        <v>6</v>
      </c>
      <c r="C91" s="499" t="s">
        <v>34</v>
      </c>
      <c r="D91" s="358" t="str">
        <f ca="1">IF(ISERROR(OFFSET('HARGA SATUAN'!$D$6,MATCH(RAB!C91,'HARGA SATUAN'!$C$7:$C$1492,0),0)),"",OFFSET('HARGA SATUAN'!$D$6,MATCH(RAB!C91,'HARGA SATUAN'!$C$7:$C$1492,0),0))</f>
        <v>HDW</v>
      </c>
      <c r="E91" s="359" t="str">
        <f ca="1">IF(B91="+","Unit",IF(ISERROR(OFFSET('HARGA SATUAN'!$E$6,MATCH(RAB!C91,'HARGA SATUAN'!$C$7:$C$1492,0),0)),"",OFFSET('HARGA SATUAN'!$E$6,MATCH(RAB!C91,'HARGA SATUAN'!$C$7:$C$1492,0),0)))</f>
        <v>Bh</v>
      </c>
      <c r="F91" s="501">
        <f>F85*5.5</f>
        <v>11</v>
      </c>
      <c r="G91" s="360">
        <f ca="1">IF(ISERROR(OFFSET('HARGA SATUAN'!$I$6,MATCH(RAB!C91,'HARGA SATUAN'!$C$7:$C$1492,0),0)),0,OFFSET('HARGA SATUAN'!$I$6,MATCH(RAB!C91,'HARGA SATUAN'!$C$7:$C$1492,0),0))</f>
        <v>6100</v>
      </c>
      <c r="H91" s="361">
        <f t="shared" ca="1" si="48"/>
        <v>0</v>
      </c>
      <c r="I91" s="361">
        <f t="shared" ca="1" si="49"/>
        <v>67100</v>
      </c>
      <c r="J91" s="361">
        <f t="shared" ca="1" si="50"/>
        <v>0</v>
      </c>
      <c r="K91" s="362">
        <f t="shared" ca="1" si="51"/>
        <v>67100</v>
      </c>
    </row>
    <row r="92" spans="2:11">
      <c r="B92" s="498">
        <v>7</v>
      </c>
      <c r="C92" s="499" t="s">
        <v>35</v>
      </c>
      <c r="D92" s="358" t="str">
        <f ca="1">IF(ISERROR(OFFSET('HARGA SATUAN'!$D$6,MATCH(RAB!C92,'HARGA SATUAN'!$C$7:$C$1492,0),0)),"",OFFSET('HARGA SATUAN'!$D$6,MATCH(RAB!C92,'HARGA SATUAN'!$C$7:$C$1492,0),0))</f>
        <v>HDW</v>
      </c>
      <c r="E92" s="359" t="str">
        <f ca="1">IF(B92="+","Unit",IF(ISERROR(OFFSET('HARGA SATUAN'!$E$6,MATCH(RAB!C92,'HARGA SATUAN'!$C$7:$C$1492,0),0)),"",OFFSET('HARGA SATUAN'!$E$6,MATCH(RAB!C92,'HARGA SATUAN'!$C$7:$C$1492,0),0)))</f>
        <v>Bh</v>
      </c>
      <c r="F92" s="501">
        <f>F85*6</f>
        <v>12</v>
      </c>
      <c r="G92" s="360">
        <f ca="1">IF(ISERROR(OFFSET('HARGA SATUAN'!$I$6,MATCH(RAB!C92,'HARGA SATUAN'!$C$7:$C$1492,0),0)),0,OFFSET('HARGA SATUAN'!$I$6,MATCH(RAB!C92,'HARGA SATUAN'!$C$7:$C$1492,0),0))</f>
        <v>2300</v>
      </c>
      <c r="H92" s="361">
        <f t="shared" ca="1" si="48"/>
        <v>0</v>
      </c>
      <c r="I92" s="361">
        <f t="shared" ca="1" si="49"/>
        <v>27600</v>
      </c>
      <c r="J92" s="361">
        <f t="shared" ca="1" si="50"/>
        <v>0</v>
      </c>
      <c r="K92" s="362">
        <f t="shared" ca="1" si="51"/>
        <v>27600</v>
      </c>
    </row>
    <row r="93" spans="2:11">
      <c r="B93" s="498">
        <v>8</v>
      </c>
      <c r="C93" s="499" t="s">
        <v>1614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Mtr</v>
      </c>
      <c r="F93" s="501">
        <f>F85*4.8</f>
        <v>9.6</v>
      </c>
      <c r="G93" s="360">
        <f ca="1">IF(ISERROR(OFFSET('HARGA SATUAN'!$I$6,MATCH(RAB!C93,'HARGA SATUAN'!$C$7:$C$1492,0),0)),0,OFFSET('HARGA SATUAN'!$I$6,MATCH(RAB!C93,'HARGA SATUAN'!$C$7:$C$1492,0),0))</f>
        <v>23310</v>
      </c>
      <c r="H93" s="361">
        <f t="shared" ca="1" si="48"/>
        <v>0</v>
      </c>
      <c r="I93" s="361">
        <f t="shared" ca="1" si="49"/>
        <v>223776</v>
      </c>
      <c r="J93" s="361">
        <f t="shared" ca="1" si="50"/>
        <v>0</v>
      </c>
      <c r="K93" s="362">
        <f t="shared" ca="1" si="51"/>
        <v>223776</v>
      </c>
    </row>
    <row r="94" spans="2:11">
      <c r="B94" s="498">
        <v>9</v>
      </c>
      <c r="C94" s="499" t="s">
        <v>736</v>
      </c>
      <c r="D94" s="358" t="str">
        <f ca="1">IF(ISERROR(OFFSET('HARGA SATUAN'!$D$6,MATCH(RAB!C94,'HARGA SATUAN'!$C$7:$C$1492,0),0)),"",OFFSET('HARGA SATUAN'!$D$6,MATCH(RAB!C94,'HARGA SATUAN'!$C$7:$C$1492,0),0))</f>
        <v>JASA</v>
      </c>
      <c r="E94" s="359" t="str">
        <f ca="1">IF(B94="+","Unit",IF(ISERROR(OFFSET('HARGA SATUAN'!$E$6,MATCH(RAB!C94,'HARGA SATUAN'!$C$7:$C$1492,0),0)),"",OFFSET('HARGA SATUAN'!$E$6,MATCH(RAB!C94,'HARGA SATUAN'!$C$7:$C$1492,0),0)))</f>
        <v>Unit</v>
      </c>
      <c r="F94" s="501">
        <f>F85*1</f>
        <v>2</v>
      </c>
      <c r="G94" s="360">
        <f ca="1">IF(ISERROR(OFFSET('HARGA SATUAN'!$I$6,MATCH(RAB!C94,'HARGA SATUAN'!$C$7:$C$1492,0),0)),0,OFFSET('HARGA SATUAN'!$I$6,MATCH(RAB!C94,'HARGA SATUAN'!$C$7:$C$1492,0),0))</f>
        <v>65400</v>
      </c>
      <c r="H94" s="361">
        <f t="shared" ca="1" si="48"/>
        <v>0</v>
      </c>
      <c r="I94" s="361">
        <f t="shared" ca="1" si="49"/>
        <v>0</v>
      </c>
      <c r="J94" s="361">
        <f t="shared" ca="1" si="50"/>
        <v>130800</v>
      </c>
      <c r="K94" s="362">
        <f t="shared" ca="1" si="51"/>
        <v>130800</v>
      </c>
    </row>
    <row r="95" spans="2:11">
      <c r="B95" s="494"/>
      <c r="C95" s="497"/>
      <c r="D95" s="358" t="str">
        <f ca="1">IF(ISERROR(OFFSET('HARGA SATUAN'!$D$6,MATCH(RAB!C95,'HARGA SATUAN'!$C$7:$C$1492,0),0)),"",OFFSET('HARGA SATUAN'!$D$6,MATCH(RAB!C95,'HARGA SATUAN'!$C$7:$C$1492,0),0))</f>
        <v/>
      </c>
      <c r="E95" s="359" t="str">
        <f ca="1">IF(B95="+","Unit",IF(ISERROR(OFFSET('HARGA SATUAN'!$E$6,MATCH(RAB!C95,'HARGA SATUAN'!$C$7:$C$1492,0),0)),"",OFFSET('HARGA SATUAN'!$E$6,MATCH(RAB!C95,'HARGA SATUAN'!$C$7:$C$1492,0),0)))</f>
        <v/>
      </c>
      <c r="F95" s="502"/>
      <c r="G95" s="360">
        <f ca="1">IF(ISERROR(OFFSET('HARGA SATUAN'!$I$6,MATCH(RAB!C95,'HARGA SATUAN'!$C$7:$C$1492,0),0)),0,OFFSET('HARGA SATUAN'!$I$6,MATCH(RAB!C95,'HARGA SATUAN'!$C$7:$C$1492,0),0))</f>
        <v>0</v>
      </c>
      <c r="H95" s="361">
        <f t="shared" ca="1" si="48"/>
        <v>0</v>
      </c>
      <c r="I95" s="361">
        <f t="shared" ca="1" si="49"/>
        <v>0</v>
      </c>
      <c r="J95" s="361">
        <f t="shared" ca="1" si="50"/>
        <v>0</v>
      </c>
      <c r="K95" s="362">
        <f t="shared" ca="1" si="51"/>
        <v>0</v>
      </c>
    </row>
    <row r="96" spans="2:11">
      <c r="B96" s="495" t="s">
        <v>1609</v>
      </c>
      <c r="C96" s="500" t="s">
        <v>1615</v>
      </c>
      <c r="D96" s="358" t="str">
        <f ca="1">IF(ISERROR(OFFSET('HARGA SATUAN'!$D$6,MATCH(RAB!C96,'HARGA SATUAN'!$C$7:$C$1492,0),0)),"",OFFSET('HARGA SATUAN'!$D$6,MATCH(RAB!C96,'HARGA SATUAN'!$C$7:$C$1492,0),0))</f>
        <v/>
      </c>
      <c r="E96" s="359" t="str">
        <f ca="1">IF(B96="+","Unit",IF(ISERROR(OFFSET('HARGA SATUAN'!$E$6,MATCH(RAB!C96,'HARGA SATUAN'!$C$7:$C$1492,0),0)),"",OFFSET('HARGA SATUAN'!$E$6,MATCH(RAB!C96,'HARGA SATUAN'!$C$7:$C$1492,0),0)))</f>
        <v/>
      </c>
      <c r="F96" s="368"/>
      <c r="G96" s="360">
        <f ca="1">IF(ISERROR(OFFSET('HARGA SATUAN'!$I$6,MATCH(RAB!C96,'HARGA SATUAN'!$C$7:$C$1492,0),0)),0,OFFSET('HARGA SATUAN'!$I$6,MATCH(RAB!C96,'HARGA SATUAN'!$C$7:$C$1492,0),0))</f>
        <v>0</v>
      </c>
      <c r="H96" s="361">
        <f t="shared" ref="H96:H102" ca="1" si="52">IF(OR(D96="MDU",D96="MDU-KD"),(IF($O$3="RAB NON MDU","PLN KD",G96*F96)),0)</f>
        <v>0</v>
      </c>
      <c r="I96" s="361">
        <f t="shared" ref="I96:I102" ca="1" si="53">IF(D96="HDW",G96*F96,0)</f>
        <v>0</v>
      </c>
      <c r="J96" s="361">
        <f t="shared" ref="J96:J102" ca="1" si="54">IF(D96="JASA",G96*F96,0)</f>
        <v>0</v>
      </c>
      <c r="K96" s="362">
        <f t="shared" ref="K96:K102" ca="1" si="55">SUM(H96:J96)</f>
        <v>0</v>
      </c>
    </row>
    <row r="97" spans="2:11">
      <c r="B97" s="495"/>
      <c r="C97" s="496"/>
      <c r="D97" s="358" t="str">
        <f ca="1">IF(ISERROR(OFFSET('HARGA SATUAN'!$D$6,MATCH(RAB!C97,'HARGA SATUAN'!$C$7:$C$1492,0),0)),"",OFFSET('HARGA SATUAN'!$D$6,MATCH(RAB!C97,'HARGA SATUAN'!$C$7:$C$1492,0),0))</f>
        <v/>
      </c>
      <c r="E97" s="359" t="str">
        <f ca="1">IF(B97="+","Unit",IF(ISERROR(OFFSET('HARGA SATUAN'!$E$6,MATCH(RAB!C97,'HARGA SATUAN'!$C$7:$C$1492,0),0)),"",OFFSET('HARGA SATUAN'!$E$6,MATCH(RAB!C97,'HARGA SATUAN'!$C$7:$C$1492,0),0)))</f>
        <v/>
      </c>
      <c r="F97" s="510"/>
      <c r="G97" s="360">
        <f ca="1">IF(ISERROR(OFFSET('HARGA SATUAN'!$I$6,MATCH(RAB!C97,'HARGA SATUAN'!$C$7:$C$1492,0),0)),0,OFFSET('HARGA SATUAN'!$I$6,MATCH(RAB!C97,'HARGA SATUAN'!$C$7:$C$1492,0),0))</f>
        <v>0</v>
      </c>
      <c r="H97" s="361">
        <f t="shared" ca="1" si="52"/>
        <v>0</v>
      </c>
      <c r="I97" s="361">
        <f t="shared" ca="1" si="53"/>
        <v>0</v>
      </c>
      <c r="J97" s="361">
        <f t="shared" ca="1" si="54"/>
        <v>0</v>
      </c>
      <c r="K97" s="362">
        <f t="shared" ca="1" si="55"/>
        <v>0</v>
      </c>
    </row>
    <row r="98" spans="2:11">
      <c r="B98" s="495" t="s">
        <v>1035</v>
      </c>
      <c r="C98" s="496" t="s">
        <v>1628</v>
      </c>
      <c r="D98" s="358" t="str">
        <f ca="1">IF(ISERROR(OFFSET('HARGA SATUAN'!$D$6,MATCH(RAB!C98,'HARGA SATUAN'!$C$7:$C$1492,0),0)),"",OFFSET('HARGA SATUAN'!$D$6,MATCH(RAB!C98,'HARGA SATUAN'!$C$7:$C$1492,0),0))</f>
        <v/>
      </c>
      <c r="E98" s="359" t="str">
        <f ca="1">IF(B98="+","Unit",IF(ISERROR(OFFSET('HARGA SATUAN'!$E$6,MATCH(RAB!C98,'HARGA SATUAN'!$C$7:$C$1492,0),0)),"",OFFSET('HARGA SATUAN'!$E$6,MATCH(RAB!C98,'HARGA SATUAN'!$C$7:$C$1492,0),0)))</f>
        <v>Unit</v>
      </c>
      <c r="F98" s="523">
        <v>2</v>
      </c>
      <c r="G98" s="360">
        <f ca="1">IF(ISERROR(OFFSET('HARGA SATUAN'!$I$6,MATCH(RAB!C98,'HARGA SATUAN'!$C$7:$C$1492,0),0)),0,OFFSET('HARGA SATUAN'!$I$6,MATCH(RAB!C98,'HARGA SATUAN'!$C$7:$C$1492,0),0))</f>
        <v>0</v>
      </c>
      <c r="H98" s="361">
        <f t="shared" ca="1" si="52"/>
        <v>0</v>
      </c>
      <c r="I98" s="361">
        <f t="shared" ca="1" si="53"/>
        <v>0</v>
      </c>
      <c r="J98" s="361">
        <f t="shared" ca="1" si="54"/>
        <v>0</v>
      </c>
      <c r="K98" s="362">
        <f t="shared" ca="1" si="55"/>
        <v>0</v>
      </c>
    </row>
    <row r="99" spans="2:11">
      <c r="B99" s="520">
        <v>1</v>
      </c>
      <c r="C99" s="109" t="s">
        <v>482</v>
      </c>
      <c r="D99" s="358" t="str">
        <f ca="1">IF(ISERROR(OFFSET('HARGA SATUAN'!$D$6,MATCH(RAB!C99,'HARGA SATUAN'!$C$7:$C$1492,0),0)),"",OFFSET('HARGA SATUAN'!$D$6,MATCH(RAB!C99,'HARGA SATUAN'!$C$7:$C$1492,0),0))</f>
        <v>MDU-KD</v>
      </c>
      <c r="E99" s="359" t="str">
        <f ca="1">IF(B99="+","Unit",IF(ISERROR(OFFSET('HARGA SATUAN'!$E$6,MATCH(RAB!C99,'HARGA SATUAN'!$C$7:$C$1492,0),0)),"",OFFSET('HARGA SATUAN'!$E$6,MATCH(RAB!C99,'HARGA SATUAN'!$C$7:$C$1492,0),0)))</f>
        <v>Bh</v>
      </c>
      <c r="F99" s="523">
        <f>F98*1</f>
        <v>2</v>
      </c>
      <c r="G99" s="360">
        <f ca="1">IF(ISERROR(OFFSET('HARGA SATUAN'!$I$6,MATCH(RAB!C99,'HARGA SATUAN'!$C$7:$C$1492,0),0)),0,OFFSET('HARGA SATUAN'!$I$6,MATCH(RAB!C99,'HARGA SATUAN'!$C$7:$C$1492,0),0))</f>
        <v>327600</v>
      </c>
      <c r="H99" s="361">
        <f t="shared" ca="1" si="52"/>
        <v>655200</v>
      </c>
      <c r="I99" s="361">
        <f t="shared" ca="1" si="53"/>
        <v>0</v>
      </c>
      <c r="J99" s="361">
        <f t="shared" ca="1" si="54"/>
        <v>0</v>
      </c>
      <c r="K99" s="362">
        <f t="shared" ca="1" si="55"/>
        <v>655200</v>
      </c>
    </row>
    <row r="100" spans="2:11">
      <c r="B100" s="520">
        <v>2</v>
      </c>
      <c r="C100" s="522" t="s">
        <v>493</v>
      </c>
      <c r="D100" s="358" t="str">
        <f ca="1">IF(ISERROR(OFFSET('HARGA SATUAN'!$D$6,MATCH(RAB!C100,'HARGA SATUAN'!$C$7:$C$1492,0),0)),"",OFFSET('HARGA SATUAN'!$D$6,MATCH(RAB!C100,'HARGA SATUAN'!$C$7:$C$1492,0),0))</f>
        <v>MDU-KD</v>
      </c>
      <c r="E100" s="359" t="str">
        <f ca="1">IF(B100="+","Unit",IF(ISERROR(OFFSET('HARGA SATUAN'!$E$6,MATCH(RAB!C100,'HARGA SATUAN'!$C$7:$C$1492,0),0)),"",OFFSET('HARGA SATUAN'!$E$6,MATCH(RAB!C100,'HARGA SATUAN'!$C$7:$C$1492,0),0)))</f>
        <v>Bh</v>
      </c>
      <c r="F100" s="523">
        <f>F98*1</f>
        <v>2</v>
      </c>
      <c r="G100" s="360">
        <f ca="1">IF(ISERROR(OFFSET('HARGA SATUAN'!$I$6,MATCH(RAB!C100,'HARGA SATUAN'!$C$7:$C$1492,0),0)),0,OFFSET('HARGA SATUAN'!$I$6,MATCH(RAB!C100,'HARGA SATUAN'!$C$7:$C$1492,0),0))</f>
        <v>39000</v>
      </c>
      <c r="H100" s="361">
        <f t="shared" ca="1" si="52"/>
        <v>78000</v>
      </c>
      <c r="I100" s="361">
        <f t="shared" ca="1" si="53"/>
        <v>0</v>
      </c>
      <c r="J100" s="361">
        <f t="shared" ca="1" si="54"/>
        <v>0</v>
      </c>
      <c r="K100" s="362">
        <f t="shared" ca="1" si="55"/>
        <v>78000</v>
      </c>
    </row>
    <row r="101" spans="2:11">
      <c r="B101" s="520">
        <v>3</v>
      </c>
      <c r="C101" s="522" t="s">
        <v>74</v>
      </c>
      <c r="D101" s="358" t="str">
        <f ca="1">IF(ISERROR(OFFSET('HARGA SATUAN'!$D$6,MATCH(RAB!C101,'HARGA SATUAN'!$C$7:$C$1492,0),0)),"",OFFSET('HARGA SATUAN'!$D$6,MATCH(RAB!C101,'HARGA SATUAN'!$C$7:$C$1492,0),0))</f>
        <v>MDU-KD</v>
      </c>
      <c r="E101" s="359" t="str">
        <f ca="1">IF(B101="+","Unit",IF(ISERROR(OFFSET('HARGA SATUAN'!$E$6,MATCH(RAB!C101,'HARGA SATUAN'!$C$7:$C$1492,0),0)),"",OFFSET('HARGA SATUAN'!$E$6,MATCH(RAB!C101,'HARGA SATUAN'!$C$7:$C$1492,0),0)))</f>
        <v>Mtr</v>
      </c>
      <c r="F101" s="523">
        <f>F98*35</f>
        <v>70</v>
      </c>
      <c r="G101" s="360">
        <f ca="1">IF(ISERROR(OFFSET('HARGA SATUAN'!$I$6,MATCH(RAB!C101,'HARGA SATUAN'!$C$7:$C$1492,0),0)),0,OFFSET('HARGA SATUAN'!$I$6,MATCH(RAB!C101,'HARGA SATUAN'!$C$7:$C$1492,0),0))</f>
        <v>6600</v>
      </c>
      <c r="H101" s="361">
        <f t="shared" ca="1" si="52"/>
        <v>462000</v>
      </c>
      <c r="I101" s="361">
        <f t="shared" ca="1" si="53"/>
        <v>0</v>
      </c>
      <c r="J101" s="361">
        <f t="shared" ca="1" si="54"/>
        <v>0</v>
      </c>
      <c r="K101" s="362">
        <f t="shared" ca="1" si="55"/>
        <v>462000</v>
      </c>
    </row>
    <row r="102" spans="2:11">
      <c r="B102" s="520">
        <v>4</v>
      </c>
      <c r="C102" s="522" t="s">
        <v>798</v>
      </c>
      <c r="D102" s="358" t="str">
        <f ca="1">IF(ISERROR(OFFSET('HARGA SATUAN'!$D$6,MATCH(RAB!C102,'HARGA SATUAN'!$C$7:$C$1492,0),0)),"",OFFSET('HARGA SATUAN'!$D$6,MATCH(RAB!C102,'HARGA SATUAN'!$C$7:$C$1492,0),0))</f>
        <v>JASA</v>
      </c>
      <c r="E102" s="359" t="str">
        <f ca="1">IF(B102="+","Unit",IF(ISERROR(OFFSET('HARGA SATUAN'!$E$6,MATCH(RAB!C102,'HARGA SATUAN'!$C$7:$C$1492,0),0)),"",OFFSET('HARGA SATUAN'!$E$6,MATCH(RAB!C102,'HARGA SATUAN'!$C$7:$C$1492,0),0)))</f>
        <v>Unit</v>
      </c>
      <c r="F102" s="523">
        <f>F98*1</f>
        <v>2</v>
      </c>
      <c r="G102" s="360">
        <f ca="1">IF(ISERROR(OFFSET('HARGA SATUAN'!$I$6,MATCH(RAB!C102,'HARGA SATUAN'!$C$7:$C$1492,0),0)),0,OFFSET('HARGA SATUAN'!$I$6,MATCH(RAB!C102,'HARGA SATUAN'!$C$7:$C$1492,0),0))</f>
        <v>54400</v>
      </c>
      <c r="H102" s="361">
        <f t="shared" ca="1" si="52"/>
        <v>0</v>
      </c>
      <c r="I102" s="361">
        <f t="shared" ca="1" si="53"/>
        <v>0</v>
      </c>
      <c r="J102" s="361">
        <f t="shared" ca="1" si="54"/>
        <v>108800</v>
      </c>
      <c r="K102" s="362">
        <f t="shared" ca="1" si="55"/>
        <v>108800</v>
      </c>
    </row>
    <row r="103" spans="2:11">
      <c r="B103" s="374"/>
      <c r="C103" s="509"/>
      <c r="D103" s="358" t="str">
        <f ca="1">IF(ISERROR(OFFSET('HARGA SATUAN'!$D$6,MATCH(RAB!C103,'HARGA SATUAN'!$C$7:$C$1492,0),0)),"",OFFSET('HARGA SATUAN'!$D$6,MATCH(RAB!C103,'HARGA SATUAN'!$C$7:$C$1492,0),0))</f>
        <v/>
      </c>
      <c r="E103" s="359" t="str">
        <f ca="1">IF(B103="+","Unit",IF(ISERROR(OFFSET('HARGA SATUAN'!$E$6,MATCH(RAB!C103,'HARGA SATUAN'!$C$7:$C$1492,0),0)),"",OFFSET('HARGA SATUAN'!$E$6,MATCH(RAB!C103,'HARGA SATUAN'!$C$7:$C$1492,0),0)))</f>
        <v/>
      </c>
      <c r="F103" s="368"/>
      <c r="G103" s="360">
        <f ca="1">IF(ISERROR(OFFSET('HARGA SATUAN'!$I$6,MATCH(RAB!C103,'HARGA SATUAN'!$C$7:$C$1492,0),0)),0,OFFSET('HARGA SATUAN'!$I$6,MATCH(RAB!C103,'HARGA SATUAN'!$C$7:$C$1492,0),0))</f>
        <v>0</v>
      </c>
      <c r="H103" s="361">
        <f t="shared" ref="H103:H115" ca="1" si="56">IF(OR(D103="MDU",D103="MDU-KD"),(IF($O$3="RAB NON MDU","PLN KD",G103*F103)),0)</f>
        <v>0</v>
      </c>
      <c r="I103" s="361">
        <f t="shared" ref="I103:I115" ca="1" si="57">IF(D103="HDW",G103*F103,0)</f>
        <v>0</v>
      </c>
      <c r="J103" s="361">
        <f t="shared" ref="J103:J115" ca="1" si="58">IF(D103="JASA",G103*F103,0)</f>
        <v>0</v>
      </c>
      <c r="K103" s="362">
        <f t="shared" ref="K103:K115" ca="1" si="59">SUM(H103:J103)</f>
        <v>0</v>
      </c>
    </row>
    <row r="104" spans="2:11">
      <c r="B104" s="520" t="s">
        <v>1035</v>
      </c>
      <c r="C104" s="522" t="s">
        <v>1627</v>
      </c>
      <c r="D104" s="358" t="str">
        <f ca="1">IF(ISERROR(OFFSET('HARGA SATUAN'!$D$6,MATCH(RAB!C104,'HARGA SATUAN'!$C$7:$C$1492,0),0)),"",OFFSET('HARGA SATUAN'!$D$6,MATCH(RAB!C104,'HARGA SATUAN'!$C$7:$C$1492,0),0))</f>
        <v/>
      </c>
      <c r="E104" s="359" t="str">
        <f ca="1">IF(B104="+","Unit",IF(ISERROR(OFFSET('HARGA SATUAN'!$E$6,MATCH(RAB!C104,'HARGA SATUAN'!$C$7:$C$1492,0),0)),"",OFFSET('HARGA SATUAN'!$E$6,MATCH(RAB!C104,'HARGA SATUAN'!$C$7:$C$1492,0),0)))</f>
        <v>Unit</v>
      </c>
      <c r="F104" s="523">
        <v>1</v>
      </c>
      <c r="G104" s="360">
        <f ca="1">IF(ISERROR(OFFSET('HARGA SATUAN'!$I$6,MATCH(RAB!C104,'HARGA SATUAN'!$C$7:$C$1492,0),0)),0,OFFSET('HARGA SATUAN'!$I$6,MATCH(RAB!C104,'HARGA SATUAN'!$C$7:$C$1492,0),0))</f>
        <v>0</v>
      </c>
      <c r="H104" s="361">
        <f t="shared" ca="1" si="56"/>
        <v>0</v>
      </c>
      <c r="I104" s="361">
        <f t="shared" ca="1" si="57"/>
        <v>0</v>
      </c>
      <c r="J104" s="361">
        <f t="shared" ca="1" si="58"/>
        <v>0</v>
      </c>
      <c r="K104" s="362">
        <f t="shared" ca="1" si="59"/>
        <v>0</v>
      </c>
    </row>
    <row r="105" spans="2:11">
      <c r="B105" s="520">
        <v>1</v>
      </c>
      <c r="C105" s="522" t="s">
        <v>115</v>
      </c>
      <c r="D105" s="358" t="str">
        <f ca="1">IF(ISERROR(OFFSET('HARGA SATUAN'!$D$6,MATCH(RAB!C105,'HARGA SATUAN'!$C$7:$C$1492,0),0)),"",OFFSET('HARGA SATUAN'!$D$6,MATCH(RAB!C105,'HARGA SATUAN'!$C$7:$C$1492,0),0))</f>
        <v>HDW</v>
      </c>
      <c r="E105" s="359" t="str">
        <f ca="1">IF(B105="+","Unit",IF(ISERROR(OFFSET('HARGA SATUAN'!$E$6,MATCH(RAB!C105,'HARGA SATUAN'!$C$7:$C$1492,0),0)),"",OFFSET('HARGA SATUAN'!$E$6,MATCH(RAB!C105,'HARGA SATUAN'!$C$7:$C$1492,0),0)))</f>
        <v>Set</v>
      </c>
      <c r="F105" s="523">
        <f>F104*1</f>
        <v>1</v>
      </c>
      <c r="G105" s="360">
        <f ca="1">IF(ISERROR(OFFSET('HARGA SATUAN'!$I$6,MATCH(RAB!C105,'HARGA SATUAN'!$C$7:$C$1492,0),0)),0,OFFSET('HARGA SATUAN'!$I$6,MATCH(RAB!C105,'HARGA SATUAN'!$C$7:$C$1492,0),0))</f>
        <v>11500</v>
      </c>
      <c r="H105" s="361">
        <f t="shared" ca="1" si="56"/>
        <v>0</v>
      </c>
      <c r="I105" s="361">
        <f t="shared" ca="1" si="57"/>
        <v>11500</v>
      </c>
      <c r="J105" s="361">
        <f t="shared" ca="1" si="58"/>
        <v>0</v>
      </c>
      <c r="K105" s="362">
        <f t="shared" ca="1" si="59"/>
        <v>11500</v>
      </c>
    </row>
    <row r="106" spans="2:11">
      <c r="B106" s="520">
        <v>2</v>
      </c>
      <c r="C106" s="522" t="s">
        <v>145</v>
      </c>
      <c r="D106" s="358" t="str">
        <f ca="1">IF(ISERROR(OFFSET('HARGA SATUAN'!$D$6,MATCH(RAB!C106,'HARGA SATUAN'!$C$7:$C$1492,0),0)),"",OFFSET('HARGA SATUAN'!$D$6,MATCH(RAB!C106,'HARGA SATUAN'!$C$7:$C$1492,0),0))</f>
        <v>HDW</v>
      </c>
      <c r="E106" s="359" t="str">
        <f ca="1">IF(B106="+","Unit",IF(ISERROR(OFFSET('HARGA SATUAN'!$E$6,MATCH(RAB!C106,'HARGA SATUAN'!$C$7:$C$1492,0),0)),"",OFFSET('HARGA SATUAN'!$E$6,MATCH(RAB!C106,'HARGA SATUAN'!$C$7:$C$1492,0),0)))</f>
        <v>Set</v>
      </c>
      <c r="F106" s="523">
        <f>F104*1</f>
        <v>1</v>
      </c>
      <c r="G106" s="360">
        <f ca="1">IF(ISERROR(OFFSET('HARGA SATUAN'!$I$6,MATCH(RAB!C106,'HARGA SATUAN'!$C$7:$C$1492,0),0)),0,OFFSET('HARGA SATUAN'!$I$6,MATCH(RAB!C106,'HARGA SATUAN'!$C$7:$C$1492,0),0))</f>
        <v>6200</v>
      </c>
      <c r="H106" s="361">
        <f t="shared" ca="1" si="56"/>
        <v>0</v>
      </c>
      <c r="I106" s="361">
        <f t="shared" ca="1" si="57"/>
        <v>6200</v>
      </c>
      <c r="J106" s="361">
        <f t="shared" ca="1" si="58"/>
        <v>0</v>
      </c>
      <c r="K106" s="362">
        <f t="shared" ca="1" si="59"/>
        <v>6200</v>
      </c>
    </row>
    <row r="107" spans="2:11">
      <c r="B107" s="520">
        <v>3</v>
      </c>
      <c r="C107" s="522" t="s">
        <v>587</v>
      </c>
      <c r="D107" s="358" t="str">
        <f ca="1">IF(ISERROR(OFFSET('HARGA SATUAN'!$D$6,MATCH(RAB!C107,'HARGA SATUAN'!$C$7:$C$1492,0),0)),"",OFFSET('HARGA SATUAN'!$D$6,MATCH(RAB!C107,'HARGA SATUAN'!$C$7:$C$1492,0),0))</f>
        <v>HDW</v>
      </c>
      <c r="E107" s="359" t="str">
        <f ca="1">IF(B107="+","Unit",IF(ISERROR(OFFSET('HARGA SATUAN'!$E$6,MATCH(RAB!C107,'HARGA SATUAN'!$C$7:$C$1492,0),0)),"",OFFSET('HARGA SATUAN'!$E$6,MATCH(RAB!C107,'HARGA SATUAN'!$C$7:$C$1492,0),0)))</f>
        <v>Btg</v>
      </c>
      <c r="F107" s="523">
        <f>F104*1</f>
        <v>1</v>
      </c>
      <c r="G107" s="360">
        <f ca="1">IF(ISERROR(OFFSET('HARGA SATUAN'!$I$6,MATCH(RAB!C107,'HARGA SATUAN'!$C$7:$C$1492,0),0)),0,OFFSET('HARGA SATUAN'!$I$6,MATCH(RAB!C107,'HARGA SATUAN'!$C$7:$C$1492,0),0))</f>
        <v>45796</v>
      </c>
      <c r="H107" s="361">
        <f t="shared" ca="1" si="56"/>
        <v>0</v>
      </c>
      <c r="I107" s="361">
        <f t="shared" ca="1" si="57"/>
        <v>45796</v>
      </c>
      <c r="J107" s="361">
        <f t="shared" ca="1" si="58"/>
        <v>0</v>
      </c>
      <c r="K107" s="362">
        <f t="shared" ca="1" si="59"/>
        <v>45796</v>
      </c>
    </row>
    <row r="108" spans="2:11">
      <c r="B108" s="520">
        <v>4</v>
      </c>
      <c r="C108" s="522" t="s">
        <v>118</v>
      </c>
      <c r="D108" s="358" t="str">
        <f ca="1">IF(ISERROR(OFFSET('HARGA SATUAN'!$D$6,MATCH(RAB!C108,'HARGA SATUAN'!$C$7:$C$1492,0),0)),"",OFFSET('HARGA SATUAN'!$D$6,MATCH(RAB!C108,'HARGA SATUAN'!$C$7:$C$1492,0),0))</f>
        <v>HDW</v>
      </c>
      <c r="E108" s="359" t="str">
        <f ca="1">IF(B108="+","Unit",IF(ISERROR(OFFSET('HARGA SATUAN'!$E$6,MATCH(RAB!C108,'HARGA SATUAN'!$C$7:$C$1492,0),0)),"",OFFSET('HARGA SATUAN'!$E$6,MATCH(RAB!C108,'HARGA SATUAN'!$C$7:$C$1492,0),0)))</f>
        <v>Set</v>
      </c>
      <c r="F108" s="523">
        <f>F104*1</f>
        <v>1</v>
      </c>
      <c r="G108" s="360">
        <f ca="1">IF(ISERROR(OFFSET('HARGA SATUAN'!$I$6,MATCH(RAB!C108,'HARGA SATUAN'!$C$7:$C$1492,0),0)),0,OFFSET('HARGA SATUAN'!$I$6,MATCH(RAB!C108,'HARGA SATUAN'!$C$7:$C$1492,0),0))</f>
        <v>5300</v>
      </c>
      <c r="H108" s="361">
        <f t="shared" ca="1" si="56"/>
        <v>0</v>
      </c>
      <c r="I108" s="361">
        <f t="shared" ca="1" si="57"/>
        <v>5300</v>
      </c>
      <c r="J108" s="361">
        <f t="shared" ca="1" si="58"/>
        <v>0</v>
      </c>
      <c r="K108" s="362">
        <f t="shared" ca="1" si="59"/>
        <v>5300</v>
      </c>
    </row>
    <row r="109" spans="2:11">
      <c r="B109" s="520">
        <v>5</v>
      </c>
      <c r="C109" s="522" t="s">
        <v>117</v>
      </c>
      <c r="D109" s="358" t="str">
        <f ca="1">IF(ISERROR(OFFSET('HARGA SATUAN'!$D$6,MATCH(RAB!C109,'HARGA SATUAN'!$C$7:$C$1492,0),0)),"",OFFSET('HARGA SATUAN'!$D$6,MATCH(RAB!C109,'HARGA SATUAN'!$C$7:$C$1492,0),0))</f>
        <v>HDW</v>
      </c>
      <c r="E109" s="359" t="str">
        <f ca="1">IF(B109="+","Unit",IF(ISERROR(OFFSET('HARGA SATUAN'!$E$6,MATCH(RAB!C109,'HARGA SATUAN'!$C$7:$C$1492,0),0)),"",OFFSET('HARGA SATUAN'!$E$6,MATCH(RAB!C109,'HARGA SATUAN'!$C$7:$C$1492,0),0)))</f>
        <v>Bh</v>
      </c>
      <c r="F109" s="523">
        <f>F104*1</f>
        <v>1</v>
      </c>
      <c r="G109" s="360">
        <f ca="1">IF(ISERROR(OFFSET('HARGA SATUAN'!$I$6,MATCH(RAB!C109,'HARGA SATUAN'!$C$7:$C$1492,0),0)),0,OFFSET('HARGA SATUAN'!$I$6,MATCH(RAB!C109,'HARGA SATUAN'!$C$7:$C$1492,0),0))</f>
        <v>58600</v>
      </c>
      <c r="H109" s="361">
        <f t="shared" ca="1" si="56"/>
        <v>0</v>
      </c>
      <c r="I109" s="361">
        <f t="shared" ca="1" si="57"/>
        <v>58600</v>
      </c>
      <c r="J109" s="361">
        <f t="shared" ca="1" si="58"/>
        <v>0</v>
      </c>
      <c r="K109" s="362">
        <f t="shared" ca="1" si="59"/>
        <v>58600</v>
      </c>
    </row>
    <row r="110" spans="2:11">
      <c r="B110" s="520">
        <v>6</v>
      </c>
      <c r="C110" s="109" t="s">
        <v>1154</v>
      </c>
      <c r="D110" s="358" t="str">
        <f ca="1">IF(ISERROR(OFFSET('HARGA SATUAN'!$D$6,MATCH(RAB!C110,'HARGA SATUAN'!$C$7:$C$1492,0),0)),"",OFFSET('HARGA SATUAN'!$D$6,MATCH(RAB!C110,'HARGA SATUAN'!$C$7:$C$1492,0),0))</f>
        <v>HDW</v>
      </c>
      <c r="E110" s="359" t="str">
        <f ca="1">IF(B110="+","Unit",IF(ISERROR(OFFSET('HARGA SATUAN'!$E$6,MATCH(RAB!C110,'HARGA SATUAN'!$C$7:$C$1492,0),0)),"",OFFSET('HARGA SATUAN'!$E$6,MATCH(RAB!C110,'HARGA SATUAN'!$C$7:$C$1492,0),0)))</f>
        <v>Set</v>
      </c>
      <c r="F110" s="523">
        <f>F104*1</f>
        <v>1</v>
      </c>
      <c r="G110" s="360">
        <f ca="1">IF(ISERROR(OFFSET('HARGA SATUAN'!$I$6,MATCH(RAB!C110,'HARGA SATUAN'!$C$7:$C$1492,0),0)),0,OFFSET('HARGA SATUAN'!$I$6,MATCH(RAB!C110,'HARGA SATUAN'!$C$7:$C$1492,0),0))</f>
        <v>3888</v>
      </c>
      <c r="H110" s="361">
        <f t="shared" ca="1" si="56"/>
        <v>0</v>
      </c>
      <c r="I110" s="361">
        <f t="shared" ca="1" si="57"/>
        <v>3888</v>
      </c>
      <c r="J110" s="361">
        <f t="shared" ca="1" si="58"/>
        <v>0</v>
      </c>
      <c r="K110" s="362">
        <f t="shared" ca="1" si="59"/>
        <v>3888</v>
      </c>
    </row>
    <row r="111" spans="2:11">
      <c r="B111" s="520">
        <v>7</v>
      </c>
      <c r="C111" s="522" t="s">
        <v>119</v>
      </c>
      <c r="D111" s="358" t="str">
        <f ca="1">IF(ISERROR(OFFSET('HARGA SATUAN'!$D$6,MATCH(RAB!C111,'HARGA SATUAN'!$C$7:$C$1492,0),0)),"",OFFSET('HARGA SATUAN'!$D$6,MATCH(RAB!C111,'HARGA SATUAN'!$C$7:$C$1492,0),0))</f>
        <v>HDW</v>
      </c>
      <c r="E111" s="359" t="str">
        <f ca="1">IF(B111="+","Unit",IF(ISERROR(OFFSET('HARGA SATUAN'!$E$6,MATCH(RAB!C111,'HARGA SATUAN'!$C$7:$C$1492,0),0)),"",OFFSET('HARGA SATUAN'!$E$6,MATCH(RAB!C111,'HARGA SATUAN'!$C$7:$C$1492,0),0)))</f>
        <v>Set</v>
      </c>
      <c r="F111" s="523">
        <f>F104*2</f>
        <v>2</v>
      </c>
      <c r="G111" s="360">
        <f ca="1">IF(ISERROR(OFFSET('HARGA SATUAN'!$I$6,MATCH(RAB!C111,'HARGA SATUAN'!$C$7:$C$1492,0),0)),0,OFFSET('HARGA SATUAN'!$I$6,MATCH(RAB!C111,'HARGA SATUAN'!$C$7:$C$1492,0),0))</f>
        <v>8900</v>
      </c>
      <c r="H111" s="361">
        <f t="shared" ca="1" si="56"/>
        <v>0</v>
      </c>
      <c r="I111" s="361">
        <f t="shared" ca="1" si="57"/>
        <v>17800</v>
      </c>
      <c r="J111" s="361">
        <f t="shared" ca="1" si="58"/>
        <v>0</v>
      </c>
      <c r="K111" s="362">
        <f t="shared" ca="1" si="59"/>
        <v>17800</v>
      </c>
    </row>
    <row r="112" spans="2:11">
      <c r="B112" s="374"/>
      <c r="C112" s="509"/>
      <c r="D112" s="358" t="str">
        <f ca="1">IF(ISERROR(OFFSET('HARGA SATUAN'!$D$6,MATCH(RAB!C112,'HARGA SATUAN'!$C$7:$C$1492,0),0)),"",OFFSET('HARGA SATUAN'!$D$6,MATCH(RAB!C112,'HARGA SATUAN'!$C$7:$C$1492,0),0))</f>
        <v/>
      </c>
      <c r="E112" s="359" t="str">
        <f ca="1">IF(B112="+","Unit",IF(ISERROR(OFFSET('HARGA SATUAN'!$E$6,MATCH(RAB!C112,'HARGA SATUAN'!$C$7:$C$1492,0),0)),"",OFFSET('HARGA SATUAN'!$E$6,MATCH(RAB!C112,'HARGA SATUAN'!$C$7:$C$1492,0),0)))</f>
        <v/>
      </c>
      <c r="F112" s="368"/>
      <c r="G112" s="360">
        <f ca="1">IF(ISERROR(OFFSET('HARGA SATUAN'!$I$6,MATCH(RAB!C112,'HARGA SATUAN'!$C$7:$C$1492,0),0)),0,OFFSET('HARGA SATUAN'!$I$6,MATCH(RAB!C112,'HARGA SATUAN'!$C$7:$C$1492,0),0))</f>
        <v>0</v>
      </c>
      <c r="H112" s="361">
        <f t="shared" ca="1" si="56"/>
        <v>0</v>
      </c>
      <c r="I112" s="361">
        <f t="shared" ca="1" si="57"/>
        <v>0</v>
      </c>
      <c r="J112" s="361">
        <f t="shared" ca="1" si="58"/>
        <v>0</v>
      </c>
      <c r="K112" s="362">
        <f t="shared" ca="1" si="59"/>
        <v>0</v>
      </c>
    </row>
    <row r="113" spans="2:13">
      <c r="B113" s="366" t="s">
        <v>22</v>
      </c>
      <c r="C113" s="367" t="s">
        <v>1611</v>
      </c>
      <c r="D113" s="358" t="str">
        <f ca="1">IF(ISERROR(OFFSET('HARGA SATUAN'!$D$6,MATCH(RAB!C113,'HARGA SATUAN'!$C$7:$C$1492,0),0)),"",OFFSET('HARGA SATUAN'!$D$6,MATCH(RAB!C113,'HARGA SATUAN'!$C$7:$C$1492,0),0))</f>
        <v/>
      </c>
      <c r="E113" s="359" t="str">
        <f ca="1">IF(B113="+","Unit",IF(ISERROR(OFFSET('HARGA SATUAN'!$E$6,MATCH(RAB!C113,'HARGA SATUAN'!$C$7:$C$1492,0),0)),"",OFFSET('HARGA SATUAN'!$E$6,MATCH(RAB!C113,'HARGA SATUAN'!$C$7:$C$1492,0),0)))</f>
        <v/>
      </c>
      <c r="F113" s="368"/>
      <c r="G113" s="360">
        <f ca="1">IF(ISERROR(OFFSET('HARGA SATUAN'!$I$6,MATCH(RAB!C113,'HARGA SATUAN'!$C$7:$C$1492,0),0)),0,OFFSET('HARGA SATUAN'!$I$6,MATCH(RAB!C113,'HARGA SATUAN'!$C$7:$C$1492,0),0))</f>
        <v>0</v>
      </c>
      <c r="H113" s="361">
        <f t="shared" ca="1" si="56"/>
        <v>0</v>
      </c>
      <c r="I113" s="361">
        <f t="shared" ca="1" si="57"/>
        <v>0</v>
      </c>
      <c r="J113" s="361">
        <f t="shared" ca="1" si="58"/>
        <v>0</v>
      </c>
      <c r="K113" s="362">
        <f t="shared" ca="1" si="59"/>
        <v>0</v>
      </c>
    </row>
    <row r="114" spans="2:13">
      <c r="B114" s="374"/>
      <c r="C114" s="373"/>
      <c r="D114" s="358" t="str">
        <f ca="1">IF(ISERROR(OFFSET('HARGA SATUAN'!$D$6,MATCH(RAB!C114,'HARGA SATUAN'!$C$7:$C$1492,0),0)),"",OFFSET('HARGA SATUAN'!$D$6,MATCH(RAB!C114,'HARGA SATUAN'!$C$7:$C$1492,0),0))</f>
        <v/>
      </c>
      <c r="E114" s="359" t="str">
        <f ca="1">IF(B114="+","Unit",IF(ISERROR(OFFSET('HARGA SATUAN'!$E$6,MATCH(RAB!C114,'HARGA SATUAN'!$C$7:$C$1492,0),0)),"",OFFSET('HARGA SATUAN'!$E$6,MATCH(RAB!C114,'HARGA SATUAN'!$C$7:$C$1492,0),0)))</f>
        <v/>
      </c>
      <c r="F114" s="368"/>
      <c r="G114" s="360">
        <f ca="1">IF(ISERROR(OFFSET('HARGA SATUAN'!$I$6,MATCH(RAB!C114,'HARGA SATUAN'!$C$7:$C$1492,0),0)),0,OFFSET('HARGA SATUAN'!$I$6,MATCH(RAB!C114,'HARGA SATUAN'!$C$7:$C$1492,0),0))</f>
        <v>0</v>
      </c>
      <c r="H114" s="361">
        <f t="shared" ca="1" si="56"/>
        <v>0</v>
      </c>
      <c r="I114" s="361">
        <f t="shared" ca="1" si="57"/>
        <v>0</v>
      </c>
      <c r="J114" s="361">
        <f t="shared" ca="1" si="58"/>
        <v>0</v>
      </c>
      <c r="K114" s="362">
        <f t="shared" ca="1" si="59"/>
        <v>0</v>
      </c>
    </row>
    <row r="115" spans="2:13">
      <c r="B115" s="375"/>
      <c r="C115" s="376" t="s">
        <v>475</v>
      </c>
      <c r="D115" s="358" t="str">
        <f ca="1">IF(ISERROR(OFFSET('HARGA SATUAN'!$D$6,MATCH(RAB!C115,'HARGA SATUAN'!$C$7:$C$1492,0),0)),"",OFFSET('HARGA SATUAN'!$D$6,MATCH(RAB!C115,'HARGA SATUAN'!$C$7:$C$1492,0),0))</f>
        <v/>
      </c>
      <c r="E115" s="359" t="str">
        <f ca="1">IF(B115="+","Unit",IF(ISERROR(OFFSET('HARGA SATUAN'!$E$6,MATCH(RAB!C115,'HARGA SATUAN'!$C$7:$C$1492,0),0)),"",OFFSET('HARGA SATUAN'!$E$6,MATCH(RAB!C115,'HARGA SATUAN'!$C$7:$C$1492,0),0)))</f>
        <v/>
      </c>
      <c r="F115" s="368"/>
      <c r="G115" s="360">
        <f ca="1">IF(ISERROR(OFFSET('HARGA SATUAN'!$I$6,MATCH(RAB!C115,'HARGA SATUAN'!$C$7:$C$1492,0),0)),0,OFFSET('HARGA SATUAN'!$I$6,MATCH(RAB!C115,'HARGA SATUAN'!$C$7:$C$1492,0),0))</f>
        <v>0</v>
      </c>
      <c r="H115" s="361">
        <f t="shared" ca="1" si="56"/>
        <v>0</v>
      </c>
      <c r="I115" s="361">
        <f t="shared" ca="1" si="57"/>
        <v>0</v>
      </c>
      <c r="J115" s="361">
        <f t="shared" ca="1" si="58"/>
        <v>0</v>
      </c>
      <c r="K115" s="362">
        <f t="shared" ca="1" si="59"/>
        <v>0</v>
      </c>
    </row>
    <row r="116" spans="2:13">
      <c r="B116" s="378">
        <v>1</v>
      </c>
      <c r="C116" s="379" t="s">
        <v>1091</v>
      </c>
      <c r="D116" s="380" t="str">
        <f ca="1">IF(ISERROR(OFFSET('HARGA SATUAN'!$D$6,MATCH(RAB!C116,'HARGA SATUAN'!$C$7:$C$1492,0),0)),"",OFFSET('HARGA SATUAN'!$D$6,MATCH(RAB!C116,'HARGA SATUAN'!$C$7:$C$1492,0),0))</f>
        <v>JASA</v>
      </c>
      <c r="E116" s="381" t="str">
        <f ca="1">IF(ISERROR(OFFSET('HARGA SATUAN'!$E$6,MATCH(RAB!C116,'HARGA SATUAN'!$C$7:$C$1492,0),0)),"",OFFSET('HARGA SATUAN'!$E$6,MATCH(RAB!C116,'HARGA SATUAN'!$C$7:$C$1492,0),0))</f>
        <v>Lot</v>
      </c>
      <c r="F116" s="382">
        <v>1</v>
      </c>
      <c r="G116" s="383">
        <f ca="1">IF(ISERROR(OFFSET('HARGA SATUAN'!$I$6,MATCH(RAB!C116,'HARGA SATUAN'!$C$7:$C$1492,0),0)),0,OFFSET('HARGA SATUAN'!$I$6,MATCH(RAB!C116,'HARGA SATUAN'!$C$7:$C$1492,0),0))</f>
        <v>2.5000000000000001E-2</v>
      </c>
      <c r="H116" s="384"/>
      <c r="I116" s="384"/>
      <c r="J116" s="384">
        <f ca="1">SUM(K15:K21)*G116</f>
        <v>89816.666666666672</v>
      </c>
      <c r="K116" s="385">
        <f ca="1">SUM(H116:J116)</f>
        <v>89816.666666666672</v>
      </c>
    </row>
    <row r="117" spans="2:13">
      <c r="B117" s="386"/>
      <c r="C117" s="387"/>
      <c r="D117" s="358" t="str">
        <f ca="1">IF(ISERROR(OFFSET('HARGA SATUAN'!$D$6,MATCH(RAB!C117,'HARGA SATUAN'!$C$7:$C$1492,0),0)),"",OFFSET('HARGA SATUAN'!$D$6,MATCH(RAB!C117,'HARGA SATUAN'!$C$7:$C$1492,0),0))</f>
        <v/>
      </c>
      <c r="E117" s="359" t="str">
        <f ca="1">IF(ISERROR(OFFSET('HARGA SATUAN'!$E$6,MATCH(RAB!C117,'HARGA SATUAN'!$C$7:$C$1492,0),0)),"",OFFSET('HARGA SATUAN'!$E$6,MATCH(RAB!C117,'HARGA SATUAN'!$C$7:$C$1492,0),0))</f>
        <v/>
      </c>
      <c r="F117" s="377"/>
      <c r="G117" s="360" t="str">
        <f ca="1">IF(ISERROR(OFFSET('HARGA SATUAN'!$I$6,MATCH(RAB!C117,'HARGA SATUAN'!$C$7:$C$1492,0),0)),"",OFFSET('HARGA SATUAN'!$I$6,MATCH(RAB!C117,'HARGA SATUAN'!$C$7:$C$1492,0),0))</f>
        <v/>
      </c>
      <c r="H117" s="361">
        <f ca="1">IF(OR(D117="MDU",D117="MDU-KD"),IF(G117="PLN",0,G117*F117),0)</f>
        <v>0</v>
      </c>
      <c r="I117" s="361">
        <f ca="1">IF(D117="HDW",IF(G117="PLN",0,G117*F117),0)</f>
        <v>0</v>
      </c>
      <c r="J117" s="361">
        <f ca="1">IF(D117="JASA",IF(G117="PLN",0,G117*F117),0)</f>
        <v>0</v>
      </c>
      <c r="K117" s="362">
        <f ca="1">SUM(H117:J117)</f>
        <v>0</v>
      </c>
    </row>
    <row r="118" spans="2:13" ht="15.75" thickBot="1">
      <c r="B118" s="388"/>
      <c r="C118" s="389"/>
      <c r="D118" s="390"/>
      <c r="E118" s="391"/>
      <c r="F118" s="391"/>
      <c r="G118" s="391"/>
      <c r="H118" s="392"/>
      <c r="I118" s="392"/>
      <c r="J118" s="392"/>
      <c r="K118" s="393"/>
    </row>
    <row r="119" spans="2:13">
      <c r="B119" s="394"/>
      <c r="C119" s="624" t="s">
        <v>1008</v>
      </c>
      <c r="D119" s="624"/>
      <c r="E119" s="624"/>
      <c r="F119" s="624"/>
      <c r="G119" s="395" t="s">
        <v>9</v>
      </c>
      <c r="H119" s="396">
        <f ca="1">SUM(H14:H117)</f>
        <v>31782750</v>
      </c>
      <c r="I119" s="396">
        <f ca="1">SUM(I14:I117)</f>
        <v>7576475.2400000002</v>
      </c>
      <c r="J119" s="396">
        <f ca="1">SUM(J14:J117)</f>
        <v>1011183.3333333333</v>
      </c>
      <c r="K119" s="396">
        <f ca="1">SUM(K14:K117)</f>
        <v>40370408.57333333</v>
      </c>
    </row>
    <row r="120" spans="2:13">
      <c r="B120" s="398"/>
      <c r="C120" s="640" t="s">
        <v>1457</v>
      </c>
      <c r="D120" s="640"/>
      <c r="E120" s="640"/>
      <c r="F120" s="640"/>
      <c r="G120" s="399" t="s">
        <v>9</v>
      </c>
      <c r="H120" s="400">
        <f ca="1">H119*0.11</f>
        <v>3496102.5</v>
      </c>
      <c r="I120" s="400">
        <f ca="1">I119*0.11</f>
        <v>833412.27639999997</v>
      </c>
      <c r="J120" s="400">
        <f ca="1">J119*0.11</f>
        <v>111230.16666666666</v>
      </c>
      <c r="K120" s="400">
        <f ca="1">K119*0.11</f>
        <v>4440744.9430666668</v>
      </c>
    </row>
    <row r="121" spans="2:13" ht="15.75" thickBot="1">
      <c r="B121" s="398"/>
      <c r="C121" s="638" t="s">
        <v>463</v>
      </c>
      <c r="D121" s="638"/>
      <c r="E121" s="638"/>
      <c r="F121" s="638"/>
      <c r="G121" s="401" t="s">
        <v>9</v>
      </c>
      <c r="H121" s="402">
        <f ca="1">SUM(H119:H120)</f>
        <v>35278852.5</v>
      </c>
      <c r="I121" s="402">
        <f ca="1">SUM(I119:I120)</f>
        <v>8409887.5164000001</v>
      </c>
      <c r="J121" s="401">
        <f ca="1">SUM(J119:J120)</f>
        <v>1122413.5</v>
      </c>
      <c r="K121" s="401">
        <f ca="1">SUM(K119:K120)</f>
        <v>44811153.516399994</v>
      </c>
      <c r="M121" s="484"/>
    </row>
    <row r="122" spans="2:13">
      <c r="B122" s="641" t="str">
        <f ca="1">"Terbilang : "&amp;PROPER(IF(K121=0,"nol",IF(K121&lt;0,"minus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IF(--MID(TEXT(ABS(K121),"000000000000000"),1,3)=0,"",MID(TEXT(ABS(K121),"000000000000000"),1,1)&amp;" ratus "&amp;MID(TEXT(ABS(K121),"000000000000000"),2,1)&amp;" puluh "&amp;MID(TEXT(ABS(K121),"000000000000000"),3,1)&amp;" trilyun ")&amp; IF(--MID(TEXT(ABS(K121),"000000000000000"),4,3)=0,"",MID(TEXT(ABS(K121),"000000000000000"),4,1)&amp;" ratus "&amp;MID(TEXT(ABS(K121),"000000000000000"),5,1)&amp;" puluh "&amp;MID(TEXT(ABS(K121),"000000000000000"),6,1)&amp;" milyar ")&amp; IF(--MID(TEXT(ABS(K121),"000000000000000"),7,3)=0,"",MID(TEXT(ABS(K121),"000000000000000"),7,1)&amp;" ratus "&amp;MID(TEXT(ABS(K121),"000000000000000"),8,1)&amp;" puluh "&amp;MID(TEXT(ABS(K121),"000000000000000"),9,1)&amp;" juta ")&amp; IF(--MID(TEXT(ABS(K121),"000000000000000"),10,3)=0,"",IF(--MID(TEXT(ABS(K121),"000000000000000"),10,3)=1,"*",MID(TEXT(ABS(K121),"000000000000000"),10,1)&amp;" ratus "&amp;MID(TEXT(ABS(K121),"000000000000000"),11,1)&amp;" puluh ")&amp;MID(TEXT(ABS(K121),"000000000000000"),12,1)&amp;" ribu ")&amp; IF(--MID(TEXT(ABS(K121),"000000000000000"),13,3)=0,"",MID(TEXT(ABS(K121),"000000000000000"),13,1)&amp;" ratus "&amp;MID(TEXT(ABS(K121),"000000000000000"),14,1)&amp;" puluh "&amp;MID(TEXT(ABS(K121),"000000000000000"),15,1)),1,"satu"),2,"dua"),3,"tiga"),4,"empat"),5,"lima"),6,"enam"),7,"tujuh"),8,"delapan"),9,"sembilan"),"0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Puluh Empat Juta Delapan Ratus Sebelas Ribu Seratus Lima Puluh Empat Rupiah</v>
      </c>
      <c r="C122" s="642"/>
      <c r="D122" s="642"/>
      <c r="E122" s="642"/>
      <c r="F122" s="642"/>
      <c r="G122" s="642"/>
      <c r="H122" s="642"/>
      <c r="I122" s="642"/>
      <c r="J122" s="642"/>
      <c r="K122" s="643"/>
    </row>
    <row r="123" spans="2:13">
      <c r="B123" s="644"/>
      <c r="C123" s="645"/>
      <c r="D123" s="645"/>
      <c r="E123" s="645"/>
      <c r="F123" s="645"/>
      <c r="G123" s="645"/>
      <c r="H123" s="645"/>
      <c r="I123" s="645"/>
      <c r="J123" s="645"/>
      <c r="K123" s="646"/>
    </row>
    <row r="124" spans="2:13" ht="15.75" thickBot="1">
      <c r="B124" s="403" t="str">
        <f>"Harga yang dipakai adalah "&amp;'HARGA SATUAN'!I5&amp;""</f>
        <v>Harga yang dipakai adalah RAB HSS 2023</v>
      </c>
      <c r="C124" s="404"/>
      <c r="D124" s="405"/>
      <c r="E124" s="405"/>
      <c r="F124" s="405"/>
      <c r="G124" s="406"/>
      <c r="H124" s="406"/>
      <c r="I124" s="406"/>
      <c r="J124" s="406"/>
      <c r="K124" s="407"/>
    </row>
    <row r="125" spans="2:13">
      <c r="C125" s="408"/>
      <c r="E125" s="410"/>
      <c r="F125" s="410"/>
      <c r="G125" s="410"/>
    </row>
    <row r="126" spans="2:13">
      <c r="C126" s="337"/>
      <c r="E126" s="410"/>
      <c r="F126" s="410"/>
      <c r="G126" s="410"/>
      <c r="H126" s="647"/>
      <c r="I126" s="647"/>
      <c r="J126" s="648"/>
      <c r="K126" s="648"/>
    </row>
    <row r="127" spans="2:13">
      <c r="C127" s="337"/>
      <c r="E127" s="410"/>
      <c r="F127" s="410"/>
      <c r="G127" s="410"/>
      <c r="H127" s="411"/>
      <c r="I127" s="637" t="s">
        <v>1638</v>
      </c>
      <c r="J127" s="637"/>
      <c r="K127" s="637"/>
    </row>
    <row r="128" spans="2:13">
      <c r="C128" s="337"/>
      <c r="E128" s="410"/>
      <c r="F128" s="410"/>
      <c r="G128" s="410"/>
      <c r="H128" s="411"/>
      <c r="I128" s="637" t="s">
        <v>1639</v>
      </c>
      <c r="J128" s="637"/>
      <c r="K128" s="637"/>
    </row>
    <row r="129" spans="3:11">
      <c r="C129" s="337"/>
      <c r="E129" s="410"/>
      <c r="F129" s="410"/>
      <c r="G129" s="410"/>
      <c r="H129" s="412"/>
      <c r="I129" s="413"/>
      <c r="J129" s="413"/>
      <c r="K129" s="413"/>
    </row>
    <row r="130" spans="3:11">
      <c r="C130" s="337"/>
      <c r="E130" s="410"/>
      <c r="F130" s="410"/>
      <c r="G130" s="410"/>
      <c r="H130" s="412"/>
      <c r="I130" s="412"/>
      <c r="J130" s="412"/>
      <c r="K130" s="412"/>
    </row>
    <row r="131" spans="3:11">
      <c r="C131" s="337"/>
      <c r="E131" s="410"/>
      <c r="F131" s="410"/>
      <c r="G131" s="410"/>
      <c r="H131" s="412"/>
      <c r="I131" s="412"/>
      <c r="J131" s="412"/>
      <c r="K131" s="412"/>
    </row>
    <row r="132" spans="3:11">
      <c r="C132" s="337"/>
      <c r="E132" s="410"/>
      <c r="F132" s="410"/>
      <c r="G132" s="410"/>
      <c r="H132" s="412"/>
      <c r="I132" s="412"/>
      <c r="J132" s="412"/>
      <c r="K132" s="412"/>
    </row>
    <row r="133" spans="3:11">
      <c r="C133" s="337"/>
      <c r="E133" s="410"/>
      <c r="F133" s="410"/>
      <c r="G133" s="410"/>
      <c r="H133" s="414"/>
      <c r="I133" s="637" t="s">
        <v>1640</v>
      </c>
      <c r="J133" s="637"/>
      <c r="K133" s="637"/>
    </row>
    <row r="134" spans="3:11">
      <c r="C134" s="408"/>
      <c r="E134" s="410"/>
      <c r="F134" s="410"/>
      <c r="G134" s="410"/>
      <c r="H134" s="412"/>
      <c r="I134" s="412"/>
      <c r="J134" s="412"/>
      <c r="K134" s="412"/>
    </row>
    <row r="135" spans="3:11">
      <c r="C135" s="408"/>
      <c r="E135" s="410"/>
      <c r="F135" s="410"/>
      <c r="G135" s="410"/>
      <c r="H135" s="412"/>
      <c r="I135" s="412"/>
      <c r="J135" s="412"/>
      <c r="K135" s="412"/>
    </row>
    <row r="136" spans="3:11">
      <c r="C136" s="408"/>
      <c r="E136" s="410"/>
      <c r="F136" s="410"/>
      <c r="G136" s="410"/>
      <c r="H136" s="412"/>
      <c r="I136" s="412"/>
      <c r="J136" s="412"/>
      <c r="K136" s="412"/>
    </row>
  </sheetData>
  <sheetProtection sort="0" autoFilter="0"/>
  <protectedRanges>
    <protectedRange sqref="B114 B97:B112" name="Range1_1"/>
    <protectedRange sqref="F40:F55 F96:F115 F14:F38 F61:F63 F70" name="Range1_1_2_2"/>
    <protectedRange sqref="C114 C97:C100 C102:C112" name="Range1_1_1"/>
    <protectedRange sqref="B84 B73:C74 B79 B95:C96 B75 B72 B63:C63 B76:C78 B80:C83 B70:C71" name="Range1_6_2"/>
    <protectedRange sqref="C84" name="Range1_1_3_2"/>
    <protectedRange sqref="C79" name="Range1_1_3_3"/>
    <protectedRange sqref="C75" name="Range1_1_3_10"/>
    <protectedRange sqref="C101" name="Range1_1_3_13"/>
    <protectedRange sqref="C17" name="Range1_1_3_14"/>
    <protectedRange sqref="C18:C20" name="Range1_1_3"/>
    <protectedRange sqref="C72" name="Range1_1_3_1"/>
    <protectedRange sqref="G39" name="Range1_3_7"/>
    <protectedRange sqref="C39" name="Range1_1_3_5"/>
    <protectedRange sqref="C38" name="Range1_1_3_6"/>
  </protectedRanges>
  <mergeCells count="22">
    <mergeCell ref="I128:K128"/>
    <mergeCell ref="I133:K133"/>
    <mergeCell ref="C121:F121"/>
    <mergeCell ref="G6:K6"/>
    <mergeCell ref="I127:K127"/>
    <mergeCell ref="C120:F120"/>
    <mergeCell ref="B122:K123"/>
    <mergeCell ref="H126:K126"/>
    <mergeCell ref="H11:K11"/>
    <mergeCell ref="H12:H13"/>
    <mergeCell ref="J12:J13"/>
    <mergeCell ref="K12:K13"/>
    <mergeCell ref="O3:P4"/>
    <mergeCell ref="B4:K4"/>
    <mergeCell ref="C119:F119"/>
    <mergeCell ref="B11:B13"/>
    <mergeCell ref="C11:C13"/>
    <mergeCell ref="D11:D13"/>
    <mergeCell ref="E11:E13"/>
    <mergeCell ref="F11:F13"/>
    <mergeCell ref="G11:G13"/>
    <mergeCell ref="I12:I13"/>
  </mergeCells>
  <phoneticPr fontId="139" type="noConversion"/>
  <conditionalFormatting sqref="C15 C17:C21 C84">
    <cfRule type="cellIs" dxfId="14" priority="494" operator="equal">
      <formula>0</formula>
    </cfRule>
  </conditionalFormatting>
  <conditionalFormatting sqref="C38:C39">
    <cfRule type="cellIs" dxfId="13" priority="12" operator="equal">
      <formula>0</formula>
    </cfRule>
  </conditionalFormatting>
  <conditionalFormatting sqref="C62">
    <cfRule type="cellIs" dxfId="12" priority="119" operator="equal">
      <formula>0</formula>
    </cfRule>
  </conditionalFormatting>
  <conditionalFormatting sqref="C66">
    <cfRule type="cellIs" dxfId="11" priority="3" operator="equal">
      <formula>0</formula>
    </cfRule>
  </conditionalFormatting>
  <conditionalFormatting sqref="C68">
    <cfRule type="cellIs" dxfId="10" priority="4" operator="equal">
      <formula>0</formula>
    </cfRule>
  </conditionalFormatting>
  <conditionalFormatting sqref="C99">
    <cfRule type="cellIs" dxfId="9" priority="8" operator="equal">
      <formula>0</formula>
    </cfRule>
  </conditionalFormatting>
  <conditionalFormatting sqref="C110">
    <cfRule type="cellIs" dxfId="8" priority="10" operator="equal">
      <formula>0</formula>
    </cfRule>
  </conditionalFormatting>
  <conditionalFormatting sqref="C113">
    <cfRule type="cellIs" dxfId="7" priority="117" operator="equal">
      <formula>0</formula>
    </cfRule>
  </conditionalFormatting>
  <conditionalFormatting sqref="D39:G39">
    <cfRule type="cellIs" dxfId="6" priority="20" operator="equal">
      <formula>0</formula>
    </cfRule>
  </conditionalFormatting>
  <conditionalFormatting sqref="E1:E3 G1:G13 E5:E13 H12:I12 O13 S14:V21 H39:K39 E71:E83 G71:K83 E116:G116 H116:K118 E117:H117 E118:F118">
    <cfRule type="cellIs" dxfId="5" priority="1074" stopIfTrue="1" operator="equal">
      <formula>0</formula>
    </cfRule>
  </conditionalFormatting>
  <conditionalFormatting sqref="E14:K38">
    <cfRule type="cellIs" dxfId="4" priority="5" stopIfTrue="1" operator="equal">
      <formula>0</formula>
    </cfRule>
  </conditionalFormatting>
  <conditionalFormatting sqref="E40:K70">
    <cfRule type="cellIs" dxfId="3" priority="1" stopIfTrue="1" operator="equal">
      <formula>0</formula>
    </cfRule>
  </conditionalFormatting>
  <conditionalFormatting sqref="E84:K115">
    <cfRule type="cellIs" dxfId="2" priority="7" stopIfTrue="1" operator="equal">
      <formula>0</formula>
    </cfRule>
  </conditionalFormatting>
  <conditionalFormatting sqref="F72:F83">
    <cfRule type="cellIs" dxfId="1" priority="11" stopIfTrue="1" operator="equal">
      <formula>0</formula>
    </cfRule>
  </conditionalFormatting>
  <conditionalFormatting sqref="G117:G65583 E122:E65583">
    <cfRule type="cellIs" dxfId="0" priority="208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F40:F52 C73:C75 C80:C83 F72:F95 F22:F38 F54:F70 H14:K118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39" xr:uid="{32A4B08E-AF47-4156-A47F-8DFEC9F7CBB7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4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tabSelected="1" view="pageBreakPreview" topLeftCell="A38" zoomScale="115" zoomScaleNormal="115" zoomScaleSheetLayoutView="115" workbookViewId="0">
      <selection activeCell="S48" sqref="S48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51" t="s">
        <v>1439</v>
      </c>
      <c r="X2" s="652"/>
      <c r="Y2" s="652"/>
      <c r="Z2" s="652"/>
      <c r="AA2" s="652"/>
      <c r="AB2" s="652"/>
      <c r="AC2" s="652"/>
      <c r="AD2" s="653"/>
    </row>
    <row r="3" spans="3:30">
      <c r="C3" s="238"/>
      <c r="W3" s="654"/>
      <c r="X3" s="655"/>
      <c r="Y3" s="655"/>
      <c r="Z3" s="655"/>
      <c r="AA3" s="655"/>
      <c r="AB3" s="655"/>
      <c r="AC3" s="655"/>
      <c r="AD3" s="656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7" t="s">
        <v>990</v>
      </c>
      <c r="Y5" s="657"/>
      <c r="Z5" s="657"/>
      <c r="AA5" s="657" t="s">
        <v>988</v>
      </c>
      <c r="AB5" s="657"/>
      <c r="AC5" s="657" t="s">
        <v>989</v>
      </c>
      <c r="AD5" s="658"/>
    </row>
    <row r="6" spans="3:30">
      <c r="C6" s="238"/>
      <c r="W6" s="241">
        <v>1</v>
      </c>
      <c r="X6" s="657" t="s">
        <v>993</v>
      </c>
      <c r="Y6" s="657"/>
      <c r="Z6" s="657"/>
      <c r="AA6" s="657"/>
      <c r="AB6" s="657"/>
      <c r="AC6" s="657"/>
      <c r="AD6" s="658"/>
    </row>
    <row r="7" spans="3:30">
      <c r="C7" s="238"/>
      <c r="E7" s="490" t="str">
        <f>PETA!C6</f>
        <v>KOORDINAT : -6.912936, 110.607083</v>
      </c>
      <c r="W7" s="241">
        <v>2</v>
      </c>
      <c r="X7" s="657" t="s">
        <v>994</v>
      </c>
      <c r="Y7" s="657"/>
      <c r="Z7" s="657"/>
      <c r="AA7" s="657"/>
      <c r="AB7" s="657"/>
      <c r="AC7" s="657"/>
      <c r="AD7" s="658"/>
    </row>
    <row r="8" spans="3:30">
      <c r="C8" s="238"/>
      <c r="W8" s="241">
        <v>3</v>
      </c>
      <c r="X8" s="657" t="s">
        <v>995</v>
      </c>
      <c r="Y8" s="657"/>
      <c r="Z8" s="657"/>
      <c r="AA8" s="657"/>
      <c r="AB8" s="657"/>
      <c r="AC8" s="657"/>
      <c r="AD8" s="658"/>
    </row>
    <row r="9" spans="3:30">
      <c r="C9" s="238"/>
      <c r="W9" s="241">
        <v>4</v>
      </c>
      <c r="X9" s="657" t="s">
        <v>996</v>
      </c>
      <c r="Y9" s="657"/>
      <c r="Z9" s="657"/>
      <c r="AA9" s="657"/>
      <c r="AB9" s="657"/>
      <c r="AC9" s="657"/>
      <c r="AD9" s="658"/>
    </row>
    <row r="10" spans="3:30">
      <c r="C10" s="238"/>
      <c r="W10" s="241">
        <v>5</v>
      </c>
      <c r="X10" s="657" t="s">
        <v>997</v>
      </c>
      <c r="Y10" s="657"/>
      <c r="Z10" s="657"/>
      <c r="AA10" s="657"/>
      <c r="AB10" s="657"/>
      <c r="AC10" s="657"/>
      <c r="AD10" s="658"/>
    </row>
    <row r="11" spans="3:30">
      <c r="C11" s="238"/>
      <c r="W11" s="241">
        <v>6</v>
      </c>
      <c r="X11" s="657" t="s">
        <v>998</v>
      </c>
      <c r="Y11" s="657"/>
      <c r="Z11" s="657"/>
      <c r="AA11" s="657"/>
      <c r="AB11" s="657"/>
      <c r="AC11" s="657"/>
      <c r="AD11" s="658"/>
    </row>
    <row r="12" spans="3:30">
      <c r="C12" s="238"/>
      <c r="W12" s="241">
        <v>7</v>
      </c>
      <c r="X12" s="657" t="s">
        <v>999</v>
      </c>
      <c r="Y12" s="657"/>
      <c r="Z12" s="657"/>
      <c r="AA12" s="657"/>
      <c r="AB12" s="657"/>
      <c r="AC12" s="657"/>
      <c r="AD12" s="658"/>
    </row>
    <row r="13" spans="3:30" ht="12.75" customHeight="1">
      <c r="C13" s="238"/>
      <c r="W13" s="241">
        <v>8</v>
      </c>
      <c r="X13" s="657" t="s">
        <v>1000</v>
      </c>
      <c r="Y13" s="657"/>
      <c r="Z13" s="657"/>
      <c r="AA13" s="657"/>
      <c r="AB13" s="657"/>
      <c r="AC13" s="657"/>
      <c r="AD13" s="658"/>
    </row>
    <row r="14" spans="3:30">
      <c r="C14" s="238"/>
      <c r="W14" s="241">
        <v>9</v>
      </c>
      <c r="X14" s="657" t="s">
        <v>1001</v>
      </c>
      <c r="Y14" s="657"/>
      <c r="Z14" s="657"/>
      <c r="AA14" s="657"/>
      <c r="AB14" s="657"/>
      <c r="AC14" s="657"/>
      <c r="AD14" s="658"/>
    </row>
    <row r="15" spans="3:30">
      <c r="C15" s="238"/>
      <c r="W15" s="241">
        <v>10</v>
      </c>
      <c r="X15" s="657" t="s">
        <v>1010</v>
      </c>
      <c r="Y15" s="657"/>
      <c r="Z15" s="657"/>
      <c r="AA15" s="657"/>
      <c r="AB15" s="657"/>
      <c r="AC15" s="657"/>
      <c r="AD15" s="658"/>
    </row>
    <row r="16" spans="3:30">
      <c r="C16" s="238"/>
      <c r="W16" s="241">
        <v>11</v>
      </c>
      <c r="X16" s="657" t="s">
        <v>1455</v>
      </c>
      <c r="Y16" s="657"/>
      <c r="Z16" s="657"/>
      <c r="AA16" s="657"/>
      <c r="AB16" s="657"/>
      <c r="AC16" s="657"/>
      <c r="AD16" s="658"/>
    </row>
    <row r="17" spans="3:30">
      <c r="C17" s="238"/>
      <c r="S17" s="242"/>
      <c r="W17" s="241">
        <v>12</v>
      </c>
      <c r="X17" s="657" t="s">
        <v>1011</v>
      </c>
      <c r="Y17" s="657"/>
      <c r="Z17" s="657"/>
      <c r="AA17" s="657"/>
      <c r="AB17" s="657"/>
      <c r="AC17" s="657"/>
      <c r="AD17" s="658"/>
    </row>
    <row r="18" spans="3:30">
      <c r="C18" s="243"/>
      <c r="D18" s="244"/>
      <c r="E18" s="244"/>
      <c r="W18" s="241">
        <v>13</v>
      </c>
      <c r="X18" s="657"/>
      <c r="Y18" s="657"/>
      <c r="Z18" s="657"/>
      <c r="AA18" s="657"/>
      <c r="AB18" s="657"/>
      <c r="AC18" s="657"/>
      <c r="AD18" s="658"/>
    </row>
    <row r="19" spans="3:30">
      <c r="C19" s="238"/>
      <c r="W19" s="245"/>
      <c r="X19" s="674"/>
      <c r="Y19" s="674"/>
      <c r="Z19" s="674"/>
      <c r="AA19" s="674"/>
      <c r="AB19" s="674"/>
      <c r="AC19" s="674"/>
      <c r="AD19" s="675"/>
    </row>
    <row r="20" spans="3:30">
      <c r="C20" s="238"/>
      <c r="W20" s="659" t="s">
        <v>992</v>
      </c>
      <c r="X20" s="660"/>
      <c r="Y20" s="660"/>
      <c r="Z20" s="660"/>
      <c r="AA20" s="660"/>
      <c r="AB20" s="660"/>
      <c r="AC20" s="660"/>
      <c r="AD20" s="661"/>
    </row>
    <row r="21" spans="3:30">
      <c r="C21" s="238"/>
      <c r="W21" s="662" t="s">
        <v>985</v>
      </c>
      <c r="X21" s="663"/>
      <c r="Y21" s="663"/>
      <c r="Z21" s="664"/>
      <c r="AA21" s="665" t="s">
        <v>986</v>
      </c>
      <c r="AB21" s="666"/>
      <c r="AC21" s="666"/>
      <c r="AD21" s="667"/>
    </row>
    <row r="22" spans="3:30">
      <c r="C22" s="238"/>
      <c r="W22" s="668"/>
      <c r="X22" s="669"/>
      <c r="Y22" s="492"/>
      <c r="Z22" s="493"/>
      <c r="AA22" s="670"/>
      <c r="AB22" s="671"/>
      <c r="AC22" s="248"/>
      <c r="AD22" s="249"/>
    </row>
    <row r="23" spans="3:30">
      <c r="C23" s="238"/>
      <c r="W23" s="668"/>
      <c r="X23" s="669"/>
      <c r="Y23" s="492"/>
      <c r="Z23" s="493"/>
      <c r="AA23" s="672"/>
      <c r="AB23" s="673"/>
      <c r="AC23" s="248"/>
      <c r="AD23" s="249"/>
    </row>
    <row r="24" spans="3:30">
      <c r="C24" s="238"/>
      <c r="W24" s="678"/>
      <c r="X24" s="679"/>
      <c r="Y24" s="246"/>
      <c r="Z24" s="247"/>
      <c r="AA24" s="680"/>
      <c r="AB24" s="681"/>
      <c r="AC24" s="248"/>
      <c r="AD24" s="249"/>
    </row>
    <row r="25" spans="3:30">
      <c r="C25" s="238"/>
      <c r="W25" s="678"/>
      <c r="X25" s="679"/>
      <c r="Y25" s="246"/>
      <c r="Z25" s="247"/>
      <c r="AA25" s="672"/>
      <c r="AB25" s="673"/>
      <c r="AC25" s="248"/>
      <c r="AD25" s="249"/>
    </row>
    <row r="26" spans="3:30">
      <c r="C26" s="238"/>
      <c r="W26" s="480"/>
      <c r="X26" s="481"/>
      <c r="Y26" s="246"/>
      <c r="Z26" s="247"/>
      <c r="AA26" s="672"/>
      <c r="AB26" s="673"/>
      <c r="AC26" s="248"/>
      <c r="AD26" s="249"/>
    </row>
    <row r="27" spans="3:30">
      <c r="C27" s="238"/>
      <c r="W27" s="480"/>
      <c r="X27" s="481"/>
      <c r="Y27" s="246"/>
      <c r="Z27" s="247"/>
      <c r="AA27" s="676"/>
      <c r="AB27" s="677"/>
      <c r="AC27" s="248"/>
      <c r="AD27" s="249"/>
    </row>
    <row r="28" spans="3:30">
      <c r="C28" s="238"/>
      <c r="W28" s="480"/>
      <c r="X28" s="481"/>
      <c r="Y28" s="246"/>
      <c r="Z28" s="247"/>
      <c r="AA28" s="676"/>
      <c r="AB28" s="677"/>
      <c r="AC28" s="248"/>
      <c r="AD28" s="249"/>
    </row>
    <row r="29" spans="3:30">
      <c r="C29" s="238"/>
      <c r="W29" s="480"/>
      <c r="X29" s="481"/>
      <c r="Y29" s="246"/>
      <c r="Z29" s="247"/>
      <c r="AA29" s="676"/>
      <c r="AB29" s="677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76"/>
      <c r="AB30" s="677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76"/>
      <c r="AB31" s="677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76"/>
      <c r="AB32" s="677"/>
      <c r="AC32" s="248"/>
      <c r="AD32" s="249"/>
    </row>
    <row r="33" spans="3:30">
      <c r="C33" s="238"/>
      <c r="W33" s="480"/>
      <c r="X33" s="481"/>
      <c r="Y33" s="246"/>
      <c r="Z33" s="247"/>
      <c r="AA33" s="676"/>
      <c r="AB33" s="677"/>
      <c r="AC33" s="248"/>
      <c r="AD33" s="249"/>
    </row>
    <row r="34" spans="3:30">
      <c r="C34" s="238"/>
      <c r="W34" s="480"/>
      <c r="X34" s="481"/>
      <c r="Y34" s="246"/>
      <c r="Z34" s="247"/>
      <c r="AA34" s="676"/>
      <c r="AB34" s="677"/>
      <c r="AC34" s="248"/>
      <c r="AD34" s="249"/>
    </row>
    <row r="35" spans="3:30">
      <c r="C35" s="238"/>
      <c r="W35" s="678"/>
      <c r="X35" s="691"/>
      <c r="Y35" s="246"/>
      <c r="Z35" s="247"/>
      <c r="AA35" s="676"/>
      <c r="AB35" s="677"/>
      <c r="AC35" s="248"/>
      <c r="AD35" s="249"/>
    </row>
    <row r="36" spans="3:30">
      <c r="C36" s="238"/>
      <c r="W36" s="682"/>
      <c r="X36" s="683"/>
      <c r="Y36" s="246"/>
      <c r="Z36" s="251"/>
      <c r="AA36" s="684"/>
      <c r="AB36" s="677"/>
      <c r="AC36" s="248"/>
      <c r="AD36" s="249"/>
    </row>
    <row r="37" spans="3:30" ht="12.75" customHeight="1">
      <c r="C37" s="238"/>
      <c r="W37" s="685"/>
      <c r="X37" s="686"/>
      <c r="Y37" s="246"/>
      <c r="Z37" s="251"/>
      <c r="AA37" s="687"/>
      <c r="AB37" s="688"/>
      <c r="AC37" s="252"/>
      <c r="AD37" s="253"/>
    </row>
    <row r="38" spans="3:30" ht="12.75" customHeight="1">
      <c r="C38" s="238"/>
      <c r="W38" s="685"/>
      <c r="X38" s="686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85"/>
      <c r="X39" s="686"/>
      <c r="Y39" s="254"/>
      <c r="Z39" s="257"/>
      <c r="AA39" s="689"/>
      <c r="AB39" s="690"/>
      <c r="AC39" s="252"/>
      <c r="AD39" s="253"/>
    </row>
    <row r="40" spans="3:30" ht="12" customHeight="1">
      <c r="C40" s="238"/>
      <c r="W40" s="695"/>
      <c r="X40" s="696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97"/>
      <c r="X41" s="698"/>
      <c r="Y41" s="260"/>
      <c r="Z41" s="261"/>
      <c r="AA41" s="689"/>
      <c r="AB41" s="690"/>
      <c r="AC41" s="252"/>
      <c r="AD41" s="253"/>
    </row>
    <row r="42" spans="3:30" ht="12" customHeight="1">
      <c r="C42" s="238"/>
      <c r="W42" s="699" t="s">
        <v>1456</v>
      </c>
      <c r="X42" s="700"/>
      <c r="Y42" s="700"/>
      <c r="Z42" s="700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92" t="s">
        <v>11</v>
      </c>
      <c r="X44" s="693"/>
      <c r="Y44" s="657"/>
      <c r="Z44" s="657"/>
      <c r="AA44" s="657"/>
      <c r="AB44" s="657"/>
      <c r="AC44" s="657"/>
      <c r="AD44" s="658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92" t="s">
        <v>984</v>
      </c>
      <c r="X45" s="693"/>
      <c r="Y45" s="657">
        <v>1</v>
      </c>
      <c r="Z45" s="657"/>
      <c r="AA45" s="657"/>
      <c r="AB45" s="657" t="s">
        <v>12</v>
      </c>
      <c r="AC45" s="657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92" t="s">
        <v>15</v>
      </c>
      <c r="X46" s="693"/>
      <c r="Y46" s="694"/>
      <c r="Z46" s="694"/>
      <c r="AA46" s="694"/>
      <c r="AB46" s="657" t="s">
        <v>16</v>
      </c>
      <c r="AC46" s="657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705" t="s">
        <v>17</v>
      </c>
      <c r="X47" s="705"/>
      <c r="Y47" s="705"/>
      <c r="Z47" s="705"/>
      <c r="AA47" s="705"/>
      <c r="AB47" s="705"/>
      <c r="AC47" s="705"/>
      <c r="AD47" s="706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7" t="str">
        <f>RAB!G6</f>
        <v>ALFAMART KALIKONDANG</v>
      </c>
      <c r="X48" s="707"/>
      <c r="Y48" s="707"/>
      <c r="Z48" s="707"/>
      <c r="AA48" s="707"/>
      <c r="AB48" s="707"/>
      <c r="AC48" s="707"/>
      <c r="AD48" s="708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7"/>
      <c r="X49" s="707"/>
      <c r="Y49" s="707"/>
      <c r="Z49" s="707"/>
      <c r="AA49" s="707"/>
      <c r="AB49" s="707"/>
      <c r="AC49" s="707"/>
      <c r="AD49" s="708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07"/>
      <c r="X50" s="707"/>
      <c r="Y50" s="707"/>
      <c r="Z50" s="707"/>
      <c r="AA50" s="707"/>
      <c r="AB50" s="707"/>
      <c r="AC50" s="707"/>
      <c r="AD50" s="708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09"/>
      <c r="X51" s="709"/>
      <c r="Y51" s="709"/>
      <c r="Z51" s="709"/>
      <c r="AA51" s="709"/>
      <c r="AB51" s="709"/>
      <c r="AC51" s="709"/>
      <c r="AD51" s="710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92" t="s">
        <v>18</v>
      </c>
      <c r="X52" s="693"/>
      <c r="Y52" s="657" t="s">
        <v>1633</v>
      </c>
      <c r="Z52" s="657"/>
      <c r="AA52" s="657"/>
      <c r="AB52" s="657"/>
      <c r="AC52" s="657"/>
      <c r="AD52" s="658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92" t="s">
        <v>19</v>
      </c>
      <c r="X53" s="693"/>
      <c r="Y53" s="657" t="s">
        <v>1634</v>
      </c>
      <c r="Z53" s="657"/>
      <c r="AA53" s="657"/>
      <c r="AB53" s="657"/>
      <c r="AC53" s="657"/>
      <c r="AD53" s="658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92" t="s">
        <v>20</v>
      </c>
      <c r="X54" s="693"/>
      <c r="Y54" s="701" t="s">
        <v>1635</v>
      </c>
      <c r="Z54" s="701"/>
      <c r="AA54" s="701"/>
      <c r="AB54" s="657"/>
      <c r="AC54" s="657"/>
      <c r="AD54" s="658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702" t="s">
        <v>21</v>
      </c>
      <c r="X55" s="703"/>
      <c r="Y55" s="701" t="s">
        <v>1636</v>
      </c>
      <c r="Z55" s="701"/>
      <c r="AA55" s="701"/>
      <c r="AB55" s="701"/>
      <c r="AC55" s="701"/>
      <c r="AD55" s="704"/>
    </row>
  </sheetData>
  <mergeCells count="101">
    <mergeCell ref="W54:X54"/>
    <mergeCell ref="AB54:AD54"/>
    <mergeCell ref="W55:X55"/>
    <mergeCell ref="AB55:AD55"/>
    <mergeCell ref="W47:AD47"/>
    <mergeCell ref="W48:AD51"/>
    <mergeCell ref="W52:X52"/>
    <mergeCell ref="AB52:AD52"/>
    <mergeCell ref="W53:X53"/>
    <mergeCell ref="AB53:AD53"/>
    <mergeCell ref="Y54:AA54"/>
    <mergeCell ref="Y55:AA55"/>
    <mergeCell ref="Y52:AA52"/>
    <mergeCell ref="Y53:AA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7" zoomScale="40" zoomScaleNormal="55" zoomScaleSheetLayoutView="40" workbookViewId="0">
      <selection activeCell="T46" sqref="T46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1" t="s">
        <v>1528</v>
      </c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3"/>
      <c r="AD4" s="217"/>
      <c r="AE4" s="216"/>
      <c r="AF4" s="216"/>
    </row>
    <row r="5" spans="2:32" ht="13.5" customHeight="1">
      <c r="B5" s="215"/>
      <c r="C5" s="215"/>
      <c r="D5" s="714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5"/>
      <c r="P5" s="715"/>
      <c r="Q5" s="715"/>
      <c r="R5" s="715"/>
      <c r="S5" s="715"/>
      <c r="T5" s="715"/>
      <c r="U5" s="715"/>
      <c r="V5" s="715"/>
      <c r="W5" s="715"/>
      <c r="X5" s="715"/>
      <c r="Y5" s="715"/>
      <c r="Z5" s="715"/>
      <c r="AA5" s="715"/>
      <c r="AB5" s="715"/>
      <c r="AC5" s="716"/>
      <c r="AD5" s="217"/>
      <c r="AE5" s="216"/>
      <c r="AF5" s="216"/>
    </row>
    <row r="6" spans="2:32" ht="12.75" customHeight="1">
      <c r="B6" s="215"/>
      <c r="C6" s="215"/>
      <c r="D6" s="714"/>
      <c r="E6" s="715"/>
      <c r="F6" s="715"/>
      <c r="G6" s="715"/>
      <c r="H6" s="715"/>
      <c r="I6" s="715"/>
      <c r="J6" s="715"/>
      <c r="K6" s="715"/>
      <c r="L6" s="715"/>
      <c r="M6" s="715"/>
      <c r="N6" s="715"/>
      <c r="O6" s="715"/>
      <c r="P6" s="715"/>
      <c r="Q6" s="715"/>
      <c r="R6" s="715"/>
      <c r="S6" s="715"/>
      <c r="T6" s="715"/>
      <c r="U6" s="715"/>
      <c r="V6" s="715"/>
      <c r="W6" s="715"/>
      <c r="X6" s="715"/>
      <c r="Y6" s="715"/>
      <c r="Z6" s="715"/>
      <c r="AA6" s="715"/>
      <c r="AB6" s="715"/>
      <c r="AC6" s="716"/>
      <c r="AE6" s="216"/>
      <c r="AF6" s="216"/>
    </row>
    <row r="7" spans="2:32" ht="12.75" customHeight="1" thickBot="1">
      <c r="B7" s="215"/>
      <c r="C7" s="215"/>
      <c r="D7" s="717"/>
      <c r="E7" s="718"/>
      <c r="F7" s="718"/>
      <c r="G7" s="718"/>
      <c r="H7" s="718"/>
      <c r="I7" s="718"/>
      <c r="J7" s="718"/>
      <c r="K7" s="718"/>
      <c r="L7" s="718"/>
      <c r="M7" s="718"/>
      <c r="N7" s="718"/>
      <c r="O7" s="718"/>
      <c r="P7" s="718"/>
      <c r="Q7" s="718"/>
      <c r="R7" s="718"/>
      <c r="S7" s="718"/>
      <c r="T7" s="718"/>
      <c r="U7" s="718"/>
      <c r="V7" s="718"/>
      <c r="W7" s="718"/>
      <c r="X7" s="718"/>
      <c r="Y7" s="718"/>
      <c r="Z7" s="718"/>
      <c r="AA7" s="718"/>
      <c r="AB7" s="718"/>
      <c r="AC7" s="719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40" zoomScaleNormal="40" zoomScaleSheetLayoutView="40" workbookViewId="0">
      <selection activeCell="C8" sqref="C8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5" t="s">
        <v>1527</v>
      </c>
      <c r="D3" s="715"/>
      <c r="E3" s="715"/>
      <c r="F3" s="715"/>
      <c r="G3" s="715"/>
      <c r="H3" s="715"/>
      <c r="I3" s="715"/>
      <c r="J3" s="715"/>
      <c r="K3" s="715"/>
      <c r="L3" s="715"/>
      <c r="M3" s="715"/>
      <c r="N3" s="715"/>
      <c r="O3" s="715"/>
      <c r="P3" s="715"/>
      <c r="Q3" s="715"/>
      <c r="R3" s="715"/>
      <c r="S3" s="715"/>
      <c r="T3" s="715"/>
      <c r="U3" s="715"/>
      <c r="V3" s="715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20" t="s">
        <v>1632</v>
      </c>
      <c r="D6" s="720"/>
      <c r="E6" s="720"/>
      <c r="F6" s="720"/>
      <c r="G6" s="720"/>
      <c r="H6" s="720"/>
      <c r="I6" s="720"/>
      <c r="J6" s="720"/>
      <c r="K6" s="720"/>
      <c r="L6" s="720"/>
      <c r="M6" s="720"/>
      <c r="W6" s="182"/>
      <c r="Y6" s="428"/>
      <c r="Z6" s="428"/>
      <c r="AA6" s="428"/>
      <c r="AB6" s="429"/>
      <c r="AC6" s="429"/>
    </row>
    <row r="7" spans="1:29" ht="18" customHeight="1">
      <c r="A7" s="181"/>
      <c r="C7" s="720"/>
      <c r="D7" s="720"/>
      <c r="E7" s="720"/>
      <c r="F7" s="720"/>
      <c r="G7" s="720"/>
      <c r="H7" s="720"/>
      <c r="I7" s="720"/>
      <c r="J7" s="720"/>
      <c r="K7" s="720"/>
      <c r="L7" s="720"/>
      <c r="M7" s="720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2023-11-28T09:20:35Z</cp:lastPrinted>
  <dcterms:created xsi:type="dcterms:W3CDTF">2011-02-06T11:57:38Z</dcterms:created>
  <dcterms:modified xsi:type="dcterms:W3CDTF">2023-11-28T09:20:43Z</dcterms:modified>
</cp:coreProperties>
</file>