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ANIS FUADAH\"/>
    </mc:Choice>
  </mc:AlternateContent>
  <xr:revisionPtr revIDLastSave="0" documentId="8_{C8690BA0-C98D-4BFE-B183-D4375107C559}" xr6:coauthVersionLast="47" xr6:coauthVersionMax="47" xr10:uidLastSave="{00000000-0000-0000-0000-000000000000}"/>
  <bookViews>
    <workbookView xWindow="-120" yWindow="-120" windowWidth="24240" windowHeight="1314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RAB!$A$1:$K$158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124" i="11" l="1"/>
  <c r="F123" i="11"/>
  <c r="F122" i="11"/>
  <c r="F121" i="11"/>
  <c r="F120" i="11"/>
  <c r="G125" i="11"/>
  <c r="G126" i="11"/>
  <c r="G127" i="11"/>
  <c r="G128" i="11"/>
  <c r="G129" i="11"/>
  <c r="D125" i="11"/>
  <c r="H125" i="11" s="1"/>
  <c r="E125" i="11"/>
  <c r="D126" i="11"/>
  <c r="J126" i="11" s="1"/>
  <c r="E126" i="11"/>
  <c r="D127" i="11"/>
  <c r="H127" i="11" s="1"/>
  <c r="E127" i="11"/>
  <c r="F116" i="11"/>
  <c r="F115" i="11"/>
  <c r="F114" i="11"/>
  <c r="F113" i="11"/>
  <c r="F112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2" i="11"/>
  <c r="D91" i="11"/>
  <c r="J91" i="11" s="1"/>
  <c r="E91" i="11"/>
  <c r="G91" i="11"/>
  <c r="D92" i="11"/>
  <c r="J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J95" i="11" s="1"/>
  <c r="E95" i="11"/>
  <c r="G95" i="11"/>
  <c r="D96" i="11"/>
  <c r="J96" i="11" s="1"/>
  <c r="E96" i="11"/>
  <c r="G96" i="11"/>
  <c r="D97" i="11"/>
  <c r="J97" i="11" s="1"/>
  <c r="E97" i="11"/>
  <c r="G97" i="11"/>
  <c r="D98" i="11"/>
  <c r="H98" i="11" s="1"/>
  <c r="E98" i="11"/>
  <c r="G98" i="11"/>
  <c r="D99" i="11"/>
  <c r="J99" i="11" s="1"/>
  <c r="E99" i="11"/>
  <c r="G99" i="11"/>
  <c r="D100" i="11"/>
  <c r="J100" i="11" s="1"/>
  <c r="E100" i="11"/>
  <c r="G100" i="11"/>
  <c r="D101" i="11"/>
  <c r="H101" i="11" s="1"/>
  <c r="E101" i="11"/>
  <c r="G101" i="11"/>
  <c r="D102" i="11"/>
  <c r="J102" i="11" s="1"/>
  <c r="E102" i="11"/>
  <c r="G102" i="11"/>
  <c r="D103" i="11"/>
  <c r="J103" i="11" s="1"/>
  <c r="E103" i="11"/>
  <c r="G103" i="11"/>
  <c r="D104" i="11"/>
  <c r="J104" i="11" s="1"/>
  <c r="E104" i="11"/>
  <c r="G104" i="11"/>
  <c r="D105" i="11"/>
  <c r="J105" i="11" s="1"/>
  <c r="E105" i="11"/>
  <c r="G105" i="11"/>
  <c r="D106" i="11"/>
  <c r="H106" i="11" s="1"/>
  <c r="E106" i="11"/>
  <c r="G106" i="11"/>
  <c r="D107" i="11"/>
  <c r="J107" i="11" s="1"/>
  <c r="E107" i="11"/>
  <c r="G107" i="11"/>
  <c r="D108" i="11"/>
  <c r="J108" i="11" s="1"/>
  <c r="E108" i="11"/>
  <c r="G108" i="11"/>
  <c r="D109" i="11"/>
  <c r="H109" i="11" s="1"/>
  <c r="E109" i="11"/>
  <c r="G109" i="11"/>
  <c r="D110" i="11"/>
  <c r="J110" i="11" s="1"/>
  <c r="E110" i="11"/>
  <c r="G110" i="11"/>
  <c r="D111" i="11"/>
  <c r="J111" i="11" s="1"/>
  <c r="E111" i="11"/>
  <c r="G111" i="11"/>
  <c r="D112" i="11"/>
  <c r="J112" i="11" s="1"/>
  <c r="E112" i="11"/>
  <c r="G112" i="11"/>
  <c r="D113" i="11"/>
  <c r="H113" i="11" s="1"/>
  <c r="E113" i="11"/>
  <c r="G113" i="11"/>
  <c r="D114" i="11"/>
  <c r="J114" i="11" s="1"/>
  <c r="E114" i="11"/>
  <c r="G114" i="11"/>
  <c r="D115" i="11"/>
  <c r="J115" i="11" s="1"/>
  <c r="E115" i="11"/>
  <c r="G115" i="11"/>
  <c r="D116" i="11"/>
  <c r="E116" i="11"/>
  <c r="G116" i="11"/>
  <c r="D117" i="11"/>
  <c r="J117" i="11" s="1"/>
  <c r="E117" i="11"/>
  <c r="G117" i="11"/>
  <c r="D118" i="11"/>
  <c r="J118" i="11" s="1"/>
  <c r="E118" i="11"/>
  <c r="G118" i="11"/>
  <c r="J125" i="11" l="1"/>
  <c r="I126" i="11"/>
  <c r="H126" i="11"/>
  <c r="I125" i="11"/>
  <c r="J127" i="11"/>
  <c r="I106" i="11"/>
  <c r="I94" i="11"/>
  <c r="I117" i="11"/>
  <c r="J98" i="11"/>
  <c r="I97" i="11"/>
  <c r="I91" i="11"/>
  <c r="I107" i="11"/>
  <c r="J113" i="11"/>
  <c r="J116" i="11"/>
  <c r="J109" i="11"/>
  <c r="I110" i="11"/>
  <c r="I109" i="11"/>
  <c r="H107" i="11"/>
  <c r="J106" i="11"/>
  <c r="H99" i="11"/>
  <c r="I102" i="11"/>
  <c r="J101" i="11"/>
  <c r="I99" i="11"/>
  <c r="I98" i="11"/>
  <c r="H97" i="11"/>
  <c r="I96" i="11"/>
  <c r="H94" i="11"/>
  <c r="H93" i="11"/>
  <c r="I118" i="11"/>
  <c r="I113" i="11"/>
  <c r="I93" i="11"/>
  <c r="H91" i="11"/>
  <c r="H117" i="11"/>
  <c r="I114" i="11"/>
  <c r="I115" i="11"/>
  <c r="H114" i="11"/>
  <c r="H110" i="11"/>
  <c r="H102" i="11"/>
  <c r="H115" i="11"/>
  <c r="K115" i="11" s="1"/>
  <c r="I111" i="11"/>
  <c r="H103" i="11"/>
  <c r="I101" i="11"/>
  <c r="H95" i="11"/>
  <c r="I105" i="11"/>
  <c r="H105" i="11"/>
  <c r="I104" i="11"/>
  <c r="I103" i="11"/>
  <c r="I95" i="11"/>
  <c r="H118" i="11"/>
  <c r="K118" i="11" s="1"/>
  <c r="I108" i="11"/>
  <c r="I100" i="11"/>
  <c r="I92" i="11"/>
  <c r="H111" i="11"/>
  <c r="I112" i="11"/>
  <c r="H116" i="11"/>
  <c r="H112" i="11"/>
  <c r="H108" i="11"/>
  <c r="H104" i="11"/>
  <c r="H100" i="11"/>
  <c r="H96" i="11"/>
  <c r="H92" i="11"/>
  <c r="I116" i="11"/>
  <c r="K125" i="11" l="1"/>
  <c r="K110" i="11"/>
  <c r="K117" i="11"/>
  <c r="K94" i="11"/>
  <c r="K106" i="11"/>
  <c r="K126" i="11"/>
  <c r="K93" i="11"/>
  <c r="K99" i="11"/>
  <c r="K91" i="11"/>
  <c r="K107" i="11"/>
  <c r="K97" i="11"/>
  <c r="K109" i="11"/>
  <c r="K98" i="11"/>
  <c r="K102" i="11"/>
  <c r="K100" i="11"/>
  <c r="K116" i="11"/>
  <c r="K113" i="11"/>
  <c r="K95" i="11"/>
  <c r="K108" i="11"/>
  <c r="K111" i="11"/>
  <c r="K101" i="11"/>
  <c r="K96" i="11"/>
  <c r="K105" i="11"/>
  <c r="K103" i="11"/>
  <c r="K104" i="11"/>
  <c r="K114" i="11"/>
  <c r="K92" i="11"/>
  <c r="K112" i="11"/>
  <c r="F86" i="11" l="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0" i="11"/>
  <c r="D67" i="11" l="1"/>
  <c r="H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E70" i="11"/>
  <c r="G70" i="11"/>
  <c r="D71" i="11"/>
  <c r="H71" i="11" s="1"/>
  <c r="E71" i="11"/>
  <c r="G71" i="11"/>
  <c r="J72" i="11"/>
  <c r="E72" i="11"/>
  <c r="G72" i="11"/>
  <c r="D73" i="11"/>
  <c r="J73" i="11" s="1"/>
  <c r="E73" i="11"/>
  <c r="G73" i="11"/>
  <c r="E74" i="11"/>
  <c r="G74" i="11"/>
  <c r="I75" i="11"/>
  <c r="E75" i="11"/>
  <c r="G75" i="11"/>
  <c r="J75" i="11"/>
  <c r="J76" i="11"/>
  <c r="E76" i="11"/>
  <c r="G76" i="11"/>
  <c r="J77" i="11"/>
  <c r="E77" i="11"/>
  <c r="G77" i="11"/>
  <c r="H78" i="11"/>
  <c r="E78" i="11"/>
  <c r="G78" i="11"/>
  <c r="H79" i="11"/>
  <c r="E79" i="11"/>
  <c r="G79" i="11"/>
  <c r="J80" i="11"/>
  <c r="E80" i="11"/>
  <c r="G80" i="11"/>
  <c r="J81" i="11"/>
  <c r="E81" i="11"/>
  <c r="G81" i="11"/>
  <c r="H82" i="11"/>
  <c r="E82" i="11"/>
  <c r="G82" i="11"/>
  <c r="H83" i="11"/>
  <c r="E83" i="11"/>
  <c r="G83" i="11"/>
  <c r="J84" i="11"/>
  <c r="E84" i="11"/>
  <c r="G84" i="11"/>
  <c r="J85" i="11"/>
  <c r="E85" i="11"/>
  <c r="G85" i="11"/>
  <c r="H86" i="11"/>
  <c r="E86" i="11"/>
  <c r="G86" i="11"/>
  <c r="H87" i="11"/>
  <c r="J88" i="11"/>
  <c r="D89" i="11"/>
  <c r="J89" i="11" s="1"/>
  <c r="E89" i="11"/>
  <c r="G89" i="11"/>
  <c r="F126" i="11"/>
  <c r="F133" i="11" s="1"/>
  <c r="D128" i="11"/>
  <c r="E128" i="11"/>
  <c r="D129" i="11"/>
  <c r="E129" i="11"/>
  <c r="D130" i="11"/>
  <c r="J130" i="11" s="1"/>
  <c r="E130" i="11"/>
  <c r="G130" i="11"/>
  <c r="D131" i="11"/>
  <c r="J131" i="11" s="1"/>
  <c r="E131" i="11"/>
  <c r="G131" i="11"/>
  <c r="D132" i="11"/>
  <c r="H132" i="11" s="1"/>
  <c r="E132" i="11"/>
  <c r="G132" i="11"/>
  <c r="D133" i="11"/>
  <c r="J133" i="11" s="1"/>
  <c r="E133" i="11"/>
  <c r="G133" i="11"/>
  <c r="D134" i="11"/>
  <c r="J134" i="11" s="1"/>
  <c r="E134" i="11"/>
  <c r="G134" i="11"/>
  <c r="D135" i="11"/>
  <c r="J135" i="11" s="1"/>
  <c r="E135" i="11"/>
  <c r="G135" i="11"/>
  <c r="D136" i="11"/>
  <c r="H136" i="11" s="1"/>
  <c r="E136" i="11"/>
  <c r="G136" i="11"/>
  <c r="F40" i="11"/>
  <c r="F39" i="11"/>
  <c r="F38" i="11"/>
  <c r="F37" i="11"/>
  <c r="F36" i="11"/>
  <c r="H128" i="11" l="1"/>
  <c r="J128" i="11"/>
  <c r="H129" i="11"/>
  <c r="J129" i="11"/>
  <c r="I83" i="11"/>
  <c r="I89" i="11"/>
  <c r="I77" i="11"/>
  <c r="J87" i="11"/>
  <c r="J71" i="11"/>
  <c r="H70" i="11"/>
  <c r="I73" i="11"/>
  <c r="I71" i="11"/>
  <c r="J67" i="11"/>
  <c r="I81" i="11"/>
  <c r="H75" i="11"/>
  <c r="K75" i="11" s="1"/>
  <c r="H89" i="11"/>
  <c r="I85" i="11"/>
  <c r="I79" i="11"/>
  <c r="I69" i="11"/>
  <c r="I67" i="11"/>
  <c r="H85" i="11"/>
  <c r="I84" i="11"/>
  <c r="J83" i="11"/>
  <c r="K83" i="11" s="1"/>
  <c r="H81" i="11"/>
  <c r="K81" i="11" s="1"/>
  <c r="I80" i="11"/>
  <c r="J79" i="11"/>
  <c r="K79" i="11" s="1"/>
  <c r="H77" i="11"/>
  <c r="K77" i="11" s="1"/>
  <c r="I76" i="11"/>
  <c r="H73" i="11"/>
  <c r="I72" i="11"/>
  <c r="H69" i="11"/>
  <c r="K69" i="11" s="1"/>
  <c r="I68" i="11"/>
  <c r="H74" i="11"/>
  <c r="I87" i="11"/>
  <c r="I86" i="11"/>
  <c r="I82" i="11"/>
  <c r="I78" i="11"/>
  <c r="I74" i="11"/>
  <c r="I70" i="11"/>
  <c r="I88" i="11"/>
  <c r="H88" i="11"/>
  <c r="J86" i="11"/>
  <c r="H84" i="11"/>
  <c r="K84" i="11" s="1"/>
  <c r="J82" i="11"/>
  <c r="K82" i="11" s="1"/>
  <c r="H80" i="11"/>
  <c r="J78" i="11"/>
  <c r="K78" i="11" s="1"/>
  <c r="H76" i="11"/>
  <c r="J74" i="11"/>
  <c r="H72" i="11"/>
  <c r="K72" i="11" s="1"/>
  <c r="J70" i="11"/>
  <c r="H68" i="11"/>
  <c r="F128" i="11"/>
  <c r="I128" i="11" s="1"/>
  <c r="F130" i="11"/>
  <c r="I130" i="11" s="1"/>
  <c r="J136" i="11"/>
  <c r="F127" i="11"/>
  <c r="I127" i="11" s="1"/>
  <c r="K127" i="11" s="1"/>
  <c r="F131" i="11"/>
  <c r="F132" i="11"/>
  <c r="H130" i="11"/>
  <c r="F129" i="11"/>
  <c r="I129" i="11" s="1"/>
  <c r="H133" i="11"/>
  <c r="J132" i="11"/>
  <c r="I133" i="11"/>
  <c r="I134" i="11"/>
  <c r="I136" i="11"/>
  <c r="H134" i="11"/>
  <c r="I135" i="11"/>
  <c r="I131" i="11"/>
  <c r="H135" i="11"/>
  <c r="I132" i="11"/>
  <c r="H131" i="11"/>
  <c r="D35" i="11"/>
  <c r="H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E40" i="11"/>
  <c r="G40" i="11"/>
  <c r="D41" i="11"/>
  <c r="J41" i="11" s="1"/>
  <c r="E41" i="11"/>
  <c r="G41" i="11"/>
  <c r="F44" i="11"/>
  <c r="K89" i="11" l="1"/>
  <c r="K129" i="11"/>
  <c r="K128" i="11"/>
  <c r="K76" i="11"/>
  <c r="K87" i="11"/>
  <c r="K88" i="11"/>
  <c r="K68" i="11"/>
  <c r="K71" i="11"/>
  <c r="K67" i="11"/>
  <c r="K80" i="11"/>
  <c r="K73" i="11"/>
  <c r="K85" i="11"/>
  <c r="K136" i="11"/>
  <c r="K74" i="11"/>
  <c r="K70" i="11"/>
  <c r="K86" i="11"/>
  <c r="K134" i="11"/>
  <c r="K130" i="11"/>
  <c r="K135" i="11"/>
  <c r="K131" i="11"/>
  <c r="K132" i="11"/>
  <c r="K133" i="11"/>
  <c r="I38" i="11"/>
  <c r="J40" i="11"/>
  <c r="J38" i="11"/>
  <c r="J37" i="11"/>
  <c r="I39" i="11"/>
  <c r="I35" i="11"/>
  <c r="H41" i="11"/>
  <c r="H39" i="11"/>
  <c r="I37" i="11"/>
  <c r="I36" i="11"/>
  <c r="J35" i="11"/>
  <c r="I41" i="11"/>
  <c r="H40" i="11"/>
  <c r="H36" i="11"/>
  <c r="K36" i="11" s="1"/>
  <c r="I40" i="11"/>
  <c r="G119" i="11"/>
  <c r="G120" i="11"/>
  <c r="G121" i="11"/>
  <c r="G122" i="11"/>
  <c r="G123" i="11"/>
  <c r="G124" i="11"/>
  <c r="D119" i="11"/>
  <c r="H119" i="11" s="1"/>
  <c r="E119" i="11"/>
  <c r="J120" i="11"/>
  <c r="E120" i="11"/>
  <c r="D121" i="11"/>
  <c r="I121" i="11" s="1"/>
  <c r="E121" i="11"/>
  <c r="E122" i="11"/>
  <c r="D123" i="11"/>
  <c r="E123" i="11"/>
  <c r="D124" i="11"/>
  <c r="E124" i="11"/>
  <c r="H123" i="11" l="1"/>
  <c r="J124" i="11"/>
  <c r="K39" i="11"/>
  <c r="K35" i="11"/>
  <c r="K38" i="11"/>
  <c r="K37" i="11"/>
  <c r="K41" i="11"/>
  <c r="K40" i="11"/>
  <c r="H122" i="11"/>
  <c r="I120" i="11"/>
  <c r="I124" i="11"/>
  <c r="H121" i="11"/>
  <c r="J119" i="11"/>
  <c r="J123" i="11"/>
  <c r="H124" i="11"/>
  <c r="I123" i="11"/>
  <c r="J122" i="11"/>
  <c r="H120" i="11"/>
  <c r="I119" i="11"/>
  <c r="I122" i="11"/>
  <c r="J121" i="11"/>
  <c r="K122" i="11" l="1"/>
  <c r="K121" i="11"/>
  <c r="K120" i="11"/>
  <c r="K119" i="11"/>
  <c r="K124" i="11"/>
  <c r="K123" i="11"/>
  <c r="D137" i="11" l="1"/>
  <c r="H137" i="11" s="1"/>
  <c r="E137" i="11"/>
  <c r="G137" i="11"/>
  <c r="F17" i="11"/>
  <c r="I137" i="11" l="1"/>
  <c r="J137" i="11"/>
  <c r="F61" i="11"/>
  <c r="F62" i="11" s="1"/>
  <c r="F55" i="11"/>
  <c r="F59" i="11" s="1"/>
  <c r="F53" i="11"/>
  <c r="F52" i="11"/>
  <c r="F51" i="11"/>
  <c r="F50" i="11"/>
  <c r="F49" i="11"/>
  <c r="F48" i="11"/>
  <c r="D46" i="11"/>
  <c r="H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E59" i="11"/>
  <c r="G59" i="11"/>
  <c r="D60" i="11"/>
  <c r="J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D64" i="11"/>
  <c r="H64" i="11" s="1"/>
  <c r="E64" i="11"/>
  <c r="G64" i="11"/>
  <c r="D65" i="11"/>
  <c r="H65" i="11" s="1"/>
  <c r="E65" i="11"/>
  <c r="G65" i="11"/>
  <c r="D66" i="11"/>
  <c r="H66" i="11" s="1"/>
  <c r="E66" i="11"/>
  <c r="G66" i="11"/>
  <c r="C6" i="62"/>
  <c r="D15" i="11"/>
  <c r="J15" i="11" s="1"/>
  <c r="E15" i="11"/>
  <c r="G15" i="11"/>
  <c r="D16" i="11"/>
  <c r="J16" i="11" s="1"/>
  <c r="E16" i="11"/>
  <c r="G16" i="11"/>
  <c r="D17" i="11"/>
  <c r="E17" i="11"/>
  <c r="G17" i="11"/>
  <c r="D19" i="11"/>
  <c r="H19" i="11" s="1"/>
  <c r="E19" i="11"/>
  <c r="G19" i="11"/>
  <c r="F33" i="11"/>
  <c r="F32" i="11"/>
  <c r="F31" i="11"/>
  <c r="F30" i="11"/>
  <c r="F29" i="11"/>
  <c r="F26" i="11"/>
  <c r="F25" i="11"/>
  <c r="F24" i="11"/>
  <c r="F23" i="11"/>
  <c r="F22" i="11"/>
  <c r="D20" i="11"/>
  <c r="J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E33" i="11"/>
  <c r="G33" i="11"/>
  <c r="D34" i="11"/>
  <c r="H34" i="11" s="1"/>
  <c r="E34" i="11"/>
  <c r="G34" i="11"/>
  <c r="D42" i="11"/>
  <c r="H42" i="11" s="1"/>
  <c r="E42" i="11"/>
  <c r="G42" i="11"/>
  <c r="D43" i="11"/>
  <c r="J43" i="11" s="1"/>
  <c r="E43" i="11"/>
  <c r="G43" i="11"/>
  <c r="I44" i="11"/>
  <c r="D45" i="11"/>
  <c r="J45" i="11" s="1"/>
  <c r="E45" i="11"/>
  <c r="G45" i="11"/>
  <c r="K137" i="11" l="1"/>
  <c r="F63" i="11"/>
  <c r="F56" i="11"/>
  <c r="I56" i="11" s="1"/>
  <c r="F64" i="11"/>
  <c r="I64" i="11" s="1"/>
  <c r="F65" i="11"/>
  <c r="J65" i="11" s="1"/>
  <c r="F57" i="11"/>
  <c r="I57" i="11" s="1"/>
  <c r="F58" i="11"/>
  <c r="I58" i="11" s="1"/>
  <c r="I62" i="11"/>
  <c r="J46" i="11"/>
  <c r="I54" i="11"/>
  <c r="I50" i="11"/>
  <c r="H49" i="11"/>
  <c r="J48" i="11"/>
  <c r="I46" i="11"/>
  <c r="J59" i="11"/>
  <c r="I65" i="11"/>
  <c r="H62" i="11"/>
  <c r="I61" i="11"/>
  <c r="I60" i="11"/>
  <c r="H58" i="11"/>
  <c r="H54" i="11"/>
  <c r="I53" i="11"/>
  <c r="I52" i="11"/>
  <c r="I49" i="11"/>
  <c r="I48" i="11"/>
  <c r="J64" i="11"/>
  <c r="J61" i="11"/>
  <c r="H60" i="11"/>
  <c r="I59" i="11"/>
  <c r="H57" i="11"/>
  <c r="J56" i="11"/>
  <c r="J53" i="11"/>
  <c r="H52" i="11"/>
  <c r="I51" i="11"/>
  <c r="I66" i="11"/>
  <c r="H50" i="11"/>
  <c r="I63" i="11"/>
  <c r="I55" i="11"/>
  <c r="I47" i="11"/>
  <c r="J66" i="11"/>
  <c r="H63" i="11"/>
  <c r="H59" i="11"/>
  <c r="H55" i="11"/>
  <c r="H51" i="11"/>
  <c r="H47" i="11"/>
  <c r="I15" i="11"/>
  <c r="H15" i="11"/>
  <c r="I16" i="11"/>
  <c r="H16" i="11"/>
  <c r="J19" i="11"/>
  <c r="I19" i="11"/>
  <c r="J17" i="11"/>
  <c r="I17" i="11"/>
  <c r="H17" i="11"/>
  <c r="I24" i="11"/>
  <c r="J26" i="11"/>
  <c r="I20" i="11"/>
  <c r="J42" i="11"/>
  <c r="J34" i="11"/>
  <c r="I28" i="11"/>
  <c r="J27" i="11"/>
  <c r="J30" i="11"/>
  <c r="J23" i="11"/>
  <c r="J22" i="11"/>
  <c r="H20" i="11"/>
  <c r="I32" i="11"/>
  <c r="H24" i="11"/>
  <c r="H28" i="11"/>
  <c r="I43" i="11"/>
  <c r="H43" i="11"/>
  <c r="J31" i="11"/>
  <c r="I42" i="11"/>
  <c r="J33" i="11"/>
  <c r="I31" i="11"/>
  <c r="I27" i="11"/>
  <c r="I23" i="11"/>
  <c r="H32" i="11"/>
  <c r="I34" i="11"/>
  <c r="I33" i="11"/>
  <c r="I30" i="11"/>
  <c r="I29" i="11"/>
  <c r="I26" i="11"/>
  <c r="I25" i="11"/>
  <c r="I22" i="11"/>
  <c r="I21" i="11"/>
  <c r="I45" i="11"/>
  <c r="H44" i="11"/>
  <c r="H33" i="11"/>
  <c r="H29" i="11"/>
  <c r="H25" i="11"/>
  <c r="H21" i="11"/>
  <c r="J44" i="11"/>
  <c r="H45" i="11"/>
  <c r="D16" i="60"/>
  <c r="K58" i="11" l="1"/>
  <c r="K57" i="11"/>
  <c r="K49" i="11"/>
  <c r="K60" i="11"/>
  <c r="K59" i="11"/>
  <c r="K48" i="11"/>
  <c r="K53" i="11"/>
  <c r="K62" i="11"/>
  <c r="K63" i="11"/>
  <c r="K52" i="11"/>
  <c r="K46" i="11"/>
  <c r="K51" i="11"/>
  <c r="K66" i="11"/>
  <c r="K50" i="11"/>
  <c r="K56" i="11"/>
  <c r="K61" i="11"/>
  <c r="K54" i="11"/>
  <c r="K65" i="11"/>
  <c r="K64" i="11"/>
  <c r="K47" i="11"/>
  <c r="K55" i="11"/>
  <c r="K15" i="11"/>
  <c r="K16" i="11"/>
  <c r="K26" i="11"/>
  <c r="K19" i="11"/>
  <c r="K31" i="11"/>
  <c r="K17" i="11"/>
  <c r="K42" i="11"/>
  <c r="K24" i="11"/>
  <c r="K34" i="11"/>
  <c r="K20" i="11"/>
  <c r="K30" i="11"/>
  <c r="K25" i="11"/>
  <c r="K28" i="11"/>
  <c r="K22" i="11"/>
  <c r="K27" i="11"/>
  <c r="K43" i="11"/>
  <c r="K33" i="11"/>
  <c r="K23" i="11"/>
  <c r="K21" i="11"/>
  <c r="K32" i="11"/>
  <c r="K45" i="11"/>
  <c r="K29" i="11"/>
  <c r="K44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38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38" i="11"/>
  <c r="D139" i="11"/>
  <c r="H139" i="11" s="1"/>
  <c r="E139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39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46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38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39" i="11"/>
  <c r="I139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139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141" i="11"/>
  <c r="H142" i="11" s="1"/>
  <c r="I141" i="11"/>
  <c r="I142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20" i="29" l="1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43" i="11"/>
  <c r="I143" i="11"/>
  <c r="F364" i="29"/>
  <c r="F69" i="39"/>
  <c r="F72" i="39"/>
  <c r="F367" i="29"/>
  <c r="J138" i="11"/>
  <c r="K138" i="11" s="1"/>
  <c r="K141" i="11" s="1"/>
  <c r="K142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41" i="11"/>
  <c r="J142" i="11" s="1"/>
  <c r="K143" i="11"/>
  <c r="B14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43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10" i="41" l="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<sst xmlns="http://schemas.openxmlformats.org/spreadsheetml/2006/main" count="4829" uniqueCount="1651">
  <si>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</si>
  <si>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</si>
  <si>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</si>
  <si>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</si>
  <si>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</si>
  <si>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</si>
  <si>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</si>
  <si>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</si>
  <si>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</si>
  <si>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</si>
  <si>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</si>
  <si>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</si>
  <si>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</si>
  <si>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</si>
  <si>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</si>
  <si>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</si>
  <si>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</si>
  <si>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</si>
  <si>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</si>
  <si>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</si>
  <si>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</si>
  <si>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</si>
  <si>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</si>
  <si>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</si>
  <si>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</si>
  <si>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</si>
  <si>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</si>
  <si>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</si>
  <si>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</si>
  <si>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</si>
  <si>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</si>
  <si>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</si>
  <si>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</si>
  <si>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</si>
  <si>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</si>
  <si>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</si>
  <si>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</si>
  <si>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</si>
  <si>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</si>
  <si>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</si>
  <si>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</si>
  <si>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</si>
  <si>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</si>
  <si>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</si>
  <si>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</si>
  <si>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</si>
  <si>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</si>
  <si>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</si>
  <si>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</si>
  <si>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</si>
  <si>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</si>
  <si>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</si>
  <si>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</si>
  <si>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</si>
  <si>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</si>
  <si>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</si>
  <si>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</si>
  <si>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</si>
  <si>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</si>
  <si>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</si>
  <si>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</si>
  <si>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</si>
  <si>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</si>
  <si>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</si>
  <si>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</si>
  <si>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</si>
  <si>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</si>
  <si>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</si>
  <si>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</si>
  <si>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</si>
  <si>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</si>
  <si>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</si>
  <si>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</si>
  <si>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</si>
  <si>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</si>
  <si>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</si>
  <si>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</si>
  <si>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</si>
  <si>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</si>
  <si>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</si>
  <si>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</si>
  <si>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</si>
  <si>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</si>
  <si>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</si>
  <si>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</si>
  <si>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</si>
  <si>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</si>
  <si>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</si>
  <si>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</si>
  <si>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</si>
  <si>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</si>
  <si>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</si>
  <si>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</si>
  <si>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</si>
  <si>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</si>
  <si>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</si>
  <si>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</si>
  <si>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</si>
  <si>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</si>
  <si>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</si>
  <si>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</si>
  <si>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</si>
  <si>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</si>
  <si>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</si>
  <si>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</si>
  <si>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</si>
  <si>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</si>
  <si>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</si>
  <si>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</si>
  <si>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</si>
  <si>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</si>
  <si>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</si>
  <si>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</si>
  <si>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</si>
  <si>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</si>
  <si>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</si>
  <si>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</si>
  <si>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</si>
  <si>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</si>
  <si>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</si>
  <si>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</si>
  <si>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</si>
  <si>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</si>
  <si>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</si>
  <si>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</si>
  <si>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</si>
  <si>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</si>
  <si>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</si>
  <si>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</si>
  <si>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</si>
  <si>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</si>
  <si>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</si>
  <si>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</si>
  <si>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</si>
  <si>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</si>
  <si>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</si>
  <si>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</si>
  <si>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</si>
  <si>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</si>
  <si>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</si>
  <si>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</si>
  <si>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</si>
  <si>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</si>
  <si>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</si>
  <si>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</si>
  <si>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</si>
  <si>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</si>
  <si>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</si>
  <si>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</si>
  <si>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</si>
  <si>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</si>
  <si>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</si>
  <si>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</si>
  <si>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</si>
  <si>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</si>
  <si>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</si>
  <si>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</si>
  <si>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</si>
  <si>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</si>
  <si>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</si>
  <si>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</si>
  <si>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</si>
  <si>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</si>
  <si>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</si>
  <si>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</si>
  <si>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</si>
  <si>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</si>
  <si>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</si>
  <si>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</si>
  <si>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</si>
  <si>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</si>
  <si>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</si>
  <si>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</si>
  <si>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</si>
  <si>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</si>
  <si>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</si>
  <si>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</si>
  <si>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</si>
  <si>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</si>
  <si>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</si>
  <si>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</si>
  <si>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</si>
  <si>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</si>
  <si>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</si>
  <si>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</si>
  <si>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</si>
  <si>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</si>
  <si>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</si>
  <si>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</si>
  <si>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</si>
  <si>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</si>
  <si>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</si>
  <si>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</si>
  <si>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</si>
  <si>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</si>
  <si>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</si>
  <si>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</si>
  <si>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</si>
  <si>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</si>
  <si>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</si>
  <si>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</si>
  <si>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</si>
  <si>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</si>
  <si>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</si>
  <si>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</si>
  <si>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</si>
  <si>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</si>
  <si>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</si>
  <si>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</si>
  <si>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</si>
  <si>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</si>
  <si>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</si>
  <si>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</si>
  <si>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</si>
  <si>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</si>
  <si>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</si>
  <si>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</si>
  <si>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</si>
  <si>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</si>
  <si>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</si>
  <si>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</si>
  <si>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</si>
  <si>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</si>
  <si>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</si>
  <si>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</si>
  <si>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</si>
  <si>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</si>
  <si>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</si>
  <si>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</si>
  <si>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</si>
  <si>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</si>
  <si>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</si>
  <si>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</si>
  <si>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</si>
  <si>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</si>
  <si>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</si>
  <si>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</si>
  <si>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</si>
  <si>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</si>
  <si>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</si>
  <si>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</si>
  <si>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</si>
  <si>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</si>
  <si>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</si>
  <si>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</si>
  <si>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</si>
  <si>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</si>
  <si>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</si>
  <si>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</si>
  <si>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</si>
  <si>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</si>
  <si>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</si>
  <si>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</si>
  <si>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</si>
  <si>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</si>
  <si>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</si>
  <si>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</si>
  <si>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</si>
  <si>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</si>
  <si>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</si>
  <si>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</si>
  <si>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</si>
  <si>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</si>
  <si>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</si>
  <si>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</si>
  <si>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</si>
  <si>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</si>
  <si>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</si>
  <si>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</si>
  <si>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</si>
  <si>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</si>
  <si>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</si>
  <si>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</si>
  <si>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</si>
  <si>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</si>
  <si>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</si>
  <si>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</si>
  <si>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</si>
  <si>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</si>
  <si>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</si>
  <si>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</si>
  <si>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</si>
  <si>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</si>
  <si>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</si>
  <si>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</si>
  <si>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</si>
  <si>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</si>
  <si>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</si>
  <si>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</si>
  <si>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</si>
  <si>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</si>
  <si>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</si>
  <si>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</si>
  <si>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</si>
  <si>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</si>
  <si>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</si>
  <si>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</si>
  <si>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</si>
  <si>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</si>
  <si>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</si>
  <si>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</si>
  <si>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</si>
  <si>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</si>
  <si>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</si>
  <si>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</si>
  <si>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</si>
  <si>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</si>
  <si>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</si>
  <si>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</si>
  <si>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</si>
  <si>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</si>
  <si>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</si>
  <si>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</si>
  <si>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</si>
  <si>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</si>
  <si>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</si>
  <si>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</si>
  <si>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</si>
  <si>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</si>
  <si>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</si>
  <si>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</si>
  <si>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</si>
  <si>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</si>
  <si>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</si>
  <si>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</si>
  <si>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</si>
  <si>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</si>
  <si>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</si>
  <si>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</si>
  <si>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</si>
  <si>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</si>
  <si>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</si>
  <si>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</si>
  <si>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</si>
  <si>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</si>
  <si>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</si>
  <si>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</si>
  <si>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</si>
  <si>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</si>
  <si>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</si>
  <si>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</si>
  <si>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</si>
  <si>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</si>
  <si>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</si>
  <si>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</si>
  <si>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</si>
  <si>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</si>
  <si>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</si>
  <si>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</si>
  <si>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</si>
  <si>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</si>
  <si>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</si>
  <si>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</si>
  <si>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</si>
  <si>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</si>
  <si>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</si>
  <si>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</si>
  <si>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</si>
  <si>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</si>
  <si>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</si>
  <si>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</si>
  <si>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</si>
  <si>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</si>
  <si>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</si>
  <si>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</si>
  <si>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</si>
  <si>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</si>
  <si>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</si>
  <si>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</si>
  <si>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</si>
  <si>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</si>
  <si>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</si>
  <si>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</si>
  <si>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</si>
  <si>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</si>
  <si>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</si>
  <si>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</si>
  <si>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</si>
  <si>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</si>
  <si>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</si>
  <si>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</si>
  <si>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</si>
  <si>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</si>
  <si>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</si>
  <si>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</si>
  <si>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</si>
  <si>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</si>
  <si>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</si>
  <si>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</si>
  <si>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</si>
  <si>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</si>
  <si>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</si>
  <si>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</si>
  <si>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</si>
  <si>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</si>
  <si>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</si>
  <si>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</si>
  <si>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</si>
  <si>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</si>
  <si>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</si>
  <si>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</si>
  <si>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</si>
  <si>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</si>
  <si>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</si>
  <si>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</si>
  <si>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</si>
  <si>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</si>
  <si>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</si>
  <si>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</si>
  <si>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</si>
  <si>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</si>
  <si>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</si>
  <si>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</si>
  <si>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</si>
  <si>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</si>
  <si>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</si>
  <si>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</si>
  <si>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</si>
  <si>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</si>
  <si>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</si>
  <si>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</si>
  <si>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</si>
  <si>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</si>
  <si>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</si>
  <si>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</si>
  <si>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</si>
  <si>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</si>
  <si>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</si>
  <si>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</si>
  <si>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</si>
  <si>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</si>
  <si>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</si>
  <si>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</si>
  <si>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</si>
  <si>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</si>
  <si>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</si>
  <si>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</si>
  <si>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</si>
  <si>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</si>
  <si>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</si>
  <si>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</si>
  <si>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</si>
  <si>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</si>
  <si>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</si>
  <si>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</si>
  <si>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</si>
  <si>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</si>
  <si>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</si>
  <si>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</si>
  <si>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</si>
  <si>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</si>
  <si>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</si>
  <si>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</si>
  <si>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</si>
  <si>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</si>
  <si>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</si>
  <si>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</si>
  <si>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</si>
  <si>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</si>
  <si>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</si>
  <si>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</si>
  <si>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</si>
  <si>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</si>
  <si>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</si>
  <si>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</si>
  <si>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</si>
  <si>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</si>
  <si>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</si>
  <si>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</si>
  <si>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</si>
  <si>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</si>
  <si>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</si>
  <si>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</si>
  <si>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</si>
  <si>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</si>
  <si>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</si>
  <si>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</si>
  <si>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</si>
  <si>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</si>
  <si>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</si>
  <si>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</si>
  <si>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</si>
  <si>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</si>
  <si>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</si>
  <si>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</si>
  <si>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</si>
  <si>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</si>
  <si>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</si>
  <si>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</si>
  <si>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</si>
  <si>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</si>
  <si>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</si>
  <si>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</si>
  <si>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</si>
  <si>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</si>
  <si>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</si>
  <si>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</si>
  <si>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</si>
  <si>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</si>
  <si>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</si>
  <si>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</si>
  <si>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</si>
  <si>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</si>
  <si>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</si>
  <si>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</si>
  <si>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</si>
  <si>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</si>
  <si>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</si>
  <si>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</si>
  <si>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</si>
  <si>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</si>
  <si>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</si>
  <si>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</si>
  <si>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</si>
  <si>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</si>
  <si>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</si>
  <si>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</si>
  <si>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</si>
  <si>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</si>
  <si>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</si>
  <si>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</si>
  <si>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</si>
  <si>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</si>
  <si>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</si>
  <si>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</si>
  <si>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</si>
  <si>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</si>
  <si>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</si>
  <si>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</si>
  <si>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</si>
  <si>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</si>
  <si>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</si>
  <si>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</si>
  <si>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</si>
  <si>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</si>
  <si>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</si>
  <si>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</si>
  <si>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</si>
  <si>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</si>
  <si>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</si>
  <si>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</si>
  <si>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</si>
  <si>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</si>
  <si>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</si>
  <si>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</si>
  <si>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</si>
  <si>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</si>
  <si>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</si>
  <si>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</si>
  <si>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</si>
  <si>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</si>
  <si>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</si>
  <si>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</si>
  <si>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</si>
  <si>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</si>
  <si>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</si>
  <si>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</si>
  <si>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</si>
  <si>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</si>
  <si>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</si>
  <si>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</si>
  <si>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</si>
  <si>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</si>
  <si>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</si>
  <si>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</si>
  <si>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</si>
  <si>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</si>
  <si>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</si>
  <si>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</si>
  <si>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</si>
  <si>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</si>
  <si>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</si>
  <si>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</si>
  <si>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</si>
  <si>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</si>
  <si>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</si>
  <si>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</si>
  <si>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</si>
  <si>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</si>
  <si>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</si>
  <si>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</si>
  <si>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</si>
  <si>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</si>
  <si>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</si>
  <si>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</si>
  <si>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</si>
  <si>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</si>
  <si>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</si>
  <si>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</si>
  <si>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</si>
  <si>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</si>
  <si>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</si>
  <si>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</si>
  <si>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</si>
  <si>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</si>
  <si>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</si>
  <si>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</si>
  <si>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</si>
  <si>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</si>
  <si>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</si>
  <si>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</si>
  <si>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</si>
  <si>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</si>
  <si>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</si>
  <si>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</si>
  <si>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</si>
  <si>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</si>
  <si>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</si>
  <si>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</si>
  <si>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</si>
  <si>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</si>
  <si>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</si>
  <si>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</si>
  <si>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</si>
  <si>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</si>
  <si>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</si>
  <si>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</si>
  <si>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</si>
  <si>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</si>
  <si>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</si>
  <si>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</si>
  <si>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</si>
  <si>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</si>
  <si>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</si>
  <si>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</si>
  <si>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</si>
  <si>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</si>
  <si>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</si>
  <si>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</si>
  <si>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</si>
  <si>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</si>
  <si>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</si>
  <si>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</si>
  <si>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</si>
  <si>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</si>
  <si>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</si>
  <si>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</si>
  <si>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</si>
  <si>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</si>
  <si>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</si>
  <si>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</si>
  <si>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</si>
  <si>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</si>
  <si>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</si>
  <si>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</si>
  <si>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</si>
  <si>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</si>
  <si>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</si>
  <si>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</si>
  <si>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</si>
  <si>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</si>
  <si>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</si>
  <si>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</si>
  <si>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</si>
  <si>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</si>
  <si>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</si>
  <si>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</si>
  <si>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</si>
  <si>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</si>
  <si>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</si>
  <si>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</si>
  <si>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</si>
  <si>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</si>
  <si>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</si>
  <si>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</si>
  <si>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</si>
  <si>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</si>
  <si>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</si>
  <si>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</si>
  <si>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</si>
  <si>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</si>
  <si>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</si>
  <si>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</si>
  <si>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</si>
  <si>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</si>
  <si>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</si>
  <si>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</si>
  <si>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</si>
  <si>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</si>
  <si>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</si>
  <si>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</si>
  <si>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</si>
  <si>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</si>
  <si>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</si>
  <si>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</si>
  <si>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</si>
  <si>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</si>
  <si>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</si>
  <si>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</si>
  <si>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</si>
  <si>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</si>
  <si>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</si>
  <si>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</si>
  <si>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</si>
  <si>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</si>
  <si>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</si>
  <si>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</si>
  <si>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</si>
  <si>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</si>
  <si>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</si>
  <si>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</si>
  <si>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</si>
  <si>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</si>
  <si>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</si>
  <si>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</si>
  <si>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</si>
  <si>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</si>
  <si>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</si>
  <si>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</si>
  <si>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</si>
  <si>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</si>
  <si>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</si>
  <si>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</si>
  <si>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</si>
  <si>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</si>
  <si>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</si>
  <si>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</si>
  <si>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</si>
  <si>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</si>
  <si>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</si>
  <si>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</si>
  <si>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</si>
  <si>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</si>
  <si>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</si>
  <si>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</si>
  <si>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</si>
  <si>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</si>
  <si>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</si>
  <si>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</si>
  <si>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</si>
  <si>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</si>
  <si>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</si>
  <si>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</si>
  <si>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</si>
  <si>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</si>
  <si>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</si>
  <si>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</si>
  <si>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</si>
  <si>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</si>
  <si>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</si>
  <si>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</si>
  <si>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</si>
  <si>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</si>
  <si>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</si>
  <si>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</si>
  <si>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</si>
  <si>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</si>
  <si>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</si>
  <si>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</si>
  <si>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</si>
  <si>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</si>
  <si>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</si>
  <si>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</si>
  <si>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</si>
  <si>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</si>
  <si>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</si>
  <si>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</si>
  <si>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</si>
  <si>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</si>
  <si>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</si>
  <si>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</si>
  <si>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</si>
  <si>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</si>
  <si>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</si>
  <si>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</si>
  <si>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</si>
  <si>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</si>
  <si>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</si>
  <si>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</si>
  <si>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</si>
  <si>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</si>
  <si>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</si>
  <si>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</si>
  <si>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</si>
  <si>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</si>
  <si>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</si>
  <si>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</si>
  <si>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</si>
  <si>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</si>
  <si>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</si>
  <si>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</si>
  <si>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</si>
  <si>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</si>
  <si>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</si>
  <si>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</si>
  <si>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</si>
  <si>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</si>
  <si>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</si>
  <si>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</si>
  <si>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</si>
  <si>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</si>
  <si>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</si>
  <si>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</si>
  <si>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</si>
  <si>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</si>
  <si>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</si>
  <si>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</si>
  <si>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</si>
  <si>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</si>
  <si>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</si>
  <si>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</si>
  <si>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</si>
  <si>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</si>
  <si>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</si>
  <si>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</si>
  <si>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</si>
  <si>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</si>
  <si>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</si>
  <si>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</si>
  <si>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</si>
  <si>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</si>
  <si>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</si>
  <si>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</si>
  <si>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</si>
  <si>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</si>
  <si>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</si>
  <si>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</si>
  <si>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</si>
  <si>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</si>
  <si>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</si>
  <si>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</si>
  <si>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</si>
  <si>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</si>
  <si>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</si>
  <si>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</si>
  <si>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</si>
  <si>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</si>
  <si>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</si>
  <si>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</si>
  <si>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</si>
  <si>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</si>
  <si>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</si>
  <si>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</si>
  <si>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</si>
  <si>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</si>
  <si>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</si>
  <si>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</si>
  <si>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</si>
  <si>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</si>
  <si>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</si>
  <si>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</si>
  <si>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</si>
  <si>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</si>
  <si>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</si>
  <si>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</si>
  <si>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</si>
  <si>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</si>
  <si>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</si>
  <si>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</si>
  <si>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</si>
  <si>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</si>
  <si>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</si>
  <si>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</si>
  <si>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</si>
  <si>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</si>
  <si>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</si>
  <si>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</si>
  <si>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</si>
  <si>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</si>
  <si>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</si>
  <si>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</si>
  <si>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</si>
  <si>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</si>
  <si>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</si>
  <si>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</si>
  <si>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</si>
  <si>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</si>
  <si>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</si>
  <si>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</si>
  <si>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</si>
  <si>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</si>
  <si>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</si>
  <si>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</si>
  <si>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</si>
  <si>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</si>
  <si>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</si>
  <si>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</si>
  <si>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</si>
  <si>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</si>
  <si>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</si>
  <si>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</si>
  <si>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</si>
  <si>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</si>
  <si>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</si>
  <si>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</si>
  <si>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</si>
  <si>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</si>
  <si>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</si>
  <si>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</si>
  <si>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</si>
  <si>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</si>
  <si>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</si>
  <si>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</si>
  <si>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</si>
  <si>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</si>
  <si>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</si>
  <si>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</si>
  <si>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</si>
  <si>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</si>
  <si>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</si>
  <si>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</si>
  <si>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</si>
  <si>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</si>
  <si>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</si>
  <si>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</si>
  <si>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</si>
  <si>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</si>
  <si>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</si>
  <si>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</si>
  <si>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</si>
  <si>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</si>
  <si>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</si>
  <si>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</si>
  <si>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</si>
  <si>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</si>
  <si>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</si>
  <si>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</si>
  <si>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</si>
  <si>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</si>
  <si>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</si>
  <si>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</si>
  <si>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</si>
  <si>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</si>
  <si>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</si>
  <si>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</si>
  <si>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</si>
  <si>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</si>
  <si>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</si>
  <si>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</si>
  <si>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</si>
  <si>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</si>
  <si>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</si>
  <si>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</si>
  <si>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</si>
  <si>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</si>
  <si>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</si>
  <si>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</si>
  <si>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</si>
  <si>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</si>
  <si>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</si>
  <si>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</si>
  <si>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</si>
  <si>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</si>
  <si>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</si>
  <si>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</si>
  <si>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</si>
  <si>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</si>
  <si>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</si>
  <si>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</si>
  <si>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</si>
  <si>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</si>
  <si>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</si>
  <si>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</si>
  <si>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</si>
  <si>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</si>
  <si>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</si>
  <si>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</si>
  <si>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</si>
  <si>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</si>
  <si>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</si>
  <si>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</si>
  <si>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</si>
  <si>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</si>
  <si>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</si>
  <si>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</si>
  <si>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</si>
  <si>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</si>
  <si>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</si>
  <si>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</si>
  <si>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</si>
  <si>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</si>
  <si>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</si>
  <si>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</si>
  <si>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</si>
  <si>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</si>
  <si>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</si>
  <si>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</si>
  <si>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</si>
  <si>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</si>
  <si>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</si>
  <si>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</si>
  <si>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</si>
  <si>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</si>
  <si>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</si>
  <si>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</si>
  <si>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</si>
  <si>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</si>
  <si>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</si>
  <si>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</si>
  <si>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</si>
  <si>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</si>
  <si>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</si>
  <si>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</si>
  <si>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</si>
  <si>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</si>
  <si>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</si>
  <si>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</si>
  <si>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</si>
  <si>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</si>
  <si>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</si>
  <si>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</si>
  <si>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</si>
  <si>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</si>
  <si>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</si>
  <si>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</si>
  <si>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</si>
  <si>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</si>
  <si>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</si>
  <si>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</si>
  <si>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</si>
  <si>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</si>
  <si>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</si>
  <si>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</si>
  <si>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</si>
  <si>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</si>
  <si>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</si>
  <si>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</si>
  <si>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</si>
  <si>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</si>
  <si>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</si>
  <si>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</si>
  <si>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</si>
  <si>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</si>
  <si>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</si>
  <si>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</si>
  <si>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</si>
  <si>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</si>
  <si>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</si>
  <si>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</si>
  <si>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</si>
  <si>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</si>
  <si>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</si>
  <si>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</si>
  <si>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</si>
  <si>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</si>
  <si>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</si>
  <si>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</si>
  <si>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</si>
  <si>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</si>
  <si>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</si>
  <si>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</si>
  <si>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</si>
  <si>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</si>
  <si>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</si>
  <si>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</si>
  <si>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</si>
  <si>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</si>
  <si>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</si>
  <si>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</si>
  <si>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</si>
  <si>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</si>
  <si>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</si>
  <si>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</si>
  <si>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</si>
  <si>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</si>
  <si>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</si>
  <si>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</si>
  <si>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</si>
  <si>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</si>
  <si>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</si>
  <si>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</si>
  <si>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</si>
  <si>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</si>
  <si>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</si>
  <si>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</si>
  <si>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</si>
  <si>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</si>
  <si>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</si>
  <si>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</si>
  <si>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</si>
  <si>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</si>
  <si>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</si>
  <si>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</si>
  <si>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</si>
  <si>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</si>
  <si>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</si>
  <si>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</si>
  <si>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</si>
  <si>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</si>
  <si>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</si>
  <si>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</si>
  <si>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</si>
  <si>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</si>
  <si>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</si>
  <si>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</si>
  <si>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</si>
  <si>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</si>
  <si>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</si>
  <si>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</si>
  <si>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</si>
  <si>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</si>
  <si>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</si>
  <si>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</si>
  <si>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</si>
  <si>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</si>
  <si>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</si>
  <si>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</si>
  <si>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</si>
  <si>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</si>
  <si>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</si>
  <si>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</si>
  <si>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</si>
  <si>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</si>
  <si>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</si>
  <si>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</si>
  <si>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</si>
  <si>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</si>
  <si>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</si>
  <si>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</si>
  <si>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</si>
  <si>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</si>
  <si>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</si>
  <si>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</si>
  <si>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</si>
  <si>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</si>
  <si>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</si>
  <si>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</si>
  <si>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</si>
  <si>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</si>
  <si>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</si>
  <si>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</si>
  <si>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</si>
  <si>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</si>
  <si>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</si>
  <si>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</si>
  <si>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</si>
  <si>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</si>
  <si>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</si>
  <si>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</si>
  <si>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</si>
  <si>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</si>
  <si>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</si>
  <si>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</si>
  <si>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</si>
  <si>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</si>
  <si>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</si>
  <si>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</si>
  <si>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</si>
  <si>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</si>
  <si>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</si>
  <si>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</si>
  <si>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</si>
  <si>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</si>
  <si>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</si>
  <si>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</si>
  <si>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</si>
  <si>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</si>
  <si>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</si>
  <si>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</si>
  <si>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</si>
  <si>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</si>
  <si>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</si>
  <si>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</si>
  <si>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</si>
  <si>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</si>
  <si>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</si>
  <si>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</si>
  <si>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</si>
  <si>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</si>
  <si>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</si>
  <si>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</si>
  <si>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</si>
  <si>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</si>
  <si>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</si>
  <si>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</si>
  <si>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</si>
  <si>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</si>
  <si>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</si>
  <si>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</si>
  <si>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</si>
  <si>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</si>
  <si>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</si>
  <si>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</si>
  <si>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</si>
  <si>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</si>
  <si>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</si>
  <si>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</si>
  <si>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</si>
  <si>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</si>
  <si>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</si>
  <si>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</si>
  <si>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</si>
  <si>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</si>
  <si>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</si>
  <si>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</si>
  <si>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</si>
  <si>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</si>
  <si>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</si>
  <si>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</si>
  <si>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</si>
  <si>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</si>
  <si>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</si>
  <si>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</si>
  <si>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</si>
  <si>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</si>
  <si>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</si>
  <si>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</si>
  <si>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</si>
  <si>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</si>
  <si>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</si>
  <si>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</si>
  <si>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</si>
  <si>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</si>
  <si>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</si>
  <si>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</si>
  <si>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</si>
  <si>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</si>
  <si>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</si>
  <si>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</si>
  <si>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</si>
  <si>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</si>
  <si>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</si>
  <si>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</si>
  <si>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</si>
  <si>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</si>
  <si>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</si>
  <si>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</si>
  <si>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</si>
  <si>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</si>
  <si>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</si>
  <si>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</si>
  <si>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</si>
  <si>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</si>
  <si>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</si>
  <si>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</si>
  <si>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</si>
  <si>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</si>
  <si>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</si>
  <si>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</si>
  <si>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</si>
  <si>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</si>
  <si>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</si>
  <si>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</si>
  <si>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</si>
  <si>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</si>
  <si>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</si>
  <si>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</si>
  <si>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</si>
  <si>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</si>
  <si>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</si>
  <si>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</si>
  <si>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</si>
  <si>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</si>
  <si>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</si>
  <si>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</si>
  <si>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</si>
  <si>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</si>
  <si>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</si>
  <si>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</si>
  <si>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</si>
  <si>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</si>
  <si>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</si>
  <si>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</si>
  <si>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</si>
  <si>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</si>
  <si>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</si>
  <si>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</si>
  <si>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</si>
  <si>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</si>
  <si>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</si>
  <si>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</si>
  <si>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</si>
  <si>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</si>
  <si>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</si>
  <si>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</si>
  <si>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</si>
  <si>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</si>
  <si>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</si>
  <si>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</si>
  <si>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</si>
  <si>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</si>
  <si>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</si>
  <si>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</si>
  <si>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</si>
  <si>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</si>
  <si>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</si>
  <si>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</si>
  <si>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</si>
  <si>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</si>
  <si>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</si>
  <si>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</si>
  <si>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</si>
  <si>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</si>
  <si>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</si>
  <si>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</si>
  <si>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</si>
  <si>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</si>
  <si>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</si>
  <si>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</si>
  <si>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</si>
  <si>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</si>
  <si>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</si>
  <si>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</si>
  <si>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</si>
  <si>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</si>
  <si>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</si>
  <si>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</si>
  <si>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</si>
  <si>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</si>
  <si>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</si>
  <si>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</si>
  <si>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</si>
  <si>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</si>
  <si>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</si>
  <si>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</si>
  <si>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</si>
  <si>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</si>
  <si>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</si>
  <si>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</si>
  <si>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</si>
  <si>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</si>
  <si>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</si>
  <si>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</si>
  <si>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</si>
  <si>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</si>
  <si>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</si>
  <si>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</si>
  <si>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</si>
  <si>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</si>
  <si>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</si>
  <si>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</si>
  <si>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</si>
  <si>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</si>
  <si>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</si>
  <si>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</si>
  <si>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</si>
  <si>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</si>
  <si>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</si>
  <si>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</si>
  <si>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</si>
  <si>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</si>
  <si>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</si>
  <si>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</si>
  <si>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</si>
  <si>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</si>
  <si>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</si>
  <si>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</si>
  <si>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</si>
  <si>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</si>
  <si>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</si>
  <si>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</si>
  <si>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</si>
  <si>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</si>
  <si>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</si>
  <si>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</si>
  <si>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</si>
  <si>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</si>
  <si>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</si>
  <si>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</si>
  <si>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</si>
  <si>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</si>
  <si>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</si>
  <si>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</si>
  <si>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</si>
  <si>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</si>
  <si>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</si>
  <si>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</si>
  <si>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</si>
  <si>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</si>
  <si>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</si>
  <si>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</si>
  <si>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</si>
  <si>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</si>
  <si>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</si>
  <si>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</si>
  <si>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</si>
  <si>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</si>
  <si>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</si>
  <si>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</si>
  <si>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</si>
  <si>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</si>
  <si>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</si>
  <si>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</si>
  <si>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</si>
  <si>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</si>
  <si>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</si>
  <si>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</si>
  <si>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</si>
  <si>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</si>
  <si>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</si>
  <si>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</si>
  <si>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</si>
  <si>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</si>
  <si>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</si>
  <si>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</si>
  <si>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</si>
  <si>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</si>
  <si>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</si>
  <si>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</si>
  <si>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</si>
  <si>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</si>
  <si>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</si>
  <si>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</si>
  <si>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</si>
  <si>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</si>
  <si>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</si>
  <si>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</si>
  <si>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</si>
  <si>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</si>
  <si>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</si>
  <si>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</si>
  <si>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</si>
  <si>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</si>
  <si>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</si>
  <si>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</si>
  <si>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</si>
  <si>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</si>
  <si>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</si>
  <si>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</si>
  <si>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</si>
  <si>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</si>
  <si>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</si>
  <si>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</si>
  <si>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</si>
  <si>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</si>
  <si>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</si>
  <si>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</si>
  <si>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</si>
  <si>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</si>
  <si>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</si>
  <si>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</si>
  <si>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</si>
  <si>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</si>
  <si>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</si>
  <si>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</si>
  <si>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</si>
  <si>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</si>
  <si>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</si>
  <si>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</si>
  <si>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</si>
  <si>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</si>
  <si>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</si>
  <si>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</si>
  <si>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</si>
  <si>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</si>
  <si>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</si>
  <si>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</si>
  <si>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</si>
  <si>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</si>
  <si>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</si>
  <si>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</si>
  <si>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</si>
  <si>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</si>
  <si>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</si>
  <si>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</si>
  <si>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</si>
  <si>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</si>
  <si>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</si>
  <si>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</si>
  <si>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</si>
  <si>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</si>
  <si>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</si>
  <si>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</si>
  <si>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</si>
  <si>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</si>
  <si>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</si>
  <si>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</si>
  <si>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</si>
  <si>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</si>
  <si>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</si>
  <si>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</si>
  <si>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</si>
  <si>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</si>
  <si>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</si>
  <si>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</si>
  <si>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</si>
  <si>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</si>
  <si>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</si>
  <si>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</si>
  <si>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</si>
  <si>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</si>
  <si>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</si>
  <si>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</si>
  <si>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</si>
  <si>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</si>
  <si>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</si>
  <si>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</si>
  <si>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</si>
  <si>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</si>
  <si>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</si>
  <si>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</si>
  <si>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</si>
  <si>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</si>
  <si>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</si>
  <si>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</si>
  <si>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</si>
  <si>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</si>
  <si>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</si>
  <si>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</si>
  <si>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</si>
  <si>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</si>
  <si>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</si>
  <si>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</si>
  <si>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</si>
  <si>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</si>
  <si>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</si>
  <si>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</si>
  <si>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</si>
  <si>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</si>
  <si>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</si>
  <si>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</si>
  <si>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</si>
  <si>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</si>
  <si>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</si>
  <si>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</si>
  <si>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</si>
  <si>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</si>
  <si>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</si>
  <si>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</si>
  <si>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</si>
  <si>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</si>
  <si>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</si>
  <si>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</si>
  <si>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</si>
  <si>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</si>
  <si>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</si>
  <si>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</si>
  <si>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</si>
  <si>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</si>
  <si>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</si>
  <si>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</si>
  <si>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</si>
  <si>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</si>
  <si>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</si>
  <si>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</si>
  <si>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</si>
  <si>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</si>
  <si>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</si>
  <si>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</si>
  <si>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</si>
  <si>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</si>
  <si>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</si>
  <si>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</si>
  <si>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</si>
  <si>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</si>
  <si>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</si>
  <si>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</si>
  <si>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</si>
  <si>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</si>
  <si>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</si>
  <si>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</si>
  <si>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</si>
  <si>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</si>
  <si>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</si>
  <si>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</si>
  <si>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</si>
  <si>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</si>
  <si>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</si>
  <si>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</si>
  <si>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</si>
  <si>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</si>
  <si>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</si>
  <si>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</si>
  <si>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</si>
  <si>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</si>
  <si>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</si>
  <si>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</si>
  <si>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</si>
  <si>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</si>
  <si>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</si>
  <si>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</si>
  <si>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</si>
  <si>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</si>
  <si>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</si>
  <si>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</si>
  <si>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</si>
  <si>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</si>
  <si>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</si>
  <si>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</si>
  <si>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</si>
  <si>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</si>
  <si>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</si>
  <si>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</si>
  <si>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</si>
  <si>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</si>
  <si>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</si>
  <si>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</si>
  <si>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</si>
  <si>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</si>
  <si>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</si>
  <si>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</si>
  <si>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</si>
  <si>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</si>
  <si>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</si>
  <si>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</si>
  <si>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</si>
  <si>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</si>
  <si>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</si>
  <si>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</si>
  <si>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</si>
  <si>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</si>
  <si>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</si>
  <si>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</si>
  <si>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</si>
  <si>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</si>
  <si>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</si>
  <si>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</si>
  <si>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</si>
  <si>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</si>
  <si>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</si>
  <si>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</si>
  <si>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</si>
  <si>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</si>
  <si>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</si>
  <si>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</si>
  <si>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</si>
  <si>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</si>
  <si>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</si>
  <si>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</si>
  <si>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</si>
  <si>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</si>
  <si>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</si>
  <si>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</si>
  <si>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</si>
  <si>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</si>
  <si>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</si>
  <si>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CE1-3</t>
  </si>
  <si>
    <t>F1-3</t>
  </si>
  <si>
    <t>CM2-12A</t>
  </si>
  <si>
    <t>SCHOOR</t>
  </si>
  <si>
    <t>PLN</t>
  </si>
  <si>
    <t>MJ6-T</t>
  </si>
  <si>
    <t>R3</t>
  </si>
  <si>
    <t>DS BOGORAME KEC DEMAK</t>
  </si>
  <si>
    <t>Pemasangan APP 1 Fasa Di Bangunan</t>
  </si>
  <si>
    <t>KOORDINAT : -6.899982578559648, 110.63230293700381</t>
  </si>
  <si>
    <t>KET :</t>
  </si>
  <si>
    <t>Trago excisting sdh dipakai Untuk :</t>
  </si>
  <si>
    <t>Aneka jaya : 105 + 33</t>
  </si>
  <si>
    <t>Tower : 16.5+13.2</t>
  </si>
  <si>
    <t>Total daya : 167.7 kva</t>
  </si>
  <si>
    <t>UPGRADING TRAFO</t>
  </si>
  <si>
    <t>Trafo 3 Fasa 200 KVA 2 Tiang (G313)</t>
  </si>
  <si>
    <t xml:space="preserve">Jumper Wire : </t>
  </si>
  <si>
    <t>NFA2X-T 3 x 70 + N 50 mm²</t>
  </si>
  <si>
    <t>Sepatu Kabel AL/CU Ring-70 mm²</t>
  </si>
  <si>
    <t>ATTB</t>
  </si>
  <si>
    <t>Upah Bongkar Trafo 3ph (50/100/160/200 kVA) - hanya pasang trafo tanpa set konstruksi</t>
  </si>
  <si>
    <t>Upah Pasang Trafo 3ph (50/100/160/200 kVA) - hanya pasang trafo tanpa set konstruksi</t>
  </si>
  <si>
    <t>LVCB 2 Jurusan Untuk 1 Tiang (M8-A1)</t>
  </si>
  <si>
    <t>CM2-11</t>
  </si>
  <si>
    <t>PROTEKSI</t>
  </si>
  <si>
    <t>Daya 23.000 VA</t>
  </si>
  <si>
    <t>ANIS FUADAH (BIMBEL NEURON)</t>
  </si>
  <si>
    <t>Demak, 18 JANUARI 2024</t>
  </si>
  <si>
    <t>MANAGER</t>
  </si>
  <si>
    <t>ACHMAD SUHENDRO</t>
  </si>
  <si>
    <t>STAF TEKNIK</t>
  </si>
  <si>
    <t>TL TEKNIK</t>
  </si>
  <si>
    <t>MULP</t>
  </si>
  <si>
    <t>MBAGREN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</si>
</sst>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7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7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41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" fillId="0" borderId="0"/>
    <xf numFmtId="41" fontId="23" fillId="0" borderId="0" applyFont="0" applyFill="0" applyBorder="0" applyAlignment="0" applyProtection="0"/>
    <xf numFmtId="0" fontId="7" fillId="0" borderId="0"/>
    <xf numFmtId="43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1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" fillId="0" borderId="0"/>
    <xf numFmtId="0" fontId="17" fillId="0" borderId="0"/>
    <xf numFmtId="0" fontId="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43" fontId="23" fillId="0" borderId="0" applyFont="0" applyFill="0" applyBorder="0" applyAlignment="0" applyProtection="0"/>
  </cellStyleXfs>
  <cellXfs count="726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5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5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5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7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7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167" fontId="45" fillId="0" borderId="0" xfId="1615" applyNumberFormat="1" applyFont="1" applyAlignment="1">
      <alignment horizontal="left" vertical="center"/>
    </xf>
    <xf numFmtId="167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165" fontId="97" fillId="0" borderId="0" xfId="1448" applyNumberFormat="1" applyFont="1" applyAlignment="1">
      <alignment wrapText="1"/>
    </xf>
    <xf numFmtId="165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5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5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9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4" fillId="0" borderId="0" xfId="1538"/>
    <xf numFmtId="167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167" fontId="0" fillId="0" borderId="3" xfId="1026" applyFont="1" applyFill="1" applyBorder="1" applyProtection="1"/>
    <xf numFmtId="167" fontId="114" fillId="0" borderId="3" xfId="1538" applyNumberFormat="1" applyBorder="1"/>
    <xf numFmtId="167" fontId="142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3" fillId="0" borderId="3" xfId="1538" applyFont="1" applyBorder="1"/>
    <xf numFmtId="165" fontId="114" fillId="0" borderId="3" xfId="1538" applyNumberFormat="1" applyBorder="1"/>
    <xf numFmtId="167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7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167" fontId="51" fillId="0" borderId="0" xfId="1538" applyNumberFormat="1" applyFont="1"/>
    <xf numFmtId="0" fontId="114" fillId="29" borderId="3" xfId="1538" applyFill="1" applyBorder="1"/>
    <xf numFmtId="169" fontId="114" fillId="29" borderId="3" xfId="1538" applyNumberFormat="1" applyFill="1" applyBorder="1" applyAlignment="1">
      <alignment horizontal="right"/>
    </xf>
    <xf numFmtId="43" fontId="114" fillId="0" borderId="0" xfId="1538" applyNumberFormat="1"/>
    <xf numFmtId="167" fontId="114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167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7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165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167" fontId="143" fillId="40" borderId="85" xfId="2672" applyFont="1" applyFill="1" applyBorder="1" applyAlignment="1" applyProtection="1">
      <alignment horizontal="right" vertical="center" wrapText="1"/>
      <protection locked="0"/>
    </xf>
    <xf numFmtId="167" fontId="143" fillId="40" borderId="87" xfId="2672" applyFont="1" applyFill="1" applyBorder="1" applyAlignment="1" applyProtection="1">
      <alignment horizontal="right" vertical="center"/>
      <protection locked="0"/>
    </xf>
    <xf numFmtId="169" fontId="143" fillId="40" borderId="87" xfId="2672" applyNumberFormat="1" applyFont="1" applyFill="1" applyBorder="1" applyAlignment="1" applyProtection="1">
      <alignment horizontal="right" vertical="center"/>
      <protection locked="0"/>
    </xf>
    <xf numFmtId="169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41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9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1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6" fillId="0" borderId="20" xfId="1652" applyFont="1" applyBorder="1" applyAlignment="1">
      <alignment horizontal="center" vertical="center"/>
    </xf>
    <xf numFmtId="0" fontId="130" fillId="48" borderId="21" xfId="1652" applyFont="1" applyFill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3" fontId="116" fillId="0" borderId="21" xfId="1451" applyNumberFormat="1" applyFont="1" applyBorder="1" applyAlignment="1">
      <alignment horizontal="center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17" fillId="33" borderId="0" xfId="0" applyFont="1" applyFill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23" fillId="0" borderId="21" xfId="1451" applyBorder="1" applyAlignment="1">
      <alignment horizontal="left" wrapText="1"/>
    </xf>
    <xf numFmtId="0" fontId="23" fillId="0" borderId="21" xfId="1451" applyBorder="1" applyAlignment="1">
      <alignment horizontal="left" vertical="center" wrapText="1"/>
    </xf>
    <xf numFmtId="0" fontId="46" fillId="0" borderId="21" xfId="1450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43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43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43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8" fontId="177" fillId="0" borderId="73" xfId="1450" applyNumberFormat="1" applyFont="1" applyBorder="1" applyAlignment="1">
      <alignment horizontal="left" vertical="center"/>
    </xf>
    <xf numFmtId="208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9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9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104328</xdr:colOff>
      <xdr:row>13</xdr:row>
      <xdr:rowOff>135677</xdr:rowOff>
    </xdr:from>
    <xdr:to>
      <xdr:col>8</xdr:col>
      <xdr:colOff>343101</xdr:colOff>
      <xdr:row>28</xdr:row>
      <xdr:rowOff>129864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6DD752-9D28-477B-B08C-EE2BFBC6313A}"/>
            </a:ext>
          </a:extLst>
        </xdr:cNvPr>
        <xdr:cNvSpPr/>
      </xdr:nvSpPr>
      <xdr:spPr>
        <a:xfrm rot="5400000">
          <a:off x="1666362" y="3189605"/>
          <a:ext cx="2302168" cy="238773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5653" y="813314"/>
          <a:ext cx="1486758" cy="1799199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6</xdr:col>
      <xdr:colOff>100156</xdr:colOff>
      <xdr:row>27</xdr:row>
      <xdr:rowOff>85398</xdr:rowOff>
    </xdr:from>
    <xdr:to>
      <xdr:col>15</xdr:col>
      <xdr:colOff>269328</xdr:colOff>
      <xdr:row>29</xdr:row>
      <xdr:rowOff>9529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>
          <a:off x="1932897" y="4204139"/>
          <a:ext cx="3598172" cy="226304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11</xdr:col>
      <xdr:colOff>353568</xdr:colOff>
      <xdr:row>26</xdr:row>
      <xdr:rowOff>94320</xdr:rowOff>
    </xdr:from>
    <xdr:to>
      <xdr:col>12</xdr:col>
      <xdr:colOff>88737</xdr:colOff>
      <xdr:row>27</xdr:row>
      <xdr:rowOff>53064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CB13C64E-0779-09C3-F990-3BEFEAEECFC8}"/>
            </a:ext>
          </a:extLst>
        </xdr:cNvPr>
        <xdr:cNvGrpSpPr>
          <a:grpSpLocks/>
        </xdr:cNvGrpSpPr>
      </xdr:nvGrpSpPr>
      <xdr:grpSpPr bwMode="auto">
        <a:xfrm>
          <a:off x="4091309" y="4061975"/>
          <a:ext cx="116169" cy="10983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DB437624-1297-DAEE-95AB-DB731DCFD9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0309F8A8-AF8A-62D5-A494-2F270AEBD75A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DF2F23C-9DC7-0D2B-70A9-DBBBC494833C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248053</xdr:colOff>
      <xdr:row>26</xdr:row>
      <xdr:rowOff>150625</xdr:rowOff>
    </xdr:from>
    <xdr:to>
      <xdr:col>11</xdr:col>
      <xdr:colOff>353568</xdr:colOff>
      <xdr:row>26</xdr:row>
      <xdr:rowOff>151554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56DF890-43EA-6A00-2462-D303AEACC369}"/>
            </a:ext>
          </a:extLst>
        </xdr:cNvPr>
        <xdr:cNvCxnSpPr>
          <a:stCxn id="215" idx="2"/>
          <a:endCxn id="13" idx="6"/>
        </xdr:cNvCxnSpPr>
      </xdr:nvCxnSpPr>
      <xdr:spPr>
        <a:xfrm flipH="1">
          <a:off x="3222784" y="4173106"/>
          <a:ext cx="867515" cy="92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250849</xdr:colOff>
      <xdr:row>26</xdr:row>
      <xdr:rowOff>103946</xdr:rowOff>
    </xdr:from>
    <xdr:to>
      <xdr:col>11</xdr:col>
      <xdr:colOff>10046</xdr:colOff>
      <xdr:row>27</xdr:row>
      <xdr:rowOff>49609</xdr:rowOff>
    </xdr:to>
    <xdr:grpSp>
      <xdr:nvGrpSpPr>
        <xdr:cNvPr id="85" name="Group 18">
          <a:extLst>
            <a:ext uri="{FF2B5EF4-FFF2-40B4-BE49-F238E27FC236}">
              <a16:creationId xmlns:a16="http://schemas.microsoft.com/office/drawing/2014/main" id="{C54E5AC1-D7C6-0176-8F47-9993BF194E2B}"/>
            </a:ext>
          </a:extLst>
        </xdr:cNvPr>
        <xdr:cNvGrpSpPr>
          <a:grpSpLocks/>
        </xdr:cNvGrpSpPr>
      </xdr:nvGrpSpPr>
      <xdr:grpSpPr bwMode="auto">
        <a:xfrm rot="21423530">
          <a:off x="3607590" y="4071601"/>
          <a:ext cx="140197" cy="96749"/>
          <a:chOff x="12269933" y="1884219"/>
          <a:chExt cx="148768" cy="97327"/>
        </a:xfrm>
      </xdr:grpSpPr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A55F445-7AA9-0900-C30E-CEA6A65A0786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3E61F36C-7413-62F7-2472-7249DECC987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E03EDCF-ED60-85FF-4157-F77CCFCEC53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285750</xdr:colOff>
      <xdr:row>21</xdr:row>
      <xdr:rowOff>80595</xdr:rowOff>
    </xdr:from>
    <xdr:to>
      <xdr:col>8</xdr:col>
      <xdr:colOff>47752</xdr:colOff>
      <xdr:row>24</xdr:row>
      <xdr:rowOff>12124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CF50539-ACED-0A72-823A-501ACB10A4B6}"/>
            </a:ext>
          </a:extLst>
        </xdr:cNvPr>
        <xdr:cNvSpPr txBox="1"/>
      </xdr:nvSpPr>
      <xdr:spPr>
        <a:xfrm>
          <a:off x="2117481" y="3333749"/>
          <a:ext cx="524002" cy="3931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BIMBER NEURON</a:t>
          </a:r>
        </a:p>
      </xdr:txBody>
    </xdr:sp>
    <xdr:clientData/>
  </xdr:twoCellAnchor>
  <xdr:twoCellAnchor>
    <xdr:from>
      <xdr:col>14</xdr:col>
      <xdr:colOff>174763</xdr:colOff>
      <xdr:row>26</xdr:row>
      <xdr:rowOff>100023</xdr:rowOff>
    </xdr:from>
    <xdr:to>
      <xdr:col>14</xdr:col>
      <xdr:colOff>290932</xdr:colOff>
      <xdr:row>27</xdr:row>
      <xdr:rowOff>56208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5055504" y="4067678"/>
          <a:ext cx="116169" cy="107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183931</xdr:colOff>
      <xdr:row>27</xdr:row>
      <xdr:rowOff>104551</xdr:rowOff>
    </xdr:from>
    <xdr:to>
      <xdr:col>12</xdr:col>
      <xdr:colOff>243463</xdr:colOff>
      <xdr:row>29</xdr:row>
      <xdr:rowOff>74784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FDE078F8-FB92-42C2-923D-9C044C66B583}"/>
            </a:ext>
          </a:extLst>
        </xdr:cNvPr>
        <xdr:cNvSpPr txBox="1"/>
      </xdr:nvSpPr>
      <xdr:spPr>
        <a:xfrm>
          <a:off x="3920662" y="4280897"/>
          <a:ext cx="440532" cy="27796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263815</xdr:colOff>
      <xdr:row>27</xdr:row>
      <xdr:rowOff>128154</xdr:rowOff>
    </xdr:from>
    <xdr:to>
      <xdr:col>15</xdr:col>
      <xdr:colOff>101202</xdr:colOff>
      <xdr:row>32</xdr:row>
      <xdr:rowOff>53577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4758424" y="4325107"/>
          <a:ext cx="599387" cy="68742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none" baseline="0">
              <a:solidFill>
                <a:schemeClr val="tx1"/>
              </a:solidFill>
            </a:rPr>
            <a:t>2 C12-200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CG313</a:t>
          </a:r>
        </a:p>
        <a:p>
          <a:pPr algn="l"/>
          <a:r>
            <a:rPr lang="en-US" sz="500" b="1" u="none" strike="sngStrike" baseline="0">
              <a:solidFill>
                <a:schemeClr val="tx1"/>
              </a:solidFill>
            </a:rPr>
            <a:t>1 TRF 160</a:t>
          </a:r>
        </a:p>
        <a:p>
          <a:pPr algn="l"/>
          <a:r>
            <a:rPr lang="en-US" sz="500" b="1" u="none" baseline="0">
              <a:solidFill>
                <a:srgbClr val="FF0000"/>
              </a:solidFill>
            </a:rPr>
            <a:t>1 TRF 250 KVA atau 200 kva</a:t>
          </a:r>
        </a:p>
        <a:p>
          <a:pPr algn="l"/>
          <a:r>
            <a:rPr lang="en-US" sz="500" b="1" u="none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8</xdr:col>
      <xdr:colOff>344365</xdr:colOff>
      <xdr:row>27</xdr:row>
      <xdr:rowOff>0</xdr:rowOff>
    </xdr:from>
    <xdr:to>
      <xdr:col>9</xdr:col>
      <xdr:colOff>136407</xdr:colOff>
      <xdr:row>27</xdr:row>
      <xdr:rowOff>506</xdr:rowOff>
    </xdr:to>
    <xdr:cxnSp macro="">
      <xdr:nvCxnSpPr>
        <xdr:cNvPr id="351" name="Straight Arrow Connector 350">
          <a:extLst>
            <a:ext uri="{FF2B5EF4-FFF2-40B4-BE49-F238E27FC236}">
              <a16:creationId xmlns:a16="http://schemas.microsoft.com/office/drawing/2014/main" id="{805F484A-6DF3-4DDA-B9F1-D19ACFEE6EB2}"/>
            </a:ext>
          </a:extLst>
        </xdr:cNvPr>
        <xdr:cNvCxnSpPr/>
      </xdr:nvCxnSpPr>
      <xdr:spPr>
        <a:xfrm flipH="1" flipV="1">
          <a:off x="2938096" y="4176346"/>
          <a:ext cx="173042" cy="5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284992</xdr:colOff>
      <xdr:row>27</xdr:row>
      <xdr:rowOff>105608</xdr:rowOff>
    </xdr:from>
    <xdr:to>
      <xdr:col>10</xdr:col>
      <xdr:colOff>9096</xdr:colOff>
      <xdr:row>31</xdr:row>
      <xdr:rowOff>41434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0958CF7-F360-42AB-9AAB-5133074E74F7}"/>
            </a:ext>
          </a:extLst>
        </xdr:cNvPr>
        <xdr:cNvSpPr txBox="1"/>
      </xdr:nvSpPr>
      <xdr:spPr>
        <a:xfrm>
          <a:off x="2878723" y="4281954"/>
          <a:ext cx="486104" cy="54396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MJ6-T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CE1-3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F1-3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CM2-12A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88737</xdr:colOff>
      <xdr:row>26</xdr:row>
      <xdr:rowOff>150625</xdr:rowOff>
    </xdr:from>
    <xdr:to>
      <xdr:col>14</xdr:col>
      <xdr:colOff>43962</xdr:colOff>
      <xdr:row>27</xdr:row>
      <xdr:rowOff>3736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5B47F6A-F778-449E-911A-B7D9163F70AA}"/>
            </a:ext>
          </a:extLst>
        </xdr:cNvPr>
        <xdr:cNvCxnSpPr>
          <a:stCxn id="9" idx="2"/>
          <a:endCxn id="215" idx="6"/>
        </xdr:cNvCxnSpPr>
      </xdr:nvCxnSpPr>
      <xdr:spPr>
        <a:xfrm flipH="1" flipV="1">
          <a:off x="4206468" y="4173106"/>
          <a:ext cx="717225" cy="697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290932</xdr:colOff>
      <xdr:row>27</xdr:row>
      <xdr:rowOff>1183</xdr:rowOff>
    </xdr:from>
    <xdr:to>
      <xdr:col>16</xdr:col>
      <xdr:colOff>36634</xdr:colOff>
      <xdr:row>27</xdr:row>
      <xdr:rowOff>14654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969BCDA-6B04-4866-9E0B-6E81458AF886}"/>
            </a:ext>
          </a:extLst>
        </xdr:cNvPr>
        <xdr:cNvCxnSpPr>
          <a:endCxn id="243" idx="6"/>
        </xdr:cNvCxnSpPr>
      </xdr:nvCxnSpPr>
      <xdr:spPr>
        <a:xfrm flipH="1" flipV="1">
          <a:off x="5170663" y="4177529"/>
          <a:ext cx="507702" cy="1347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53437</xdr:colOff>
      <xdr:row>26</xdr:row>
      <xdr:rowOff>95630</xdr:rowOff>
    </xdr:from>
    <xdr:to>
      <xdr:col>13</xdr:col>
      <xdr:colOff>196413</xdr:colOff>
      <xdr:row>27</xdr:row>
      <xdr:rowOff>41293</xdr:rowOff>
    </xdr:to>
    <xdr:grpSp>
      <xdr:nvGrpSpPr>
        <xdr:cNvPr id="29" name="Group 18">
          <a:extLst>
            <a:ext uri="{FF2B5EF4-FFF2-40B4-BE49-F238E27FC236}">
              <a16:creationId xmlns:a16="http://schemas.microsoft.com/office/drawing/2014/main" id="{EFF216C3-C598-4234-9FFD-AF2975B4E017}"/>
            </a:ext>
          </a:extLst>
        </xdr:cNvPr>
        <xdr:cNvGrpSpPr>
          <a:grpSpLocks/>
        </xdr:cNvGrpSpPr>
      </xdr:nvGrpSpPr>
      <xdr:grpSpPr bwMode="auto">
        <a:xfrm rot="267820">
          <a:off x="4553178" y="4063285"/>
          <a:ext cx="142976" cy="96749"/>
          <a:chOff x="12269933" y="1884219"/>
          <a:chExt cx="148768" cy="9732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563F6E49-5560-C919-FA73-C4E6AB2DDA8A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676A8486-8474-B6A2-8F6A-7A9138513A9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9C29D6AA-DE88-37BD-81C0-1460E0DFC6A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43962</xdr:colOff>
      <xdr:row>26</xdr:row>
      <xdr:rowOff>102576</xdr:rowOff>
    </xdr:from>
    <xdr:to>
      <xdr:col>14</xdr:col>
      <xdr:colOff>160131</xdr:colOff>
      <xdr:row>27</xdr:row>
      <xdr:rowOff>58761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A99A46E3-7C89-4987-8FB0-E2D1DC1C53F1}"/>
            </a:ext>
          </a:extLst>
        </xdr:cNvPr>
        <xdr:cNvGrpSpPr>
          <a:grpSpLocks/>
        </xdr:cNvGrpSpPr>
      </xdr:nvGrpSpPr>
      <xdr:grpSpPr bwMode="auto">
        <a:xfrm>
          <a:off x="4924703" y="4070231"/>
          <a:ext cx="116169" cy="107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D568B747-C48A-0942-080D-C3FF1184710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2E84167E-A9E9-502C-38A5-21D6F4DFA580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FF3CA9B-1C49-1D63-5ED5-23F1EC0E418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131884</xdr:colOff>
      <xdr:row>26</xdr:row>
      <xdr:rowOff>95249</xdr:rowOff>
    </xdr:from>
    <xdr:to>
      <xdr:col>9</xdr:col>
      <xdr:colOff>248053</xdr:colOff>
      <xdr:row>27</xdr:row>
      <xdr:rowOff>53993</xdr:rowOff>
    </xdr:to>
    <xdr:grpSp>
      <xdr:nvGrpSpPr>
        <xdr:cNvPr id="12" name="Group 682">
          <a:extLst>
            <a:ext uri="{FF2B5EF4-FFF2-40B4-BE49-F238E27FC236}">
              <a16:creationId xmlns:a16="http://schemas.microsoft.com/office/drawing/2014/main" id="{ADBA691F-4F47-4C15-8A7E-95DF1F28E557}"/>
            </a:ext>
          </a:extLst>
        </xdr:cNvPr>
        <xdr:cNvGrpSpPr>
          <a:grpSpLocks/>
        </xdr:cNvGrpSpPr>
      </xdr:nvGrpSpPr>
      <xdr:grpSpPr bwMode="auto">
        <a:xfrm>
          <a:off x="3107625" y="4062904"/>
          <a:ext cx="116169" cy="10983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A0AE152F-FCB5-D715-E804-7226FC5EB56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AFC50462-8AEA-8B45-0DE4-9DBC0021C09D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E184285F-7FA8-3ACB-65B6-DF344B0AE1B5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315056</xdr:colOff>
      <xdr:row>19</xdr:row>
      <xdr:rowOff>102577</xdr:rowOff>
    </xdr:from>
    <xdr:to>
      <xdr:col>14</xdr:col>
      <xdr:colOff>95249</xdr:colOff>
      <xdr:row>25</xdr:row>
      <xdr:rowOff>129356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520A67AE-5A1B-46A5-881B-A922B3E009E8}"/>
            </a:ext>
          </a:extLst>
        </xdr:cNvPr>
        <xdr:cNvSpPr txBox="1"/>
      </xdr:nvSpPr>
      <xdr:spPr>
        <a:xfrm>
          <a:off x="4432787" y="3048000"/>
          <a:ext cx="542193" cy="9499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ANEKA  JAYA</a:t>
          </a:r>
        </a:p>
      </xdr:txBody>
    </xdr:sp>
    <xdr:clientData/>
  </xdr:twoCellAnchor>
  <xdr:twoCellAnchor>
    <xdr:from>
      <xdr:col>14</xdr:col>
      <xdr:colOff>168519</xdr:colOff>
      <xdr:row>18</xdr:row>
      <xdr:rowOff>124557</xdr:rowOff>
    </xdr:from>
    <xdr:to>
      <xdr:col>17</xdr:col>
      <xdr:colOff>212480</xdr:colOff>
      <xdr:row>24</xdr:row>
      <xdr:rowOff>56086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8312FAC-97F0-4F0A-B1E1-809B6B690D1D}"/>
            </a:ext>
          </a:extLst>
        </xdr:cNvPr>
        <xdr:cNvSpPr txBox="1"/>
      </xdr:nvSpPr>
      <xdr:spPr>
        <a:xfrm>
          <a:off x="5048250" y="2916115"/>
          <a:ext cx="1186961" cy="85472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chemeClr val="tx1"/>
              </a:solidFill>
            </a:rPr>
            <a:t>RSUD KALIJAGA</a:t>
          </a:r>
        </a:p>
      </xdr:txBody>
    </xdr:sp>
    <xdr:clientData/>
  </xdr:twoCellAnchor>
  <xdr:twoCellAnchor>
    <xdr:from>
      <xdr:col>14</xdr:col>
      <xdr:colOff>139212</xdr:colOff>
      <xdr:row>25</xdr:row>
      <xdr:rowOff>58615</xdr:rowOff>
    </xdr:from>
    <xdr:to>
      <xdr:col>14</xdr:col>
      <xdr:colOff>285750</xdr:colOff>
      <xdr:row>26</xdr:row>
      <xdr:rowOff>73268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AF82ACD6-C946-4353-8C78-9C641407504A}"/>
            </a:ext>
          </a:extLst>
        </xdr:cNvPr>
        <xdr:cNvSpPr/>
      </xdr:nvSpPr>
      <xdr:spPr>
        <a:xfrm>
          <a:off x="5018943" y="3927230"/>
          <a:ext cx="146538" cy="16851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322384</xdr:colOff>
      <xdr:row>25</xdr:row>
      <xdr:rowOff>58616</xdr:rowOff>
    </xdr:from>
    <xdr:to>
      <xdr:col>15</xdr:col>
      <xdr:colOff>80595</xdr:colOff>
      <xdr:row>26</xdr:row>
      <xdr:rowOff>65942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283EDDE0-4802-41D7-87AD-401237BAA0FD}"/>
            </a:ext>
          </a:extLst>
        </xdr:cNvPr>
        <xdr:cNvSpPr/>
      </xdr:nvSpPr>
      <xdr:spPr>
        <a:xfrm>
          <a:off x="5202115" y="3927231"/>
          <a:ext cx="139211" cy="161192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278423</xdr:colOff>
      <xdr:row>25</xdr:row>
      <xdr:rowOff>43962</xdr:rowOff>
    </xdr:from>
    <xdr:to>
      <xdr:col>15</xdr:col>
      <xdr:colOff>124557</xdr:colOff>
      <xdr:row>26</xdr:row>
      <xdr:rowOff>137746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BAF58627-0EED-DEC1-8226-13D92C068E59}"/>
            </a:ext>
          </a:extLst>
        </xdr:cNvPr>
        <xdr:cNvGrpSpPr/>
      </xdr:nvGrpSpPr>
      <xdr:grpSpPr>
        <a:xfrm>
          <a:off x="5159164" y="3860531"/>
          <a:ext cx="227134" cy="244870"/>
          <a:chOff x="6784731" y="3692770"/>
          <a:chExt cx="227134" cy="247650"/>
        </a:xfrm>
      </xdr:grpSpPr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9C16AD71-4FC8-4ABB-9AD2-AF063FDA3C95}"/>
              </a:ext>
            </a:extLst>
          </xdr:cNvPr>
          <xdr:cNvCxnSpPr/>
        </xdr:nvCxnSpPr>
        <xdr:spPr>
          <a:xfrm>
            <a:off x="6784731" y="3714750"/>
            <a:ext cx="227134" cy="2051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90E3A329-9AB2-4D38-9CAE-F15797D6F06C}"/>
              </a:ext>
            </a:extLst>
          </xdr:cNvPr>
          <xdr:cNvCxnSpPr/>
        </xdr:nvCxnSpPr>
        <xdr:spPr>
          <a:xfrm flipV="1">
            <a:off x="6819900" y="3692770"/>
            <a:ext cx="155331" cy="24765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18</xdr:col>
      <xdr:colOff>182467</xdr:colOff>
      <xdr:row>40</xdr:row>
      <xdr:rowOff>0</xdr:rowOff>
    </xdr:from>
    <xdr:to>
      <xdr:col>21</xdr:col>
      <xdr:colOff>258154</xdr:colOff>
      <xdr:row>54</xdr:row>
      <xdr:rowOff>71483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545BCD5-8CC1-840C-D769-FC7F4A081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208" y="6102569"/>
          <a:ext cx="1218687" cy="2311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311728</xdr:colOff>
      <xdr:row>10</xdr:row>
      <xdr:rowOff>103909</xdr:rowOff>
    </xdr:from>
    <xdr:to>
      <xdr:col>15</xdr:col>
      <xdr:colOff>446027</xdr:colOff>
      <xdr:row>40</xdr:row>
      <xdr:rowOff>124480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5657F1-0BC6-96E8-CCE6-9327D982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319" y="1818409"/>
          <a:ext cx="6801799" cy="46964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6" t="s">
        <v>1134</v>
      </c>
      <c r="C4" s="536"/>
      <c r="D4" s="536"/>
      <c r="E4" s="536"/>
      <c r="F4" s="536"/>
      <c r="G4" s="536"/>
      <c r="H4" s="53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7" t="s">
        <v>0</v>
      </c>
      <c r="C7" s="537" t="s">
        <v>1</v>
      </c>
      <c r="D7" s="538" t="s">
        <v>42</v>
      </c>
      <c r="E7" s="538" t="s">
        <v>43</v>
      </c>
      <c r="F7" s="538" t="s">
        <v>1135</v>
      </c>
      <c r="G7" s="539" t="s">
        <v>41</v>
      </c>
      <c r="H7" s="535" t="s">
        <v>1042</v>
      </c>
      <c r="I7" s="535" t="s">
        <v>1137</v>
      </c>
      <c r="J7" s="535" t="s">
        <v>1026</v>
      </c>
      <c r="K7" s="529" t="s">
        <v>1024</v>
      </c>
      <c r="L7" s="530"/>
    </row>
    <row r="8" spans="1:12" ht="15" customHeight="1">
      <c r="B8" s="537"/>
      <c r="C8" s="537"/>
      <c r="D8" s="538"/>
      <c r="E8" s="538"/>
      <c r="F8" s="538"/>
      <c r="G8" s="539"/>
      <c r="H8" s="535"/>
      <c r="I8" s="535"/>
      <c r="J8" s="535"/>
      <c r="K8" s="531"/>
      <c r="L8" s="532"/>
    </row>
    <row r="9" spans="1:12" ht="15" customHeight="1">
      <c r="B9" s="537"/>
      <c r="C9" s="537"/>
      <c r="D9" s="538"/>
      <c r="E9" s="538"/>
      <c r="F9" s="538"/>
      <c r="G9" s="539"/>
      <c r="H9" s="535"/>
      <c r="I9" s="535"/>
      <c r="J9" s="535"/>
      <c r="K9" s="533"/>
      <c r="L9" s="53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LVCB 2 Jurusan 250 A LBS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9994500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FCO Polymer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848250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Lightning Arester (Polymer) 21 KV, 10 KA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725900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9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129</v>
      </c>
      <c r="G19" s="41">
        <f ca="1">IF(ISERROR(OFFSET('HARGA SATUAN'!$I$6,MATCH(C19,'HARGA SATUAN'!$C$7:$C$1492,0),0)),"",OFFSET('HARGA SATUAN'!$I$6,MATCH(C19,'HARGA SATUAN'!$C$7:$C$1492,0),0))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4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35</v>
      </c>
      <c r="G20" s="41">
        <f ca="1">IF(ISERROR(OFFSET('HARGA SATUAN'!$I$6,MATCH(C20,'HARGA SATUAN'!$C$7:$C$1492,0),0)),"",OFFSET('HARGA SATUAN'!$I$6,MATCH(C20,'HARGA SATUAN'!$C$7:$C$1492,0),0))</f>
        <v>13500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SATUAN'!$C$7:$C$1492,0),0)),"",OFFSET('HARGA SATUAN'!$D$6,MATCH(C21,'HARGA SATUAN'!$C$7:$C$1492,0),0))</f>
        <v>HDW</v>
      </c>
      <c r="E21" s="101" t="str">
        <f ca="1">IF(B21="+","Unit",IF(ISERROR(OFFSET('HARGA SATUAN'!$E$6,MATCH(C21,'HARGA SATUAN'!$C$7:$C$1492,0),0)),"",OFFSET('HARGA SATUAN'!$E$6,MATCH(C21,'HARGA SATUAN'!$C$7:$C$1492,0),0)))</f>
        <v>Unit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SUMIFS(RAB!$F$14:$F$137,RAB!$C$14:$C$137,C714)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SUMIFS(RAB!$F$14:$F$137,RAB!$C$14:$C$137,C715)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SUMIFS(RAB!$F$14:$F$137,RAB!$C$14:$C$137,C716)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SUMIFS(RAB!$F$14:$F$137,RAB!$C$14:$C$137,C717)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SUMIFS(RAB!$F$14:$F$137,RAB!$C$14:$C$137,C718)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SUMIFS(RAB!$F$14:$F$137,RAB!$C$14:$C$137,C719)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SUMIFS(RAB!$F$14:$F$137,RAB!$C$14:$C$137,C720)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SUMIFS(RAB!$F$14:$F$137,RAB!$C$14:$C$137,C721)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SUMIFS(RAB!$F$14:$F$137,RAB!$C$14:$C$137,C722)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SUMIFS(RAB!$F$14:$F$137,RAB!$C$14:$C$137,C723)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SUMIFS(RAB!$F$14:$F$137,RAB!$C$14:$C$137,C724)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SUMIFS(RAB!$F$14:$F$137,RAB!$C$14:$C$137,C725)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SUMIFS(RAB!$F$14:$F$137,RAB!$C$14:$C$137,C726)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SUMIFS(RAB!$F$14:$F$137,RAB!$C$14:$C$137,C727)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SUMIFS(RAB!$F$14:$F$137,RAB!$C$14:$C$137,C728)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SUMIFS(RAB!$F$14:$F$137,RAB!$C$14:$C$137,C729)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SUMIFS(RAB!$F$14:$F$137,RAB!$C$14:$C$137,C730)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SUMIFS(RAB!$F$14:$F$137,RAB!$C$14:$C$137,C731)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SUMIFS(RAB!$F$14:$F$137,RAB!$C$14:$C$137,C732)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SUMIFS(RAB!$F$14:$F$137,RAB!$C$14:$C$137,C733)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SUMIFS(RAB!$F$14:$F$137,RAB!$C$14:$C$137,C734)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SUMIFS(RAB!$F$14:$F$137,RAB!$C$14:$C$137,C735)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SUMIFS(RAB!$F$14:$F$137,RAB!$C$14:$C$137,C736)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SUMIFS(RAB!$F$14:$F$137,RAB!$C$14:$C$137,C737)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SUMIFS(RAB!$F$14:$F$137,RAB!$C$14:$C$137,C738)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SUMIFS(RAB!$F$14:$F$137,RAB!$C$14:$C$137,C739)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SUMIFS(RAB!$F$14:$F$137,RAB!$C$14:$C$137,C740)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SUMIFS(RAB!$F$14:$F$137,RAB!$C$14:$C$137,C741)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SUMIFS(RAB!$F$14:$F$137,RAB!$C$14:$C$137,C742)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SUMIFS(RAB!$F$14:$F$137,RAB!$C$14:$C$137,C743)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SUMIFS(RAB!$F$14:$F$137,RAB!$C$14:$C$137,C744)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SUMIFS(RAB!$F$14:$F$137,RAB!$C$14:$C$137,C745)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SUMIFS(RAB!$F$14:$F$137,RAB!$C$14:$C$137,C746)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SUMIFS(RAB!$F$14:$F$137,RAB!$C$14:$C$137,C747)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SUMIFS(RAB!$F$14:$F$137,RAB!$C$14:$C$137,C748)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SUMIFS(RAB!$F$14:$F$137,RAB!$C$14:$C$137,C749)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SUMIFS(RAB!$F$14:$F$137,RAB!$C$14:$C$137,C750)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SUMIFS(RAB!$F$14:$F$137,RAB!$C$14:$C$137,C751)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SUMIFS(RAB!$F$14:$F$137,RAB!$C$14:$C$137,C752)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SUMIFS(RAB!$F$14:$F$137,RAB!$C$14:$C$137,C753)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SUMIFS(RAB!$F$14:$F$137,RAB!$C$14:$C$137,C754)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SUMIFS(RAB!$F$14:$F$137,RAB!$C$14:$C$137,C755)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SUMIFS(RAB!$F$14:$F$137,RAB!$C$14:$C$137,C756)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SUMIFS(RAB!$F$14:$F$137,RAB!$C$14:$C$137,C757)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SUMIFS(RAB!$F$14:$F$137,RAB!$C$14:$C$137,C758)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SUMIFS(RAB!$F$14:$F$137,RAB!$C$14:$C$137,C759)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SUMIFS(RAB!$F$14:$F$137,RAB!$C$14:$C$137,C760)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SUMIFS(RAB!$F$14:$F$137,RAB!$C$14:$C$137,C761)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SUMIFS(RAB!$F$14:$F$137,RAB!$C$14:$C$137,C762)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SUMIFS(RAB!$F$14:$F$137,RAB!$C$14:$C$137,C763)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SUMIFS(RAB!$F$14:$F$137,RAB!$C$14:$C$137,C764)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SUMIFS(RAB!$F$14:$F$137,RAB!$C$14:$C$137,C765)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SUMIFS(RAB!$F$14:$F$137,RAB!$C$14:$C$137,C766)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SUMIFS(RAB!$F$14:$F$137,RAB!$C$14:$C$137,C767)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SUMIFS(RAB!$F$14:$F$137,RAB!$C$14:$C$137,C768)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SUMIFS(RAB!$F$14:$F$137,RAB!$C$14:$C$137,C769)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SUMIFS(RAB!$F$14:$F$137,RAB!$C$14:$C$137,C770)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SUMIFS(RAB!$F$14:$F$137,RAB!$C$14:$C$137,C771)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SUMIFS(RAB!$F$14:$F$137,RAB!$C$14:$C$137,C772)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SUMIFS(RAB!$F$14:$F$137,RAB!$C$14:$C$137,C773)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SUMIFS(RAB!$F$14:$F$137,RAB!$C$14:$C$137,C774)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SUMIFS(RAB!$F$14:$F$137,RAB!$C$14:$C$137,C775)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SUMIFS(RAB!$F$14:$F$137,RAB!$C$14:$C$137,C776)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SUMIFS(RAB!$F$14:$F$137,RAB!$C$14:$C$137,C777)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SUMIFS(RAB!$F$14:$F$137,RAB!$C$14:$C$137,C778)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SUMIFS(RAB!$F$14:$F$137,RAB!$C$14:$C$137,C779)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SUMIFS(RAB!$F$14:$F$137,RAB!$C$14:$C$137,C780)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SUMIFS(RAB!$F$14:$F$137,RAB!$C$14:$C$137,C781)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SUMIFS(RAB!$F$14:$F$137,RAB!$C$14:$C$137,C782)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SUMIFS(RAB!$F$14:$F$137,RAB!$C$14:$C$137,C783)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SUMIFS(RAB!$F$14:$F$137,RAB!$C$14:$C$137,C784)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SUMIFS(RAB!$F$14:$F$137,RAB!$C$14:$C$137,C785)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SUMIFS(RAB!$F$14:$F$137,RAB!$C$14:$C$137,C786)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SUMIFS(RAB!$F$14:$F$137,RAB!$C$14:$C$137,C787)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SUMIFS(RAB!$F$14:$F$137,RAB!$C$14:$C$137,C788)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SUMIFS(RAB!$F$14:$F$137,RAB!$C$14:$C$137,C789)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SUMIFS(RAB!$F$14:$F$137,RAB!$C$14:$C$137,C790)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SUMIFS(RAB!$F$14:$F$137,RAB!$C$14:$C$137,C791)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SUMIFS(RAB!$F$14:$F$137,RAB!$C$14:$C$137,C792)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SUMIFS(RAB!$F$14:$F$137,RAB!$C$14:$C$137,C793)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SUMIFS(RAB!$F$14:$F$137,RAB!$C$14:$C$137,C794)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SUMIFS(RAB!$F$14:$F$137,RAB!$C$14:$C$137,C795)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SUMIFS(RAB!$F$14:$F$137,RAB!$C$14:$C$137,C796)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SUMIFS(RAB!$F$14:$F$137,RAB!$C$14:$C$137,C797)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SUMIFS(RAB!$F$14:$F$137,RAB!$C$14:$C$137,C798)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SUMIFS(RAB!$F$14:$F$137,RAB!$C$14:$C$137,C799)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SUMIFS(RAB!$F$14:$F$137,RAB!$C$14:$C$137,C800)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SUMIFS(RAB!$F$14:$F$137,RAB!$C$14:$C$137,C801)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SUMIFS(RAB!$F$14:$F$137,RAB!$C$14:$C$137,C802)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SUMIFS(RAB!$F$14:$F$137,RAB!$C$14:$C$137,C803)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SUMIFS(RAB!$F$14:$F$137,RAB!$C$14:$C$137,C804)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SUMIFS(RAB!$F$14:$F$137,RAB!$C$14:$C$137,C805)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SUMIFS(RAB!$F$14:$F$137,RAB!$C$14:$C$137,C806)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SUMIFS(RAB!$F$14:$F$137,RAB!$C$14:$C$137,C807)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SUMIFS(RAB!$F$14:$F$137,RAB!$C$14:$C$137,C808)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SUMIFS(RAB!$F$14:$F$137,RAB!$C$14:$C$137,C809)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SUMIFS(RAB!$F$14:$F$137,RAB!$C$14:$C$137,C810)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SUMIFS(RAB!$F$14:$F$137,RAB!$C$14:$C$137,C811)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SUMIFS(RAB!$F$14:$F$137,RAB!$C$14:$C$137,C812)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SUMIFS(RAB!$F$14:$F$137,RAB!$C$14:$C$137,C813)</f>
        <v>1</v>
      </c>
      <c r="E813" s="26">
        <f t="shared" ca="1" si="34"/>
        <v>1</v>
      </c>
      <c r="F813" s="26">
        <f ca="1">IF(D813=0,0,SUM($E$713:E813))</f>
        <v>4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SUMIFS(RAB!$F$14:$F$137,RAB!$C$14:$C$137,C814)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SUMIFS(RAB!$F$14:$F$137,RAB!$C$14:$C$137,C815)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SUMIFS(RAB!$F$14:$F$137,RAB!$C$14:$C$137,C816)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SUMIFS(RAB!$F$14:$F$137,RAB!$C$14:$C$137,C817)</f>
        <v>3</v>
      </c>
      <c r="E817" s="26">
        <f t="shared" ca="1" si="34"/>
        <v>1</v>
      </c>
      <c r="F817" s="26">
        <f ca="1">IF(D817=0,0,SUM($E$713:E817))</f>
        <v>5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SUMIFS(RAB!$F$14:$F$137,RAB!$C$14:$C$137,C818)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SUMIFS(RAB!$F$14:$F$137,RAB!$C$14:$C$137,C819)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SUMIFS(RAB!$F$14:$F$137,RAB!$C$14:$C$137,C820)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SUMIFS(RAB!$F$14:$F$137,RAB!$C$14:$C$137,C821)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SUMIFS(RAB!$F$14:$F$137,RAB!$C$14:$C$137,C822)</f>
        <v>3</v>
      </c>
      <c r="E822" s="26">
        <f t="shared" ca="1" si="34"/>
        <v>1</v>
      </c>
      <c r="F822" s="26">
        <f ca="1">IF(D822=0,0,SUM($E$713:E822))</f>
        <v>6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SUMIFS(RAB!$F$14:$F$137,RAB!$C$14:$C$137,C823)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SUMIFS(RAB!$F$14:$F$137,RAB!$C$14:$C$137,C824)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SUMIFS(RAB!$F$14:$F$137,RAB!$C$14:$C$137,C825)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SUMIFS(RAB!$F$14:$F$137,RAB!$C$14:$C$137,C826)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SUMIFS(RAB!$F$14:$F$137,RAB!$C$14:$C$137,C827)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SUMIFS(RAB!$F$14:$F$137,RAB!$C$14:$C$137,C828)</f>
        <v>9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SUMIFS(RAB!$F$14:$F$137,RAB!$C$14:$C$137,C829)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SUMIFS(RAB!$F$14:$F$137,RAB!$C$14:$C$137,C830)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SUMIFS(RAB!$F$14:$F$137,RAB!$C$14:$C$137,C831)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SUMIFS(RAB!$F$14:$F$137,RAB!$C$14:$C$137,C832)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SUMIFS(RAB!$F$14:$F$137,RAB!$C$14:$C$137,C833)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SUMIFS(RAB!$F$14:$F$137,RAB!$C$14:$C$137,C834)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SUMIFS(RAB!$F$14:$F$137,RAB!$C$14:$C$137,C835)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SUMIFS(RAB!$F$14:$F$137,RAB!$C$14:$C$137,C836)</f>
        <v>129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SUMIFS(RAB!$F$14:$F$137,RAB!$C$14:$C$137,C837)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SUMIFS(RAB!$F$14:$F$137,RAB!$C$14:$C$137,C838)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SUMIFS(RAB!$F$14:$F$137,RAB!$C$14:$C$137,C839)</f>
        <v>35</v>
      </c>
      <c r="E839" s="26">
        <f t="shared" ca="1" si="34"/>
        <v>1</v>
      </c>
      <c r="F839" s="26">
        <f ca="1">IF(D839=0,0,SUM($E$713:E839))</f>
        <v>9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SUMIFS(RAB!$F$14:$F$137,RAB!$C$14:$C$137,C840)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SUMIFS(RAB!$F$14:$F$137,RAB!$C$14:$C$137,C841)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SUMIFS(RAB!$F$14:$F$137,RAB!$C$14:$C$137,C842)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SUMIFS(RAB!$F$14:$F$137,RAB!$C$14:$C$137,C843)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SUMIFS(RAB!$F$14:$F$137,RAB!$C$14:$C$137,C844)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SUMIFS(RAB!$F$14:$F$137,RAB!$C$14:$C$137,C845)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SUMIFS(RAB!$F$14:$F$137,RAB!$C$14:$C$137,C846)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SUMIFS(RAB!$F$14:$F$137,RAB!$C$14:$C$137,C847)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SUMIFS(RAB!$F$14:$F$137,RAB!$C$14:$C$137,C848)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SUMIFS(RAB!$F$14:$F$137,RAB!$C$14:$C$137,C849)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SUMIFS(RAB!$F$14:$F$137,RAB!$C$14:$C$137,C850)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SUMIFS(RAB!$F$14:$F$137,RAB!$C$14:$C$137,C851)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SUMIFS(RAB!$F$14:$F$137,RAB!$C$14:$C$137,C852)</f>
        <v>1</v>
      </c>
      <c r="E852" s="26">
        <f t="shared" ca="1" si="35"/>
        <v>1</v>
      </c>
      <c r="F852" s="26">
        <f ca="1">IF(D852=0,0,SUM($E$713:E852))</f>
        <v>10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SUMIFS(RAB!$F$14:$F$137,RAB!$C$14:$C$137,C853)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SUMIFS(RAB!$F$14:$F$137,RAB!$C$14:$C$137,C854)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SUMIFS(RAB!$F$14:$F$137,RAB!$C$14:$C$137,C855)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SUMIFS(RAB!$F$14:$F$137,RAB!$C$14:$C$137,C856)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SUMIFS(RAB!$F$14:$F$137,RAB!$C$14:$C$137,C857)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SUMIFS(RAB!$F$14:$F$137,RAB!$C$14:$C$137,C858)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SUMIFS(RAB!$F$14:$F$137,RAB!$C$14:$C$137,C859)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SUMIFS(RAB!$F$14:$F$137,RAB!$C$14:$C$137,C860)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SUMIFS(RAB!$F$14:$F$137,RAB!$C$14:$C$137,C861)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SUMIFS(RAB!$F$14:$F$137,RAB!$C$14:$C$137,C862)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SUMIFS(RAB!$F$14:$F$137,RAB!$C$14:$C$137,C863)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SUMIFS(RAB!$F$14:$F$137,RAB!$C$14:$C$137,C864)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SUMIFS(RAB!$F$14:$F$137,RAB!$C$14:$C$137,C865)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SUMIFS(RAB!$F$14:$F$137,RAB!$C$14:$C$137,C866)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SUMIFS(RAB!$F$14:$F$137,RAB!$C$14:$C$137,C867)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SUMIFS(RAB!$F$14:$F$137,RAB!$C$14:$C$137,C868)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SUMIFS(RAB!$F$14:$F$137,RAB!$C$14:$C$137,C869)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SUMIFS(RAB!$F$14:$F$137,RAB!$C$14:$C$137,C870)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SUMIFS(RAB!$F$14:$F$137,RAB!$C$14:$C$137,C871)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SUMIFS(RAB!$F$14:$F$137,RAB!$C$14:$C$137,C872)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SUMIFS(RAB!$F$14:$F$137,RAB!$C$14:$C$137,C873)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SUMIFS(RAB!$F$14:$F$137,RAB!$C$14:$C$137,C874)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SUMIFS(RAB!$F$14:$F$137,RAB!$C$14:$C$137,C875)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SUMIFS(RAB!$F$14:$F$137,RAB!$C$14:$C$137,C876)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SUMIFS(RAB!$F$14:$F$137,RAB!$C$14:$C$137,C877)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SUMIFS(RAB!$F$14:$F$137,RAB!$C$14:$C$137,C878)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SUMIFS(RAB!$F$14:$F$137,RAB!$C$14:$C$137,C879)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SUMIFS(RAB!$F$14:$F$137,RAB!$C$14:$C$137,C880)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SUMIFS(RAB!$F$14:$F$137,RAB!$C$14:$C$137,C881)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SUMIFS(RAB!$F$14:$F$137,RAB!$C$14:$C$137,C882)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SUMIFS(RAB!$F$14:$F$137,RAB!$C$14:$C$137,C883)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SUMIFS(RAB!$F$14:$F$137,RAB!$C$14:$C$137,C884)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SUMIFS(RAB!$F$14:$F$137,RAB!$C$14:$C$137,C885)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SUMIFS(RAB!$F$14:$F$137,RAB!$C$14:$C$137,C886)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SUMIFS(RAB!$F$14:$F$137,RAB!$C$14:$C$137,C887)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SUMIFS(RAB!$F$14:$F$137,RAB!$C$14:$C$137,C888)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SUMIFS(RAB!$F$14:$F$137,RAB!$C$14:$C$137,C889)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SUMIFS(RAB!$F$14:$F$137,RAB!$C$14:$C$137,C890)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SUMIFS(RAB!$F$14:$F$137,RAB!$C$14:$C$137,C891)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SUMIFS(RAB!$F$14:$F$137,RAB!$C$14:$C$137,C892)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SUMIFS(RAB!$F$14:$F$137,RAB!$C$14:$C$137,C893)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SUMIFS(RAB!$F$14:$F$137,RAB!$C$14:$C$137,C894)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SUMIFS(RAB!$F$14:$F$137,RAB!$C$14:$C$137,C895)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SUMIFS(RAB!$F$14:$F$137,RAB!$C$14:$C$137,C896)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SUMIFS(RAB!$F$14:$F$137,RAB!$C$14:$C$137,C897)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SUMIFS(RAB!$F$14:$F$137,RAB!$C$14:$C$137,C898)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SUMIFS(RAB!$F$14:$F$137,RAB!$C$14:$C$137,C899)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SUMIFS(RAB!$F$14:$F$137,RAB!$C$14:$C$137,C900)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SUMIFS(RAB!$F$14:$F$137,RAB!$C$14:$C$137,C901)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SUMIFS(RAB!$F$14:$F$137,RAB!$C$14:$C$137,C902)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SUMIFS(RAB!$F$14:$F$137,RAB!$C$14:$C$137,C903)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SUMIFS(RAB!$F$14:$F$137,RAB!$C$14:$C$137,C904)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SUMIFS(RAB!$F$14:$F$137,RAB!$C$14:$C$137,C905)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SUMIFS(RAB!$F$14:$F$137,RAB!$C$14:$C$137,C906)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SUMIFS(RAB!$F$14:$F$137,RAB!$C$14:$C$137,C907)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SUMIFS(RAB!$F$14:$F$137,RAB!$C$14:$C$137,C908)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SUMIFS(RAB!$F$14:$F$137,RAB!$C$14:$C$137,C909)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SUMIFS(RAB!$F$14:$F$137,RAB!$C$14:$C$137,C910)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SUMIFS(RAB!$F$14:$F$137,RAB!$C$14:$C$137,C911)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SUMIFS(RAB!$F$14:$F$137,RAB!$C$14:$C$137,C912)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SUMIFS(RAB!$F$14:$F$137,RAB!$C$14:$C$137,C913)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SUMIFS(RAB!$F$14:$F$137,RAB!$C$14:$C$137,C914)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SUMIFS(RAB!$F$14:$F$137,RAB!$C$14:$C$137,C915)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SUMIFS(RAB!$F$14:$F$137,RAB!$C$14:$C$137,C916)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SUMIFS(RAB!$F$14:$F$137,RAB!$C$14:$C$137,C917)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SUMIFS(RAB!$F$14:$F$137,RAB!$C$14:$C$137,C918)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SUMIFS(RAB!$F$14:$F$137,RAB!$C$14:$C$137,C919)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SUMIFS(RAB!$F$14:$F$137,RAB!$C$14:$C$137,C920)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SUMIFS(RAB!$F$14:$F$137,RAB!$C$14:$C$137,C921)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SUMIFS(RAB!$F$14:$F$137,RAB!$C$14:$C$137,C922)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SUMIFS(RAB!$F$14:$F$137,RAB!$C$14:$C$137,C923)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SUMIFS(RAB!$F$14:$F$137,RAB!$C$14:$C$137,C924)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SUMIFS(RAB!$F$14:$F$137,RAB!$C$14:$C$137,C925)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SUMIFS(RAB!$F$14:$F$137,RAB!$C$14:$C$137,C926)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SUMIFS(RAB!$F$14:$F$137,RAB!$C$14:$C$137,C927)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SUMIFS(RAB!$F$14:$F$137,RAB!$C$14:$C$137,C928)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SUMIFS(RAB!$F$14:$F$137,RAB!$C$14:$C$137,C929)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SUMIFS(RAB!$F$14:$F$137,RAB!$C$14:$C$137,C930)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SUMIFS(RAB!$F$14:$F$137,RAB!$C$14:$C$137,C931)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SUMIFS(RAB!$F$14:$F$137,RAB!$C$14:$C$137,C932)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SUMIFS(RAB!$F$14:$F$137,RAB!$C$14:$C$137,C933)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SUMIFS(RAB!$F$14:$F$137,RAB!$C$14:$C$137,C934)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SUMIFS(RAB!$F$14:$F$137,RAB!$C$14:$C$137,C935)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SUMIFS(RAB!$F$14:$F$137,RAB!$C$14:$C$137,C936)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SUMIFS(RAB!$F$14:$F$137,RAB!$C$14:$C$137,C937)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SUMIFS(RAB!$F$14:$F$137,RAB!$C$14:$C$137,C938)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SUMIFS(RAB!$F$14:$F$137,RAB!$C$14:$C$137,C939)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SUMIFS(RAB!$F$14:$F$137,RAB!$C$14:$C$137,C940)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SUMIFS(RAB!$F$14:$F$137,RAB!$C$14:$C$137,C941)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SUMIFS(RAB!$F$14:$F$137,RAB!$C$14:$C$137,C942)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SUMIFS(RAB!$F$14:$F$137,RAB!$C$14:$C$137,C943)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SUMIFS(RAB!$F$14:$F$137,RAB!$C$14:$C$137,C944)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SUMIFS(RAB!$F$14:$F$137,RAB!$C$14:$C$137,C945)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SUMIFS(RAB!$F$14:$F$137,RAB!$C$14:$C$137,C946)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SUMIFS(RAB!$F$14:$F$137,RAB!$C$14:$C$137,C947)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SUMIFS(RAB!$F$14:$F$137,RAB!$C$14:$C$137,C948)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SUMIFS(RAB!$F$14:$F$137,RAB!$C$14:$C$137,C949)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SUMIFS(RAB!$F$14:$F$137,RAB!$C$14:$C$137,C950)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SUMIFS(RAB!$F$14:$F$137,RAB!$C$14:$C$137,C951)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SUMIFS(RAB!$F$14:$F$137,RAB!$C$14:$C$137,C952)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SUMIFS(RAB!$F$14:$F$137,RAB!$C$14:$C$137,C953)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SUMIFS(RAB!$F$14:$F$137,RAB!$C$14:$C$137,C954)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SUMIFS(RAB!$F$14:$F$137,RAB!$C$14:$C$137,C955)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SUMIFS(RAB!$F$14:$F$137,RAB!$C$14:$C$137,C956)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SUMIFS(RAB!$F$14:$F$137,RAB!$C$14:$C$137,C957)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SUMIFS(RAB!$F$14:$F$137,RAB!$C$14:$C$137,C958)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SUMIFS(RAB!$F$14:$F$137,RAB!$C$14:$C$137,C959)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SUMIFS(RAB!$F$14:$F$137,RAB!$C$14:$C$137,C960)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SUMIFS(RAB!$F$14:$F$137,RAB!$C$14:$C$137,C961)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SUMIFS(RAB!$F$14:$F$137,RAB!$C$14:$C$137,C962)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SUMIFS(RAB!$F$14:$F$137,RAB!$C$14:$C$137,C963)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SUMIFS(RAB!$F$14:$F$137,RAB!$C$14:$C$137,C964)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SUMIFS(RAB!$F$14:$F$137,RAB!$C$14:$C$137,C965)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SUMIFS(RAB!$F$14:$F$137,RAB!$C$14:$C$137,C966)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SUMIFS(RAB!$F$14:$F$137,RAB!$C$14:$C$137,C967)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SUMIFS(RAB!$F$14:$F$137,RAB!$C$14:$C$137,C968)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SUMIFS(RAB!$F$14:$F$137,RAB!$C$14:$C$137,C969)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SUMIFS(RAB!$F$14:$F$137,RAB!$C$14:$C$137,C970)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SUMIFS(RAB!$F$14:$F$137,RAB!$C$14:$C$137,C971)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SUMIFS(RAB!$F$14:$F$137,RAB!$C$14:$C$137,C972)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SUMIFS(RAB!$F$14:$F$137,RAB!$C$14:$C$137,C973)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SUMIFS(RAB!$F$14:$F$137,RAB!$C$14:$C$137,C974)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SUMIFS(RAB!$F$14:$F$137,RAB!$C$14:$C$137,C975)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SUMIFS(RAB!$F$14:$F$137,RAB!$C$14:$C$137,C976)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SUMIFS(RAB!$F$14:$F$137,RAB!$C$14:$C$137,C977)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SUMIFS(RAB!$F$14:$F$137,RAB!$C$14:$C$137,C978)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SUMIFS(RAB!$F$14:$F$137,RAB!$C$14:$C$137,C979)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SUMIFS(RAB!$F$14:$F$137,RAB!$C$14:$C$137,C980)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SUMIFS(RAB!$F$14:$F$137,RAB!$C$14:$C$137,C981)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SUMIFS(RAB!$F$14:$F$137,RAB!$C$14:$C$137,C982)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SUMIFS(RAB!$F$14:$F$137,RAB!$C$14:$C$137,C983)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SUMIFS(RAB!$F$14:$F$137,RAB!$C$14:$C$137,C984)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SUMIFS(RAB!$F$14:$F$137,RAB!$C$14:$C$137,C985)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SUMIFS(RAB!$F$14:$F$137,RAB!$C$14:$C$137,C986)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SUMIFS(RAB!$F$14:$F$137,RAB!$C$14:$C$137,C987)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SUMIFS(RAB!$F$14:$F$137,RAB!$C$14:$C$137,C988)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SUMIFS(RAB!$F$14:$F$137,RAB!$C$14:$C$137,C989)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SUMIFS(RAB!$F$14:$F$137,RAB!$C$14:$C$137,C990)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SUMIFS(RAB!$F$14:$F$137,RAB!$C$14:$C$137,C991)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SUMIFS(RAB!$F$14:$F$137,RAB!$C$14:$C$137,C992)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SUMIFS(RAB!$F$14:$F$137,RAB!$C$14:$C$137,C993)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SUMIFS(RAB!$F$14:$F$137,RAB!$C$14:$C$137,C994)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SUMIFS(RAB!$F$14:$F$137,RAB!$C$14:$C$137,C995)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SUMIFS(RAB!$F$14:$F$137,RAB!$C$14:$C$137,C996)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SUMIFS(RAB!$F$14:$F$137,RAB!$C$14:$C$137,C997)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SUMIFS(RAB!$F$14:$F$137,RAB!$C$14:$C$137,C998)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SUMIFS(RAB!$F$14:$F$137,RAB!$C$14:$C$137,C999)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SUMIFS(RAB!$F$14:$F$137,RAB!$C$14:$C$137,C1000)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SUMIFS(RAB!$F$14:$F$137,RAB!$C$14:$C$137,C1001)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SUMIFS(RAB!$F$14:$F$137,RAB!$C$14:$C$137,C1002)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SUMIFS(RAB!$F$14:$F$137,RAB!$C$14:$C$137,C1003)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SUMIFS(RAB!$F$14:$F$137,RAB!$C$14:$C$137,C1004)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SUMIFS(RAB!$F$14:$F$137,RAB!$C$14:$C$137,C1005)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SUMIFS(RAB!$F$14:$F$137,RAB!$C$14:$C$137,C1006)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SUMIFS(RAB!$F$14:$F$137,RAB!$C$14:$C$137,C1007)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SUMIFS(RAB!$F$14:$F$137,RAB!$C$14:$C$137,C1008)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SUMIFS(RAB!$F$14:$F$137,RAB!$C$14:$C$137,C1009)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SUMIFS(RAB!$F$14:$F$137,RAB!$C$14:$C$137,C1010)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SUMIFS(RAB!$F$14:$F$137,RAB!$C$14:$C$137,C1011)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SUMIFS(RAB!$F$14:$F$137,RAB!$C$14:$C$137,C1012)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SUMIFS(RAB!$F$14:$F$137,RAB!$C$14:$C$137,C1013)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SUMIFS(RAB!$F$14:$F$137,RAB!$C$14:$C$137,C1014)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SUMIFS(RAB!$F$14:$F$137,RAB!$C$14:$C$137,C1015)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SUMIFS(RAB!$F$14:$F$137,RAB!$C$14:$C$137,C1016)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SUMIFS(RAB!$F$14:$F$137,RAB!$C$14:$C$137,C1017)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SUMIFS(RAB!$F$14:$F$137,RAB!$C$14:$C$137,C1018)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SUMIFS(RAB!$F$14:$F$137,RAB!$C$14:$C$137,C1019)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SUMIFS(RAB!$F$14:$F$137,RAB!$C$14:$C$137,C1020)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SUMIFS(RAB!$F$14:$F$137,RAB!$C$14:$C$137,C1021)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SUMIFS(RAB!$F$14:$F$137,RAB!$C$14:$C$137,C1022)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SUMIFS(RAB!$F$14:$F$137,RAB!$C$14:$C$137,C1023)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SUMIFS(RAB!$F$14:$F$137,RAB!$C$14:$C$137,C1024)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SUMIFS(RAB!$F$14:$F$137,RAB!$C$14:$C$137,C1025)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SUMIFS(RAB!$F$14:$F$137,RAB!$C$14:$C$137,C1026)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SUMIFS(RAB!$F$14:$F$137,RAB!$C$14:$C$137,C1027)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SUMIFS(RAB!$F$14:$F$137,RAB!$C$14:$C$137,C1028)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SUMIFS(RAB!$F$14:$F$137,RAB!$C$14:$C$137,C1029)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SUMIFS(RAB!$F$14:$F$137,RAB!$C$14:$C$137,C1030)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SUMIFS(RAB!$F$14:$F$137,RAB!$C$14:$C$137,C1031)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SUMIFS(RAB!$F$14:$F$137,RAB!$C$14:$C$137,C1032)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SUMIFS(RAB!$F$14:$F$137,RAB!$C$14:$C$137,C1033)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SUMIFS(RAB!$F$14:$F$137,RAB!$C$14:$C$137,C1034)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SUMIFS(RAB!$F$14:$F$137,RAB!$C$14:$C$137,C1035)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SUMIFS(RAB!$F$14:$F$137,RAB!$C$14:$C$137,C1036)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SUMIFS(RAB!$F$14:$F$137,RAB!$C$14:$C$137,C1037)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SUMIFS(RAB!$F$14:$F$137,RAB!$C$14:$C$137,C1038)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SUMIFS(RAB!$F$14:$F$137,RAB!$C$14:$C$137,C1039)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SUMIFS(RAB!$F$14:$F$137,RAB!$C$14:$C$137,C1040)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SUMIFS(RAB!$F$14:$F$137,RAB!$C$14:$C$137,C1041)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SUMIFS(RAB!$F$14:$F$137,RAB!$C$14:$C$137,C1042)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SUMIFS(RAB!$F$14:$F$137,RAB!$C$14:$C$137,C1043)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SUMIFS(RAB!$F$14:$F$137,RAB!$C$14:$C$137,C1044)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SUMIFS(RAB!$F$14:$F$137,RAB!$C$14:$C$137,C1045)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SUMIFS(RAB!$F$14:$F$137,RAB!$C$14:$C$137,C1046)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SUMIFS(RAB!$F$14:$F$137,RAB!$C$14:$C$137,C1047)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SUMIFS(RAB!$F$14:$F$137,RAB!$C$14:$C$137,C1048)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SUMIFS(RAB!$F$14:$F$137,RAB!$C$14:$C$137,C1049)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SUMIFS(RAB!$F$14:$F$137,RAB!$C$14:$C$137,C1050)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SUMIFS(RAB!$F$14:$F$137,RAB!$C$14:$C$137,C1051)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SUMIFS(RAB!$F$14:$F$137,RAB!$C$14:$C$137,C1052)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SUMIFS(RAB!$F$14:$F$137,RAB!$C$14:$C$137,C1053)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SUMIFS(RAB!$F$14:$F$137,RAB!$C$14:$C$137,C1054)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SUMIFS(RAB!$F$14:$F$137,RAB!$C$14:$C$137,C1055)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SUMIFS(RAB!$F$14:$F$137,RAB!$C$14:$C$137,C1056)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SUMIFS(RAB!$F$14:$F$137,RAB!$C$14:$C$137,C1057)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SUMIFS(RAB!$F$14:$F$137,RAB!$C$14:$C$137,C1058)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SUMIFS(RAB!$F$14:$F$137,RAB!$C$14:$C$137,C1059)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SUMIFS(RAB!$F$14:$F$137,RAB!$C$14:$C$137,C1060)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SUMIFS(RAB!$F$14:$F$137,RAB!$C$14:$C$137,C1061)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SUMIFS(RAB!$F$14:$F$137,RAB!$C$14:$C$137,C1062)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SUMIFS(RAB!$F$14:$F$137,RAB!$C$14:$C$137,C1063)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SUMIFS(RAB!$F$14:$F$137,RAB!$C$14:$C$137,C1064)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SUMIFS(RAB!$F$14:$F$137,RAB!$C$14:$C$137,C1065)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SUMIFS(RAB!$F$14:$F$137,RAB!$C$14:$C$137,C1066)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SUMIFS(RAB!$F$14:$F$137,RAB!$C$14:$C$137,C1067)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SUMIFS(RAB!$F$14:$F$137,RAB!$C$14:$C$137,C1068)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SUMIFS(RAB!$F$14:$F$137,RAB!$C$14:$C$137,C1069)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SUMIFS(RAB!$F$14:$F$137,RAB!$C$14:$C$137,C1070)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SUMIFS(RAB!$F$14:$F$137,RAB!$C$14:$C$137,C1071)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SUMIFS(RAB!$F$14:$F$137,RAB!$C$14:$C$137,C1072)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SUMIFS(RAB!$F$14:$F$137,RAB!$C$14:$C$137,C1073)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SUMIFS(RAB!$F$14:$F$137,RAB!$C$14:$C$137,C1074)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SUMIFS(RAB!$F$14:$F$137,RAB!$C$14:$C$137,C1075)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SUMIFS(RAB!$F$14:$F$137,RAB!$C$14:$C$137,C1076)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SUMIFS(RAB!$F$14:$F$137,RAB!$C$14:$C$137,C1077)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SUMIFS(RAB!$F$14:$F$137,RAB!$C$14:$C$137,C1078)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SUMIFS(RAB!$F$14:$F$137,RAB!$C$14:$C$137,C1079)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SUMIFS(RAB!$F$14:$F$137,RAB!$C$14:$C$137,C1080)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SUMIFS(RAB!$F$14:$F$137,RAB!$C$14:$C$137,C1081)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SUMIFS(RAB!$F$14:$F$137,RAB!$C$14:$C$137,C1082)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SUMIFS(RAB!$F$14:$F$137,RAB!$C$14:$C$137,C1083)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SUMIFS(RAB!$F$14:$F$137,RAB!$C$14:$C$137,C1084)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SUMIFS(RAB!$F$14:$F$137,RAB!$C$14:$C$137,C1085)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SUMIFS(RAB!$F$14:$F$137,RAB!$C$14:$C$137,C1086)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SUMIFS(RAB!$F$14:$F$137,RAB!$C$14:$C$137,C1087)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SUMIFS(RAB!$F$14:$F$137,RAB!$C$14:$C$137,C1088)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SUMIFS(RAB!$F$14:$F$137,RAB!$C$14:$C$137,C1089)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SUMIFS(RAB!$F$14:$F$137,RAB!$C$14:$C$137,C1090)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SUMIFS(RAB!$F$14:$F$137,RAB!$C$14:$C$137,C1091)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SUMIFS(RAB!$F$14:$F$137,RAB!$C$14:$C$137,C1092)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SUMIFS(RAB!$F$14:$F$137,RAB!$C$14:$C$137,C1093)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SUMIFS(RAB!$F$14:$F$137,RAB!$C$14:$C$137,C1094)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SUMIFS(RAB!$F$14:$F$137,RAB!$C$14:$C$137,C1095)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SUMIFS(RAB!$F$14:$F$137,RAB!$C$14:$C$137,C1096)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SUMIFS(RAB!$F$14:$F$137,RAB!$C$14:$C$137,C1097)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SUMIFS(RAB!$F$14:$F$137,RAB!$C$14:$C$137,C1098)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SUMIFS(RAB!$F$14:$F$137,RAB!$C$14:$C$137,C1099)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SUMIFS(RAB!$F$14:$F$137,RAB!$C$14:$C$137,C1100)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SUMIFS(RAB!$F$14:$F$137,RAB!$C$14:$C$137,C1101)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SUMIFS(RAB!$F$14:$F$137,RAB!$C$14:$C$137,C1102)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SUMIFS(RAB!$F$14:$F$137,RAB!$C$14:$C$137,C1103)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SUMIFS(RAB!$F$14:$F$137,RAB!$C$14:$C$137,C1104)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SUMIFS(RAB!$F$14:$F$137,RAB!$C$14:$C$137,C1105)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SUMIFS(RAB!$F$14:$F$137,RAB!$C$14:$C$137,C1106)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SUMIFS(RAB!$F$14:$F$137,RAB!$C$14:$C$137,C1107)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SUMIFS(RAB!$F$14:$F$137,RAB!$C$14:$C$137,C1108)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SUMIFS(RAB!$F$14:$F$137,RAB!$C$14:$C$137,C1109)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SUMIFS(RAB!$F$14:$F$137,RAB!$C$14:$C$137,C1110)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SUMIFS(RAB!$F$14:$F$137,RAB!$C$14:$C$137,C1111)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SUMIFS(RAB!$F$14:$F$137,RAB!$C$14:$C$137,C1112)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SUMIFS(RAB!$F$14:$F$137,RAB!$C$14:$C$137,C1113)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SUMIFS(RAB!$F$14:$F$137,RAB!$C$14:$C$137,C1114)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SUMIFS(RAB!$F$14:$F$137,RAB!$C$14:$C$137,C1115)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SUMIFS(RAB!$F$14:$F$137,RAB!$C$14:$C$137,C1116)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SUMIFS(RAB!$F$14:$F$137,RAB!$C$14:$C$137,C1117)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SUMIFS(RAB!$F$14:$F$137,RAB!$C$14:$C$137,C1118)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SUMIFS(RAB!$F$14:$F$137,RAB!$C$14:$C$137,C1119)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SUMIFS(RAB!$F$14:$F$137,RAB!$C$14:$C$137,C1120)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SUMIFS(RAB!$F$14:$F$137,RAB!$C$14:$C$137,C1121)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SUMIFS(RAB!$F$14:$F$137,RAB!$C$14:$C$137,C1122)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SUMIFS(RAB!$F$14:$F$137,RAB!$C$14:$C$137,C1123)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SUMIFS(RAB!$F$14:$F$137,RAB!$C$14:$C$137,C1124)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SUMIFS(RAB!$F$14:$F$137,RAB!$C$14:$C$137,C1125)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SUMIFS(RAB!$F$14:$F$137,RAB!$C$14:$C$137,C1126)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SUMIFS(RAB!$F$14:$F$137,RAB!$C$14:$C$137,C1127)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SUMIFS(RAB!$F$14:$F$137,RAB!$C$14:$C$137,C1128)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SUMIFS(RAB!$F$14:$F$137,RAB!$C$14:$C$137,C1129)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SUMIFS(RAB!$F$14:$F$137,RAB!$C$14:$C$137,C1130)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SUMIFS(RAB!$F$14:$F$137,RAB!$C$14:$C$137,C1131)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SUMIFS(RAB!$F$14:$F$137,RAB!$C$14:$C$137,C1132)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SUMIFS(RAB!$F$14:$F$137,RAB!$C$14:$C$137,C1133)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SUMIFS(RAB!$F$14:$F$137,RAB!$C$14:$C$137,C1134)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SUMIFS(RAB!$F$14:$F$137,RAB!$C$14:$C$137,C1135)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SUMIFS(RAB!$F$14:$F$137,RAB!$C$14:$C$137,C1136)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SUMIFS(RAB!$F$14:$F$137,RAB!$C$14:$C$137,C1137)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SUMIFS(RAB!$F$14:$F$137,RAB!$C$14:$C$137,C1138)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SUMIFS(RAB!$F$14:$F$137,RAB!$C$14:$C$137,C1139)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SUMIFS(RAB!$F$14:$F$137,RAB!$C$14:$C$137,C1140)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SUMIFS(RAB!$F$14:$F$137,RAB!$C$14:$C$137,C1141)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SUMIFS(RAB!$F$14:$F$137,RAB!$C$14:$C$137,C1142)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SUMIFS(RAB!$F$14:$F$137,RAB!$C$14:$C$137,C1143)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SUMIFS(RAB!$F$14:$F$137,RAB!$C$14:$C$137,C1144)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SUMIFS(RAB!$F$14:$F$137,RAB!$C$14:$C$137,C1145)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SUMIFS(RAB!$F$14:$F$137,RAB!$C$14:$C$137,C1146)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SUMIFS(RAB!$F$14:$F$137,RAB!$C$14:$C$137,C1147)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SUMIFS(RAB!$F$14:$F$137,RAB!$C$14:$C$137,C1148)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SUMIFS(RAB!$F$14:$F$137,RAB!$C$14:$C$137,C1149)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SUMIFS(RAB!$F$14:$F$137,RAB!$C$14:$C$137,C1150)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SUMIFS(RAB!$F$14:$F$137,RAB!$C$14:$C$137,C1151)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SUMIFS(RAB!$F$14:$F$137,RAB!$C$14:$C$137,C1152)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SUMIFS(RAB!$F$14:$F$137,RAB!$C$14:$C$137,C1153)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SUMIFS(RAB!$F$14:$F$137,RAB!$C$14:$C$137,C1154)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SUMIFS(RAB!$F$14:$F$137,RAB!$C$14:$C$137,C1155)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SUMIFS(RAB!$F$14:$F$137,RAB!$C$14:$C$137,C1156)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SUMIFS(RAB!$F$14:$F$137,RAB!$C$14:$C$137,C1157)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SUMIFS(RAB!$F$14:$F$137,RAB!$C$14:$C$137,C1158)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SUMIFS(RAB!$F$14:$F$137,RAB!$C$14:$C$137,C1159)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SUMIFS(RAB!$F$14:$F$137,RAB!$C$14:$C$137,C1160)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SUMIFS(RAB!$F$14:$F$137,RAB!$C$14:$C$137,C1161)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SUMIFS(RAB!$F$14:$F$137,RAB!$C$14:$C$137,C1162)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SUMIFS(RAB!$F$14:$F$137,RAB!$C$14:$C$137,C1163)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SUMIFS(RAB!$F$14:$F$137,RAB!$C$14:$C$137,C1164)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SUMIFS(RAB!$F$14:$F$137,RAB!$C$14:$C$137,C1165)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SUMIFS(RAB!$F$14:$F$137,RAB!$C$14:$C$137,C1166)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SUMIFS(RAB!$F$14:$F$137,RAB!$C$14:$C$137,C1167)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SUMIFS(RAB!$F$14:$F$137,RAB!$C$14:$C$137,C1168)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SUMIFS(RAB!$F$14:$F$137,RAB!$C$14:$C$137,C1169)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SUMIFS(RAB!$F$14:$F$137,RAB!$C$14:$C$137,C1170)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SUMIFS(RAB!$F$14:$F$137,RAB!$C$14:$C$137,C1171)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SUMIFS(RAB!$F$14:$F$137,RAB!$C$14:$C$137,C1172)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SUMIFS(RAB!$F$14:$F$137,RAB!$C$14:$C$137,C1173)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SUMIFS(RAB!$F$14:$F$137,RAB!$C$14:$C$137,C1174)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SUMIFS(RAB!$F$14:$F$137,RAB!$C$14:$C$137,C1175)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SUMIFS(RAB!$F$14:$F$137,RAB!$C$14:$C$137,C1176)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SUMIFS(RAB!$F$14:$F$137,RAB!$C$14:$C$137,C1177)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SUMIFS(RAB!$F$14:$F$137,RAB!$C$14:$C$137,C1178)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SUMIFS(RAB!$F$14:$F$137,RAB!$C$14:$C$137,C1179)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SUMIFS(RAB!$F$14:$F$137,RAB!$C$14:$C$137,C1180)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SUMIFS(RAB!$F$14:$F$137,RAB!$C$14:$C$137,C1181)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SUMIFS(RAB!$F$14:$F$137,RAB!$C$14:$C$137,C1182)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SUMIFS(RAB!$F$14:$F$137,RAB!$C$14:$C$137,C1183)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SUMIFS(RAB!$F$14:$F$137,RAB!$C$14:$C$137,C1184)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SUMIFS(RAB!$F$14:$F$137,RAB!$C$14:$C$137,C1185)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SUMIFS(RAB!$F$14:$F$137,RAB!$C$14:$C$137,C1186)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SUMIFS(RAB!$F$14:$F$137,RAB!$C$14:$C$137,C1187)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SUMIFS(RAB!$F$14:$F$137,RAB!$C$14:$C$137,C1188)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SUMIFS(RAB!$F$14:$F$137,RAB!$C$14:$C$137,C1189)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SUMIFS(RAB!$F$14:$F$137,RAB!$C$14:$C$137,C1190)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SUMIFS(RAB!$F$14:$F$137,RAB!$C$14:$C$137,C1191)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SUMIFS(RAB!$F$14:$F$137,RAB!$C$14:$C$137,C1192)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SUMIFS(RAB!$F$14:$F$137,RAB!$C$14:$C$137,C1193)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SUMIFS(RAB!$F$14:$F$137,RAB!$C$14:$C$137,C1194)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SUMIFS(RAB!$F$14:$F$137,RAB!$C$14:$C$137,C1195)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SUMIFS(RAB!$F$14:$F$137,RAB!$C$14:$C$137,C1196)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SUMIFS(RAB!$F$14:$F$137,RAB!$C$14:$C$137,C1197)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SUMIFS(RAB!$F$14:$F$137,RAB!$C$14:$C$137,C1198)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SUMIFS(RAB!$F$14:$F$137,RAB!$C$14:$C$137,C1199)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SUMIFS(RAB!$F$14:$F$137,RAB!$C$14:$C$137,C1200)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SUMIFS(RAB!$F$14:$F$137,RAB!$C$14:$C$137,C1201)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SUMIFS(RAB!$F$14:$F$137,RAB!$C$14:$C$137,C1202)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SUMIFS(RAB!$F$14:$F$137,RAB!$C$14:$C$137,C1203)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SUMIFS(RAB!$F$14:$F$137,RAB!$C$14:$C$137,C1204)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SUMIFS(RAB!$F$14:$F$137,RAB!$C$14:$C$137,C1205)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SUMIFS(RAB!$F$14:$F$137,RAB!$C$14:$C$137,C1206)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SUMIFS(RAB!$F$14:$F$137,RAB!$C$14:$C$137,C1207)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SUMIFS(RAB!$F$14:$F$137,RAB!$C$14:$C$137,C1208)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SUMIFS(RAB!$F$14:$F$137,RAB!$C$14:$C$137,C1209)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SUMIFS(RAB!$F$14:$F$137,RAB!$C$14:$C$137,C1210)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SUMIFS(RAB!$F$14:$F$137,RAB!$C$14:$C$137,C1211)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SUMIFS(RAB!$F$14:$F$137,RAB!$C$14:$C$137,C1212)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SUMIFS(RAB!$F$14:$F$137,RAB!$C$14:$C$137,C1213)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SUMIFS(RAB!$F$14:$F$137,RAB!$C$14:$C$137,C1214)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SUMIFS(RAB!$F$14:$F$137,RAB!$C$14:$C$137,C1215)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SUMIFS(RAB!$F$14:$F$137,RAB!$C$14:$C$137,C1216)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SUMIFS(RAB!$F$14:$F$137,RAB!$C$14:$C$137,C1217)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SUMIFS(RAB!$F$14:$F$137,RAB!$C$14:$C$137,C1218)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SUMIFS(RAB!$F$14:$F$137,RAB!$C$14:$C$137,C1219)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SUMIFS(RAB!$F$14:$F$137,RAB!$C$14:$C$137,C1220)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SUMIFS(RAB!$F$14:$F$137,RAB!$C$14:$C$137,C1221)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SUMIFS(RAB!$F$14:$F$137,RAB!$C$14:$C$137,C1222)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SUMIFS(RAB!$F$14:$F$137,RAB!$C$14:$C$137,C1223)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SUMIFS(RAB!$F$14:$F$137,RAB!$C$14:$C$137,C1224)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SUMIFS(RAB!$F$14:$F$137,RAB!$C$14:$C$137,C1225)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SUMIFS(RAB!$F$14:$F$137,RAB!$C$14:$C$137,C1226)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SUMIFS(RAB!$F$14:$F$137,RAB!$C$14:$C$137,C1227)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SUMIFS(RAB!$F$14:$F$137,RAB!$C$14:$C$137,C1228)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SUMIFS(RAB!$F$14:$F$137,RAB!$C$14:$C$137,C1229)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SUMIFS(RAB!$F$14:$F$137,RAB!$C$14:$C$137,C1230)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SUMIFS(RAB!$F$14:$F$137,RAB!$C$14:$C$137,C1231)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SUMIFS(RAB!$F$14:$F$137,RAB!$C$14:$C$137,C1232)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SUMIFS(RAB!$F$14:$F$137,RAB!$C$14:$C$137,C1233)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SUMIFS(RAB!$F$14:$F$137,RAB!$C$14:$C$137,C1234)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SUMIFS(RAB!$F$14:$F$137,RAB!$C$14:$C$137,C1235)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SUMIFS(RAB!$F$14:$F$137,RAB!$C$14:$C$137,C1236)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SUMIFS(RAB!$F$14:$F$137,RAB!$C$14:$C$137,C1237)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SUMIFS(RAB!$F$14:$F$137,RAB!$C$14:$C$137,C1238)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SUMIFS(RAB!$F$14:$F$137,RAB!$C$14:$C$137,C1239)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SUMIFS(RAB!$F$14:$F$137,RAB!$C$14:$C$137,C1240)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SUMIFS(RAB!$F$14:$F$137,RAB!$C$14:$C$137,C1241)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SUMIFS(RAB!$F$14:$F$137,RAB!$C$14:$C$137,C1242)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SUMIFS(RAB!$F$14:$F$137,RAB!$C$14:$C$137,C1243)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SUMIFS(RAB!$F$14:$F$137,RAB!$C$14:$C$137,C1244)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SUMIFS(RAB!$F$14:$F$137,RAB!$C$14:$C$137,C1245)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SUMIFS(RAB!$F$14:$F$137,RAB!$C$14:$C$137,C1246)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SUMIFS(RAB!$F$14:$F$137,RAB!$C$14:$C$137,C1247)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SUMIFS(RAB!$F$14:$F$137,RAB!$C$14:$C$137,C1248)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SUMIFS(RAB!$F$14:$F$137,RAB!$C$14:$C$137,C1249)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SUMIFS(RAB!$F$14:$F$137,RAB!$C$14:$C$137,C1250)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SUMIFS(RAB!$F$14:$F$137,RAB!$C$14:$C$137,C1251)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SUMIFS(RAB!$F$14:$F$137,RAB!$C$14:$C$137,C1252)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SUMIFS(RAB!$F$14:$F$137,RAB!$C$14:$C$137,C1253)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SUMIFS(RAB!$F$14:$F$137,RAB!$C$14:$C$137,C1254)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SUMIFS(RAB!$F$14:$F$137,RAB!$C$14:$C$137,C1255)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SUMIFS(RAB!$F$14:$F$137,RAB!$C$14:$C$137,C1256)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SUMIFS(RAB!$F$14:$F$137,RAB!$C$14:$C$137,C1257)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SUMIFS(RAB!$F$14:$F$137,RAB!$C$14:$C$137,C1258)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SUMIFS(RAB!$F$14:$F$137,RAB!$C$14:$C$137,C1259)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SUMIFS(RAB!$F$14:$F$137,RAB!$C$14:$C$137,C1260)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SUMIFS(RAB!$F$14:$F$137,RAB!$C$14:$C$137,C1261)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SUMIFS(RAB!$F$14:$F$137,RAB!$C$14:$C$137,C1262)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SUMIFS(RAB!$F$14:$F$137,RAB!$C$14:$C$137,C1263)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SUMIFS(RAB!$F$14:$F$137,RAB!$C$14:$C$137,C1264)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SUMIFS(RAB!$F$14:$F$137,RAB!$C$14:$C$137,C1265)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SUMIFS(RAB!$F$14:$F$137,RAB!$C$14:$C$137,C1266)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SUMIFS(RAB!$F$14:$F$137,RAB!$C$14:$C$137,C1267)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SUMIFS(RAB!$F$14:$F$137,RAB!$C$14:$C$137,C1268)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SUMIFS(RAB!$F$14:$F$137,RAB!$C$14:$C$137,C1269)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SUMIFS(RAB!$F$14:$F$137,RAB!$C$14:$C$137,C1270)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SUMIFS(RAB!$F$14:$F$137,RAB!$C$14:$C$137,C1271)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SUMIFS(RAB!$F$14:$F$137,RAB!$C$14:$C$137,C1272)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SUMIFS(RAB!$F$14:$F$137,RAB!$C$14:$C$137,C1273)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SUMIFS(RAB!$F$14:$F$137,RAB!$C$14:$C$137,C1274)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SUMIFS(RAB!$F$14:$F$137,RAB!$C$14:$C$137,C1275)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SUMIFS(RAB!$F$14:$F$137,RAB!$C$14:$C$137,C1276)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SUMIFS(RAB!$F$14:$F$137,RAB!$C$14:$C$137,C1277)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SUMIFS(RAB!$F$14:$F$137,RAB!$C$14:$C$137,C1278)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SUMIFS(RAB!$F$14:$F$137,RAB!$C$14:$C$137,C1279)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SUMIFS(RAB!$F$14:$F$137,RAB!$C$14:$C$137,C1280)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SUMIFS(RAB!$F$14:$F$137,RAB!$C$14:$C$137,C1281)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SUMIFS(RAB!$F$14:$F$137,RAB!$C$14:$C$137,C1282)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SUMIFS(RAB!$F$14:$F$137,RAB!$C$14:$C$137,C1283)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SUMIFS(RAB!$F$14:$F$137,RAB!$C$14:$C$137,C1284)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SUMIFS(RAB!$F$14:$F$137,RAB!$C$14:$C$137,C1285)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SUMIFS(RAB!$F$14:$F$137,RAB!$C$14:$C$137,C1286)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SUMIFS(RAB!$F$14:$F$137,RAB!$C$14:$C$137,C1287)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SUMIFS(RAB!$F$14:$F$137,RAB!$C$14:$C$137,C1288)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SUMIFS(RAB!$F$14:$F$137,RAB!$C$14:$C$137,C1289)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SUMIFS(RAB!$F$14:$F$137,RAB!$C$14:$C$137,C1290)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SUMIFS(RAB!$F$14:$F$137,RAB!$C$14:$C$137,C1291)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SUMIFS(RAB!$F$14:$F$137,RAB!$C$14:$C$137,C1292)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SUMIFS(RAB!$F$14:$F$137,RAB!$C$14:$C$137,C1293)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SUMIFS(RAB!$F$14:$F$137,RAB!$C$14:$C$137,C1294)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SUMIFS(RAB!$F$14:$F$137,RAB!$C$14:$C$137,C1295)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SUMIFS(RAB!$F$14:$F$137,RAB!$C$14:$C$137,C1296)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SUMIFS(RAB!$F$14:$F$137,RAB!$C$14:$C$137,C1297)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SUMIFS(RAB!$F$14:$F$137,RAB!$C$14:$C$137,C1298)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SUMIFS(RAB!$F$14:$F$137,RAB!$C$14:$C$137,C1299)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SUMIFS(RAB!$F$14:$F$137,RAB!$C$14:$C$137,C1300)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SUMIFS(RAB!$F$14:$F$137,RAB!$C$14:$C$137,C1301)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SUMIFS(RAB!$F$14:$F$137,RAB!$C$14:$C$137,C1302)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SUMIFS(RAB!$F$14:$F$137,RAB!$C$14:$C$137,C1303)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SUMIFS(RAB!$F$14:$F$137,RAB!$C$14:$C$137,C1304)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SUMIFS(RAB!$F$14:$F$137,RAB!$C$14:$C$137,C1305)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SUMIFS(RAB!$F$14:$F$137,RAB!$C$14:$C$137,C1306)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SUMIFS(RAB!$F$14:$F$137,RAB!$C$14:$C$137,C1307)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SUMIFS(RAB!$F$14:$F$137,RAB!$C$14:$C$137,C1308)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SUMIFS(RAB!$F$14:$F$137,RAB!$C$14:$C$137,C1309)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SUMIFS(RAB!$F$14:$F$137,RAB!$C$14:$C$137,C1310)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SUMIFS(RAB!$F$14:$F$137,RAB!$C$14:$C$137,C1311)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SUMIFS(RAB!$F$14:$F$137,RAB!$C$14:$C$137,C1312)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SUMIFS(RAB!$F$14:$F$137,RAB!$C$14:$C$137,C1313)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SUMIFS(RAB!$F$14:$F$137,RAB!$C$14:$C$137,C1314)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SUMIFS(RAB!$F$14:$F$137,RAB!$C$14:$C$137,C1315)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SUMIFS(RAB!$F$14:$F$137,RAB!$C$14:$C$137,C1316)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SUMIFS(RAB!$F$14:$F$137,RAB!$C$14:$C$137,C1317)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SUMIFS(RAB!$F$14:$F$137,RAB!$C$14:$C$137,C1318)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SUMIFS(RAB!$F$14:$F$137,RAB!$C$14:$C$137,C1319)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SUMIFS(RAB!$F$14:$F$137,RAB!$C$14:$C$137,C1320)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6" priority="5" operator="equal">
      <formula>0</formula>
    </cfRule>
  </conditionalFormatting>
  <conditionalFormatting sqref="A10:L65536">
    <cfRule type="cellIs" dxfId="65" priority="1" operator="equal">
      <formula>0</formula>
    </cfRule>
  </conditionalFormatting>
  <conditionalFormatting sqref="C12:C711">
    <cfRule type="cellIs" dxfId="64" priority="66" stopIfTrue="1" operator="equal">
      <formula>0</formula>
    </cfRule>
  </conditionalFormatting>
  <conditionalFormatting sqref="E712:E65536">
    <cfRule type="cellIs" dxfId="63" priority="16" stopIfTrue="1" operator="equal">
      <formula>0</formula>
    </cfRule>
  </conditionalFormatting>
  <conditionalFormatting sqref="G1:G11 E6:E11 E1:E3 H7 H10:H11 F10:F711 G712:G65536">
    <cfRule type="cellIs" dxfId="62" priority="69" stopIfTrue="1" operator="equal">
      <formula>0</formula>
    </cfRule>
  </conditionalFormatting>
  <conditionalFormatting sqref="G12:H711">
    <cfRule type="cellIs" dxfId="61" priority="12" stopIfTrue="1" operator="equal">
      <formula>0</formula>
    </cfRule>
  </conditionalFormatting>
  <conditionalFormatting sqref="I7:K7">
    <cfRule type="cellIs" dxfId="60" priority="4" stopIfTrue="1" operator="equal">
      <formula>0</formula>
    </cfRule>
  </conditionalFormatting>
  <conditionalFormatting sqref="I10:L711">
    <cfRule type="cellIs" dxfId="59" priority="2" stopIfTrue="1" operator="equal">
      <formula>0</formula>
    </cfRule>
  </conditionalFormatting>
  <conditionalFormatting sqref="L1:L6">
    <cfRule type="cellIs" dxfId="58" priority="10" operator="equal">
      <formula>0</formula>
    </cfRule>
  </conditionalFormatting>
  <conditionalFormatting sqref="M1:IV1048576 A8:G9">
    <cfRule type="cellIs" dxfId="5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1127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ANIS FUADAH (BIMBEL NEURON)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BOGORAME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11600000</v>
      </c>
      <c r="J16" s="42">
        <f t="shared" ca="1" si="3"/>
        <v>0</v>
      </c>
      <c r="K16" s="43">
        <f t="shared" ca="1" si="0"/>
        <v>11600000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11600000</v>
      </c>
      <c r="J38" s="55">
        <f ca="1">SUM(J14:J37)</f>
        <v>0</v>
      </c>
      <c r="K38" s="55">
        <f ca="1">SUM(K14:K37)</f>
        <v>11600000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1160000</v>
      </c>
      <c r="J39" s="60">
        <f ca="1">J38*0.1</f>
        <v>0</v>
      </c>
      <c r="K39" s="60">
        <f ca="1">K38*0.1</f>
        <v>1160000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0" t="s">
        <v>463</v>
      </c>
      <c r="D40" s="540"/>
      <c r="E40" s="540"/>
      <c r="F40" s="540"/>
      <c r="G40" s="61" t="s">
        <v>9</v>
      </c>
      <c r="H40" s="78">
        <f ca="1">SUM(H38:H39)</f>
        <v>0</v>
      </c>
      <c r="I40" s="78">
        <f ca="1">SUM(I38:I39)</f>
        <v>12760000</v>
      </c>
      <c r="J40" s="61">
        <f ca="1">SUM(J38:J39)</f>
        <v>0</v>
      </c>
      <c r="K40" s="61">
        <f ca="1">SUM(K38:K39)</f>
        <v>12760000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1"/>
      <c r="I45" s="541"/>
      <c r="J45" s="542"/>
      <c r="K45" s="54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1"/>
      <c r="I46" s="541"/>
      <c r="J46" s="542"/>
      <c r="K46" s="54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1"/>
      <c r="I47" s="541"/>
      <c r="J47" s="542"/>
      <c r="K47" s="54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1"/>
      <c r="I52" s="541"/>
      <c r="J52" s="542"/>
      <c r="K52" s="54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SUMIFS(RAB!$F$14:$F$137,RAB!$C$14:$C$137,'REKAP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SUMIFS(RAB!$F$14:$F$137,RAB!$C$14:$C$137,'REKAP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SUMIFS(RAB!$F$14:$F$137,RAB!$C$14:$C$137,'REKAP TIANG'!C59)</f>
        <v>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SUMIFS(RAB!$F$14:$F$137,RAB!$C$14:$C$137,'REKAP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SUMIFS(RAB!$F$14:$F$137,RAB!$C$14:$C$137,'REKAP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SUMIFS(RAB!$F$14:$F$137,RAB!$C$14:$C$137,'REKAP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SUMIFS(RAB!$F$14:$F$137,RAB!$C$14:$C$137,'REKAP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SUMIFS(RAB!$F$14:$F$137,RAB!$C$14:$C$137,'REKAP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SUMIFS(RAB!$F$14:$F$137,RAB!$C$14:$C$137,'REKAP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SUMIFS(RAB!$F$14:$F$137,RAB!$C$14:$C$137,'REKAP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SUMIFS(RAB!$F$14:$F$137,RAB!$C$14:$C$137,'REKAP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SUMIFS(RAB!$F$14:$F$137,RAB!$C$14:$C$137,'REKAP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SUMIFS(RAB!$F$14:$F$137,RAB!$C$14:$C$137,'REKAP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SUMIFS(RAB!$F$14:$F$137,RAB!$C$14:$C$137,'REKAP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SUMIFS(RAB!$F$14:$F$137,RAB!$C$14:$C$137,'REKAP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SUMIFS(RAB!$F$14:$F$137,RAB!$C$14:$C$137,'REKAP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SUMIFS(RAB!$F$14:$F$137,RAB!$C$14:$C$137,'REKAP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SUMIFS(RAB!$F$14:$F$137,RAB!$C$14:$C$137,'REKAP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SUMIFS(RAB!$F$14:$F$137,RAB!$C$14:$C$137,'REKAP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SUMIFS(RAB!$F$14:$F$137,RAB!$C$14:$C$137,'REKAP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1034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ANIS FUADAH (BIMBEL NEURON)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BOGORAME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LVCB 2 Jurusan 250 A LBS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9994500</v>
      </c>
      <c r="H19" s="42">
        <f t="shared" ca="1" si="1"/>
        <v>9994500</v>
      </c>
      <c r="I19" s="42">
        <f t="shared" ca="1" si="2"/>
        <v>0</v>
      </c>
      <c r="J19" s="42">
        <f t="shared" ca="1" si="3"/>
        <v>0</v>
      </c>
      <c r="K19" s="43">
        <f t="shared" ca="1" si="0"/>
        <v>9994500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FCO Polymer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848250</v>
      </c>
      <c r="H20" s="42">
        <f t="shared" ca="1" si="1"/>
        <v>2544750</v>
      </c>
      <c r="I20" s="42">
        <f t="shared" ca="1" si="2"/>
        <v>0</v>
      </c>
      <c r="J20" s="42">
        <f t="shared" ca="1" si="3"/>
        <v>0</v>
      </c>
      <c r="K20" s="43">
        <f t="shared" ca="1" si="0"/>
        <v>2544750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Lightning Arester (Polymer) 21 KV, 10 KA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725900</v>
      </c>
      <c r="H21" s="42">
        <f t="shared" ca="1" si="1"/>
        <v>2177700</v>
      </c>
      <c r="I21" s="42">
        <f t="shared" ca="1" si="2"/>
        <v>0</v>
      </c>
      <c r="J21" s="42">
        <f t="shared" ca="1" si="3"/>
        <v>0</v>
      </c>
      <c r="K21" s="43">
        <f t="shared" ca="1" si="0"/>
        <v>2177700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9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127800</v>
      </c>
      <c r="I22" s="42">
        <f t="shared" ca="1" si="2"/>
        <v>0</v>
      </c>
      <c r="J22" s="42">
        <f t="shared" ca="1" si="3"/>
        <v>0</v>
      </c>
      <c r="K22" s="43">
        <f t="shared" ca="1" si="0"/>
        <v>127800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129</v>
      </c>
      <c r="G23" s="41">
        <f ca="1">IF(ISERROR(OFFSET('HARGA SATUAN'!$I$6,MATCH(C23,'HARGA SATUAN'!$C$7:$C$1492,0),0)),"",OFFSET('HARGA SATUAN'!$I$6,MATCH(C23,'HARGA SATUAN'!$C$7:$C$1492,0),0))</f>
        <v>54500</v>
      </c>
      <c r="H23" s="42">
        <f t="shared" ca="1" si="1"/>
        <v>7030500</v>
      </c>
      <c r="I23" s="42">
        <f t="shared" ca="1" si="2"/>
        <v>0</v>
      </c>
      <c r="J23" s="42">
        <f t="shared" ca="1" si="3"/>
        <v>0</v>
      </c>
      <c r="K23" s="43">
        <f t="shared" ca="1" si="0"/>
        <v>7030500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4 x 16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35</v>
      </c>
      <c r="G24" s="41">
        <f ca="1">IF(ISERROR(OFFSET('HARGA SATUAN'!$I$6,MATCH(C24,'HARGA SATUAN'!$C$7:$C$1492,0),0)),"",OFFSET('HARGA SATUAN'!$I$6,MATCH(C24,'HARGA SATUAN'!$C$7:$C$1492,0),0))</f>
        <v>13500</v>
      </c>
      <c r="H24" s="42">
        <f t="shared" ca="1" si="1"/>
        <v>472500</v>
      </c>
      <c r="I24" s="42">
        <f t="shared" ca="1" si="2"/>
        <v>0</v>
      </c>
      <c r="J24" s="42">
        <f t="shared" ca="1" si="3"/>
        <v>0</v>
      </c>
      <c r="K24" s="43">
        <f t="shared" ca="1" si="0"/>
        <v>472500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90397450</v>
      </c>
      <c r="I168" s="55">
        <f ca="1">SUM(I14:I167)</f>
        <v>0</v>
      </c>
      <c r="J168" s="55">
        <f ca="1">SUM(J14:J167)</f>
        <v>0</v>
      </c>
      <c r="K168" s="55">
        <f ca="1">SUM(K14:K167)</f>
        <v>90397450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9039745</v>
      </c>
      <c r="I169" s="60">
        <f ca="1">I168*0.1</f>
        <v>0</v>
      </c>
      <c r="J169" s="60">
        <f ca="1">J168*0.1</f>
        <v>0</v>
      </c>
      <c r="K169" s="60">
        <f ca="1">K168*0.1</f>
        <v>9039745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0" t="s">
        <v>463</v>
      </c>
      <c r="D170" s="540"/>
      <c r="E170" s="540"/>
      <c r="F170" s="540"/>
      <c r="G170" s="61" t="s">
        <v>9</v>
      </c>
      <c r="H170" s="78">
        <f ca="1">SUM(H168:H169)</f>
        <v>99437195</v>
      </c>
      <c r="I170" s="78">
        <f ca="1">SUM(I168:I169)</f>
        <v>0</v>
      </c>
      <c r="J170" s="61">
        <f ca="1">SUM(J168:J169)</f>
        <v>0</v>
      </c>
      <c r="K170" s="61">
        <f ca="1">SUM(K168:K169)</f>
        <v>99437195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1"/>
      <c r="I175" s="541"/>
      <c r="J175" s="542"/>
      <c r="K175" s="54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1"/>
      <c r="I176" s="541"/>
      <c r="J176" s="542"/>
      <c r="K176" s="54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1"/>
      <c r="I177" s="541"/>
      <c r="J177" s="542"/>
      <c r="K177" s="54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1"/>
      <c r="I182" s="541"/>
      <c r="J182" s="542"/>
      <c r="K182" s="54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SUMIFS(RAB!$F$14:$F$137,RAB!$C$14:$C$137,C224)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SUMIFS(RAB!$F$14:$F$137,RAB!$C$14:$C$137,C225)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SUMIFS(RAB!$F$14:$F$137,RAB!$C$14:$C$137,C226)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SUMIFS(RAB!$F$14:$F$137,RAB!$C$14:$C$137,C227)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SUMIFS(RAB!$F$14:$F$137,RAB!$C$14:$C$137,C228)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SUMIFS(RAB!$F$14:$F$137,RAB!$C$14:$C$137,C229)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SUMIFS(RAB!$F$14:$F$137,RAB!$C$14:$C$137,C230)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SUMIFS(RAB!$F$14:$F$137,RAB!$C$14:$C$137,C231)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SUMIFS(RAB!$F$14:$F$137,RAB!$C$14:$C$137,C232)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SUMIFS(RAB!$F$14:$F$137,RAB!$C$14:$C$137,C233)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SUMIFS(RAB!$F$14:$F$137,RAB!$C$14:$C$137,C234)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SUMIFS(RAB!$F$14:$F$137,RAB!$C$14:$C$137,C235)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SUMIFS(RAB!$F$14:$F$137,RAB!$C$14:$C$137,C236)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SUMIFS(RAB!$F$14:$F$137,RAB!$C$14:$C$137,C237)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SUMIFS(RAB!$F$14:$F$137,RAB!$C$14:$C$137,C238)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SUMIFS(RAB!$F$14:$F$137,RAB!$C$14:$C$137,C239)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SUMIFS(RAB!$F$14:$F$137,RAB!$C$14:$C$137,C240)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SUMIFS(RAB!$F$14:$F$137,RAB!$C$14:$C$137,C241)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SUMIFS(RAB!$F$14:$F$137,RAB!$C$14:$C$137,C242)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SUMIFS(RAB!$F$14:$F$137,RAB!$C$14:$C$137,C243)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SUMIFS(RAB!$F$14:$F$137,RAB!$C$14:$C$137,C244)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SUMIFS(RAB!$F$14:$F$137,RAB!$C$14:$C$137,C245)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SUMIFS(RAB!$F$14:$F$137,RAB!$C$14:$C$137,C246)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SUMIFS(RAB!$F$14:$F$137,RAB!$C$14:$C$137,C247)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SUMIFS(RAB!$F$14:$F$137,RAB!$C$14:$C$137,C248)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SUMIFS(RAB!$F$14:$F$137,RAB!$C$14:$C$137,C249)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SUMIFS(RAB!$F$14:$F$137,RAB!$C$14:$C$137,C250)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SUMIFS(RAB!$F$14:$F$137,RAB!$C$14:$C$137,C251)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SUMIFS(RAB!$F$14:$F$137,RAB!$C$14:$C$137,C252)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SUMIFS(RAB!$F$14:$F$137,RAB!$C$14:$C$137,C253)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SUMIFS(RAB!$F$14:$F$137,RAB!$C$14:$C$137,C254)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SUMIFS(RAB!$F$14:$F$137,RAB!$C$14:$C$137,C255)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SUMIFS(RAB!$F$14:$F$137,RAB!$C$14:$C$137,C256)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SUMIFS(RAB!$F$14:$F$137,RAB!$C$14:$C$137,C257)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SUMIFS(RAB!$F$14:$F$137,RAB!$C$14:$C$137,C258)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SUMIFS(RAB!$F$14:$F$137,RAB!$C$14:$C$137,C259)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SUMIFS(RAB!$F$14:$F$137,RAB!$C$14:$C$137,C260)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SUMIFS(RAB!$F$14:$F$137,RAB!$C$14:$C$137,C261)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SUMIFS(RAB!$F$14:$F$137,RAB!$C$14:$C$137,C262)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SUMIFS(RAB!$F$14:$F$137,RAB!$C$14:$C$137,C263)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SUMIFS(RAB!$F$14:$F$137,RAB!$C$14:$C$137,C264)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SUMIFS(RAB!$F$14:$F$137,RAB!$C$14:$C$137,C265)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SUMIFS(RAB!$F$14:$F$137,RAB!$C$14:$C$137,C266)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SUMIFS(RAB!$F$14:$F$137,RAB!$C$14:$C$137,C267)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SUMIFS(RAB!$F$14:$F$137,RAB!$C$14:$C$137,C268)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SUMIFS(RAB!$F$14:$F$137,RAB!$C$14:$C$137,C269)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SUMIFS(RAB!$F$14:$F$137,RAB!$C$14:$C$137,C270)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SUMIFS(RAB!$F$14:$F$137,RAB!$C$14:$C$137,C271)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SUMIFS(RAB!$F$14:$F$137,RAB!$C$14:$C$137,C272)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SUMIFS(RAB!$F$14:$F$137,RAB!$C$14:$C$137,C273)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SUMIFS(RAB!$F$14:$F$137,RAB!$C$14:$C$137,C274)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SUMIFS(RAB!$F$14:$F$137,RAB!$C$14:$C$137,C275)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SUMIFS(RAB!$F$14:$F$137,RAB!$C$14:$C$137,C276)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SUMIFS(RAB!$F$14:$F$137,RAB!$C$14:$C$137,C277)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SUMIFS(RAB!$F$14:$F$137,RAB!$C$14:$C$137,C278)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SUMIFS(RAB!$F$14:$F$137,RAB!$C$14:$C$137,C279)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SUMIFS(RAB!$F$14:$F$137,RAB!$C$14:$C$137,C280)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SUMIFS(RAB!$F$14:$F$137,RAB!$C$14:$C$137,C281)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SUMIFS(RAB!$F$14:$F$137,RAB!$C$14:$C$137,C282)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SUMIFS(RAB!$F$14:$F$137,RAB!$C$14:$C$137,C283)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SUMIFS(RAB!$F$14:$F$137,RAB!$C$14:$C$137,C284)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SUMIFS(RAB!$F$14:$F$137,RAB!$C$14:$C$137,C285)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SUMIFS(RAB!$F$14:$F$137,RAB!$C$14:$C$137,C286)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SUMIFS(RAB!$F$14:$F$137,RAB!$C$14:$C$137,C287)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SUMIFS(RAB!$F$14:$F$137,RAB!$C$14:$C$137,C288)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SUMIFS(RAB!$F$14:$F$137,RAB!$C$14:$C$137,C289)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SUMIFS(RAB!$F$14:$F$137,RAB!$C$14:$C$137,C290)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SUMIFS(RAB!$F$14:$F$137,RAB!$C$14:$C$137,C291)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SUMIFS(RAB!$F$14:$F$137,RAB!$C$14:$C$137,C292)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SUMIFS(RAB!$F$14:$F$137,RAB!$C$14:$C$137,C293)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SUMIFS(RAB!$F$14:$F$137,RAB!$C$14:$C$137,C294)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SUMIFS(RAB!$F$14:$F$137,RAB!$C$14:$C$137,C295)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SUMIFS(RAB!$F$14:$F$137,RAB!$C$14:$C$137,C296)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SUMIFS(RAB!$F$14:$F$137,RAB!$C$14:$C$137,C297)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SUMIFS(RAB!$F$14:$F$137,RAB!$C$14:$C$137,C298)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SUMIFS(RAB!$F$14:$F$137,RAB!$C$14:$C$137,C299)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SUMIFS(RAB!$F$14:$F$137,RAB!$C$14:$C$137,C300)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SUMIFS(RAB!$F$14:$F$137,RAB!$C$14:$C$137,C301)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SUMIFS(RAB!$F$14:$F$137,RAB!$C$14:$C$137,C302)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SUMIFS(RAB!$F$14:$F$137,RAB!$C$14:$C$137,C303)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SUMIFS(RAB!$F$14:$F$137,RAB!$C$14:$C$137,C304)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SUMIFS(RAB!$F$14:$F$137,RAB!$C$14:$C$137,C305)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SUMIFS(RAB!$F$14:$F$137,RAB!$C$14:$C$137,C306)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SUMIFS(RAB!$F$14:$F$137,RAB!$C$14:$C$137,C307)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SUMIFS(RAB!$F$14:$F$137,RAB!$C$14:$C$137,C308)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SUMIFS(RAB!$F$14:$F$137,RAB!$C$14:$C$137,C309)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SUMIFS(RAB!$F$14:$F$137,RAB!$C$14:$C$137,C310)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SUMIFS(RAB!$F$14:$F$137,RAB!$C$14:$C$137,C311)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SUMIFS(RAB!$F$14:$F$137,RAB!$C$14:$C$137,C312)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SUMIFS(RAB!$F$14:$F$137,RAB!$C$14:$C$137,C313)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SUMIFS(RAB!$F$14:$F$137,RAB!$C$14:$C$137,C314)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SUMIFS(RAB!$F$14:$F$137,RAB!$C$14:$C$137,C315)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SUMIFS(RAB!$F$14:$F$137,RAB!$C$14:$C$137,C316)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SUMIFS(RAB!$F$14:$F$137,RAB!$C$14:$C$137,C317)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SUMIFS(RAB!$F$14:$F$137,RAB!$C$14:$C$137,C318)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SUMIFS(RAB!$F$14:$F$137,RAB!$C$14:$C$137,C319)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SUMIFS(RAB!$F$14:$F$137,RAB!$C$14:$C$137,C320)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SUMIFS(RAB!$F$14:$F$137,RAB!$C$14:$C$137,C321)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SUMIFS(RAB!$F$14:$F$137,RAB!$C$14:$C$137,C322)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SUMIFS(RAB!$F$14:$F$137,RAB!$C$14:$C$137,C323)</f>
        <v>1</v>
      </c>
      <c r="E323" s="24">
        <f t="shared" ca="1" si="22"/>
        <v>1</v>
      </c>
      <c r="F323" s="24">
        <f ca="1">IF(D323=0,0,SUM($E$223:E323))</f>
        <v>4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SUMIFS(RAB!$F$14:$F$137,RAB!$C$14:$C$137,C324)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SUMIFS(RAB!$F$14:$F$137,RAB!$C$14:$C$137,C325)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SUMIFS(RAB!$F$14:$F$137,RAB!$C$14:$C$137,C326)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SUMIFS(RAB!$F$14:$F$137,RAB!$C$14:$C$137,C327)</f>
        <v>3</v>
      </c>
      <c r="E327" s="24">
        <f t="shared" ca="1" si="22"/>
        <v>1</v>
      </c>
      <c r="F327" s="24">
        <f ca="1">IF(D327=0,0,SUM($E$223:E327))</f>
        <v>5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SUMIFS(RAB!$F$14:$F$137,RAB!$C$14:$C$137,C328)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SUMIFS(RAB!$F$14:$F$137,RAB!$C$14:$C$137,C329)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SUMIFS(RAB!$F$14:$F$137,RAB!$C$14:$C$137,C330)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SUMIFS(RAB!$F$14:$F$137,RAB!$C$14:$C$137,C331)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SUMIFS(RAB!$F$14:$F$137,RAB!$C$14:$C$137,C332)</f>
        <v>3</v>
      </c>
      <c r="E332" s="24">
        <f t="shared" ca="1" si="22"/>
        <v>1</v>
      </c>
      <c r="F332" s="24">
        <f ca="1">IF(D332=0,0,SUM($E$223:E332))</f>
        <v>6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SUMIFS(RAB!$F$14:$F$137,RAB!$C$14:$C$137,C333)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SUMIFS(RAB!$F$14:$F$137,RAB!$C$14:$C$137,C334)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SUMIFS(RAB!$F$14:$F$137,RAB!$C$14:$C$137,C335)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SUMIFS(RAB!$F$14:$F$137,RAB!$C$14:$C$137,C336)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SUMIFS(RAB!$F$14:$F$137,RAB!$C$14:$C$137,C337)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SUMIFS(RAB!$F$14:$F$137,RAB!$C$14:$C$137,C338)</f>
        <v>9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SUMIFS(RAB!$F$14:$F$137,RAB!$C$14:$C$137,C339)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SUMIFS(RAB!$F$14:$F$137,RAB!$C$14:$C$137,C340)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SUMIFS(RAB!$F$14:$F$137,RAB!$C$14:$C$137,C341)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SUMIFS(RAB!$F$14:$F$137,RAB!$C$14:$C$137,C342)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SUMIFS(RAB!$F$14:$F$137,RAB!$C$14:$C$137,C343)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SUMIFS(RAB!$F$14:$F$137,RAB!$C$14:$C$137,C344)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SUMIFS(RAB!$F$14:$F$137,RAB!$C$14:$C$137,C345)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SUMIFS(RAB!$F$14:$F$137,RAB!$C$14:$C$137,C346)</f>
        <v>129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SUMIFS(RAB!$F$14:$F$137,RAB!$C$14:$C$137,C347)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SUMIFS(RAB!$F$14:$F$137,RAB!$C$14:$C$137,C348)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SUMIFS(RAB!$F$14:$F$137,RAB!$C$14:$C$137,C349)</f>
        <v>35</v>
      </c>
      <c r="E349" s="24">
        <f t="shared" ca="1" si="22"/>
        <v>1</v>
      </c>
      <c r="F349" s="24">
        <f ca="1">IF(D349=0,0,SUM($E$223:E349))</f>
        <v>9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SUMIFS(RAB!$F$14:$F$137,RAB!$C$14:$C$137,C350)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SUMIFS(RAB!$F$14:$F$137,RAB!$C$14:$C$137,C351)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SUMIFS(RAB!$F$14:$F$137,RAB!$C$14:$C$137,C352)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SUMIFS(RAB!$F$14:$F$137,RAB!$C$14:$C$137,C353)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SUMIFS(RAB!$F$14:$F$137,RAB!$C$14:$C$137,C354)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SUMIFS(RAB!$F$14:$F$137,RAB!$C$14:$C$137,C355)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SUMIFS(RAB!$F$14:$F$137,RAB!$C$14:$C$137,C356)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SUMIFS(RAB!$F$14:$F$137,RAB!$C$14:$C$137,C357)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SUMIFS(RAB!$F$14:$F$137,RAB!$C$14:$C$137,C358)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SUMIFS(RAB!$F$14:$F$137,RAB!$C$14:$C$137,C359)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SUMIFS(RAB!$F$14:$F$137,RAB!$C$14:$C$137,C360)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SUMIFS(RAB!$F$14:$F$137,RAB!$C$14:$C$137,C361)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SUMIFS(RAB!$F$14:$F$137,RAB!$C$14:$C$137,C362)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SUMIFS(RAB!$F$14:$F$137,RAB!$C$14:$C$137,C363)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SUMIFS(RAB!$F$14:$F$137,RAB!$C$14:$C$137,C364)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SUMIFS(RAB!$F$14:$F$137,RAB!$C$14:$C$137,C365)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SUMIFS(RAB!$F$14:$F$137,RAB!$C$14:$C$137,C366)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SUMIFS(RAB!$F$14:$F$137,RAB!$C$14:$C$137,C367)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SUMIFS(RAB!$F$14:$F$137,RAB!$C$14:$C$137,C368)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SUMIFS(RAB!$F$14:$F$137,RAB!$C$14:$C$137,C369)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SUMIFS(RAB!$F$14:$F$137,RAB!$C$14:$C$137,C370)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SUMIFS(RAB!$F$14:$F$137,RAB!$C$14:$C$137,C371)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SUMIFS(RAB!$F$14:$F$137,RAB!$C$14:$C$137,C372)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SUMIFS(RAB!$F$14:$F$137,RAB!$C$14:$C$137,C373)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4" priority="5" operator="equal">
      <formula>0</formula>
    </cfRule>
  </conditionalFormatting>
  <conditionalFormatting sqref="C16:C165">
    <cfRule type="cellIs" dxfId="53" priority="4" stopIfTrue="1" operator="equal">
      <formula>0</formula>
    </cfRule>
  </conditionalFormatting>
  <conditionalFormatting sqref="C16:E165">
    <cfRule type="cellIs" dxfId="52" priority="1" operator="equal">
      <formula>0</formula>
    </cfRule>
  </conditionalFormatting>
  <conditionalFormatting sqref="D224:F373">
    <cfRule type="cellIs" dxfId="51" priority="8" operator="equal">
      <formula>0</formula>
    </cfRule>
  </conditionalFormatting>
  <conditionalFormatting sqref="E1:E3 G1:G115 E6:E15 H12:I12 N13 F14:F15 H14:K115 E166:K166 G166:G223 E167:F167 H167:K167">
    <cfRule type="cellIs" dxfId="50" priority="43" stopIfTrue="1" operator="equal">
      <formula>0</formula>
    </cfRule>
  </conditionalFormatting>
  <conditionalFormatting sqref="E171:E65536">
    <cfRule type="cellIs" dxfId="49" priority="9" stopIfTrue="1" operator="equal">
      <formula>0</formula>
    </cfRule>
  </conditionalFormatting>
  <conditionalFormatting sqref="G224">
    <cfRule type="cellIs" dxfId="48" priority="10" operator="equal">
      <formula>0</formula>
    </cfRule>
  </conditionalFormatting>
  <conditionalFormatting sqref="G225:G65536">
    <cfRule type="cellIs" dxfId="47" priority="14" stopIfTrue="1" operator="equal">
      <formula>0</formula>
    </cfRule>
  </conditionalFormatting>
  <conditionalFormatting sqref="R14:T166 G116:K165">
    <cfRule type="cellIs" dxfId="4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5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8" t="s">
        <v>41</v>
      </c>
      <c r="C2" s="56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9" t="s">
        <v>23</v>
      </c>
      <c r="C4" s="570" t="s">
        <v>1012</v>
      </c>
      <c r="D4" s="570" t="s">
        <v>42</v>
      </c>
      <c r="E4" s="569" t="s">
        <v>43</v>
      </c>
      <c r="F4" s="108" t="s">
        <v>1604</v>
      </c>
      <c r="G4" s="108" t="s">
        <v>1603</v>
      </c>
      <c r="H4" s="56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9"/>
      <c r="C5" s="570"/>
      <c r="D5" s="570"/>
      <c r="E5" s="569"/>
      <c r="F5" s="93"/>
      <c r="G5" s="93"/>
      <c r="H5" s="567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5" priority="138" operator="equal">
      <formula>0</formula>
    </cfRule>
  </conditionalFormatting>
  <conditionalFormatting sqref="B8:C135">
    <cfRule type="cellIs" dxfId="44" priority="51" operator="equal">
      <formula>0</formula>
    </cfRule>
  </conditionalFormatting>
  <conditionalFormatting sqref="B150:G1493">
    <cfRule type="cellIs" dxfId="43" priority="1" operator="equal">
      <formula>0</formula>
    </cfRule>
  </conditionalFormatting>
  <conditionalFormatting sqref="C143:G149">
    <cfRule type="cellIs" dxfId="42" priority="5" operator="equal">
      <formula>0</formula>
    </cfRule>
  </conditionalFormatting>
  <conditionalFormatting sqref="D9:G142">
    <cfRule type="cellIs" dxfId="41" priority="11" operator="equal">
      <formula>0</formula>
    </cfRule>
  </conditionalFormatting>
  <conditionalFormatting sqref="D1:IV5 A1:C7 D6:K6 H1455:IV1457 H1458:XFD1485 H1486:H1493 I1486:XFD1494 A1494:H1494 A1495:XFD65536">
    <cfRule type="cellIs" dxfId="40" priority="163" operator="equal">
      <formula>0</formula>
    </cfRule>
  </conditionalFormatting>
  <conditionalFormatting sqref="D7:IV8 C136:C142 B136:B149">
    <cfRule type="cellIs" dxfId="39" priority="62" operator="equal">
      <formula>0</formula>
    </cfRule>
  </conditionalFormatting>
  <conditionalFormatting sqref="H9:H1418">
    <cfRule type="cellIs" dxfId="38" priority="129" operator="equal">
      <formula>0</formula>
    </cfRule>
  </conditionalFormatting>
  <conditionalFormatting sqref="H1419:I1454">
    <cfRule type="cellIs" dxfId="37" priority="128" operator="equal">
      <formula>0</formula>
    </cfRule>
  </conditionalFormatting>
  <conditionalFormatting sqref="I108:I1418">
    <cfRule type="cellIs" dxfId="36" priority="125" operator="equal">
      <formula>0</formula>
    </cfRule>
  </conditionalFormatting>
  <conditionalFormatting sqref="J108:IV1454">
    <cfRule type="cellIs" dxfId="35" priority="139" operator="equal">
      <formula>0</formula>
    </cfRule>
  </conditionalFormatting>
  <conditionalFormatting sqref="M6:IV6">
    <cfRule type="cellIs" dxfId="3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5" t="s">
        <v>1454</v>
      </c>
      <c r="C2" s="575"/>
      <c r="D2" s="575"/>
      <c r="E2" s="57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0" t="s">
        <v>1532</v>
      </c>
      <c r="C4" s="581"/>
      <c r="D4" s="581"/>
      <c r="E4" s="582"/>
      <c r="F4" s="440"/>
      <c r="G4" s="440"/>
      <c r="H4" s="441"/>
      <c r="I4" s="607" t="s">
        <v>1533</v>
      </c>
      <c r="J4" s="608"/>
      <c r="K4" s="608"/>
      <c r="L4" s="609"/>
    </row>
    <row r="5" spans="1:12" ht="34.5" customHeight="1">
      <c r="A5" s="204"/>
      <c r="B5" s="443" t="s">
        <v>1379</v>
      </c>
      <c r="C5" s="277" t="s">
        <v>9</v>
      </c>
      <c r="D5" s="576" t="str">
        <f>DATA!D14</f>
        <v>ANIS FUADAH (BIMBEL NEURON)</v>
      </c>
      <c r="E5" s="577"/>
      <c r="F5" s="208"/>
      <c r="G5" s="208"/>
      <c r="I5" s="444" t="s">
        <v>1379</v>
      </c>
      <c r="J5" s="277" t="s">
        <v>9</v>
      </c>
      <c r="K5" s="610" t="str">
        <f>D5</f>
        <v>ANIS FUADAH (BIMBEL NEURON)</v>
      </c>
      <c r="L5" s="611"/>
    </row>
    <row r="6" spans="1:12" ht="31.5" customHeight="1">
      <c r="A6" s="204"/>
      <c r="B6" s="443" t="s">
        <v>1529</v>
      </c>
      <c r="C6" s="277" t="s">
        <v>9</v>
      </c>
      <c r="D6" s="585">
        <f>DATA!D17*1000</f>
        <v>1300</v>
      </c>
      <c r="E6" s="586"/>
      <c r="F6" s="208"/>
      <c r="G6" s="208"/>
      <c r="I6" s="444" t="s">
        <v>1530</v>
      </c>
      <c r="J6" s="277" t="s">
        <v>9</v>
      </c>
      <c r="K6" s="612">
        <f>DATA!D20*1000</f>
        <v>23000</v>
      </c>
      <c r="L6" s="613"/>
    </row>
    <row r="7" spans="1:12" ht="30.75" customHeight="1">
      <c r="A7" s="204"/>
      <c r="B7" s="443" t="s">
        <v>1441</v>
      </c>
      <c r="C7" s="277" t="s">
        <v>9</v>
      </c>
      <c r="D7" s="583">
        <f>DATA!D18</f>
        <v>1</v>
      </c>
      <c r="E7" s="584"/>
      <c r="F7" s="442" t="s">
        <v>1453</v>
      </c>
      <c r="I7" s="444" t="s">
        <v>1441</v>
      </c>
      <c r="J7" s="277" t="s">
        <v>9</v>
      </c>
      <c r="K7" s="614">
        <f>DATA!D21</f>
        <v>3</v>
      </c>
      <c r="L7" s="615"/>
    </row>
    <row r="8" spans="1:12" ht="51" customHeight="1">
      <c r="A8" s="204"/>
      <c r="B8" s="443" t="s">
        <v>1442</v>
      </c>
      <c r="C8" s="277" t="s">
        <v>9</v>
      </c>
      <c r="D8" s="583">
        <f>DATA!D19</f>
        <v>220</v>
      </c>
      <c r="E8" s="584"/>
      <c r="F8" s="442" t="s">
        <v>1453</v>
      </c>
      <c r="G8" s="437">
        <v>220</v>
      </c>
      <c r="I8" s="444" t="s">
        <v>1442</v>
      </c>
      <c r="J8" s="277" t="s">
        <v>9</v>
      </c>
      <c r="K8" s="614">
        <f>DATA!D22</f>
        <v>380</v>
      </c>
      <c r="L8" s="615"/>
    </row>
    <row r="9" spans="1:12" ht="30" customHeight="1" thickBot="1">
      <c r="A9" s="204"/>
      <c r="B9" s="449" t="s">
        <v>1541</v>
      </c>
      <c r="C9" s="439" t="s">
        <v>9</v>
      </c>
      <c r="D9" s="578">
        <f>IF(D7=1,D6/(380/3^0.5),(D6/(380*3^0.5)))</f>
        <v>5.9254369732619487</v>
      </c>
      <c r="E9" s="579"/>
      <c r="F9" s="207"/>
      <c r="G9" s="438">
        <v>380</v>
      </c>
      <c r="I9" s="450" t="s">
        <v>1541</v>
      </c>
      <c r="J9" s="439" t="s">
        <v>9</v>
      </c>
      <c r="K9" s="616">
        <f>IF(K7=1,K6/(380/3^0.5),(K6/(380*3^0.5)))</f>
        <v>34.94488471410893</v>
      </c>
      <c r="L9" s="617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87"/>
      <c r="E12" s="588"/>
      <c r="F12" s="208"/>
      <c r="G12" s="208"/>
      <c r="I12" s="466" t="s">
        <v>1534</v>
      </c>
      <c r="J12" s="467" t="s">
        <v>9</v>
      </c>
      <c r="K12" s="587"/>
      <c r="L12" s="588"/>
    </row>
    <row r="13" spans="1:12" ht="31.5" customHeight="1">
      <c r="A13" s="204"/>
      <c r="B13" s="474" t="s">
        <v>1380</v>
      </c>
      <c r="C13" s="454" t="s">
        <v>9</v>
      </c>
      <c r="D13" s="591"/>
      <c r="E13" s="592"/>
      <c r="F13" s="208"/>
      <c r="G13" s="208"/>
      <c r="I13" s="468" t="s">
        <v>1380</v>
      </c>
      <c r="J13" s="454" t="s">
        <v>9</v>
      </c>
      <c r="K13" s="591"/>
      <c r="L13" s="592"/>
    </row>
    <row r="14" spans="1:12" ht="30.75" customHeight="1">
      <c r="A14" s="204"/>
      <c r="B14" s="474" t="s">
        <v>1535</v>
      </c>
      <c r="C14" s="454" t="s">
        <v>9</v>
      </c>
      <c r="D14" s="599">
        <v>50</v>
      </c>
      <c r="E14" s="600"/>
      <c r="F14" s="442" t="s">
        <v>1453</v>
      </c>
      <c r="G14" s="446">
        <v>50</v>
      </c>
      <c r="I14" s="468" t="s">
        <v>1535</v>
      </c>
      <c r="J14" s="454" t="s">
        <v>9</v>
      </c>
      <c r="K14" s="601">
        <v>50</v>
      </c>
      <c r="L14" s="602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603">
        <f>63+10</f>
        <v>73</v>
      </c>
      <c r="E16" s="604"/>
      <c r="F16" s="442"/>
      <c r="G16" s="446">
        <v>160</v>
      </c>
      <c r="I16" s="468" t="s">
        <v>1537</v>
      </c>
      <c r="J16" s="454" t="s">
        <v>9</v>
      </c>
      <c r="K16" s="605">
        <f>K9</f>
        <v>34.94488471410893</v>
      </c>
      <c r="L16" s="606"/>
    </row>
    <row r="17" spans="1:12" ht="34.5" customHeight="1">
      <c r="A17" s="204"/>
      <c r="B17" s="474" t="s">
        <v>1538</v>
      </c>
      <c r="C17" s="454" t="s">
        <v>9</v>
      </c>
      <c r="D17" s="593">
        <f>IF(D15=1,D14/(20/3^0.5),(D14/(20*3^0.5)))</f>
        <v>1.4433756729740645</v>
      </c>
      <c r="E17" s="594"/>
      <c r="F17" s="442" t="s">
        <v>1453</v>
      </c>
      <c r="G17" s="447">
        <v>200</v>
      </c>
      <c r="I17" s="468" t="s">
        <v>1538</v>
      </c>
      <c r="J17" s="454" t="s">
        <v>9</v>
      </c>
      <c r="K17" s="597">
        <f>IF(K15=1,K14/(20/3^0.5),(K14/(20*3^0.5)))</f>
        <v>1.4433756729740645</v>
      </c>
      <c r="L17" s="598"/>
    </row>
    <row r="18" spans="1:12" ht="34.5" customHeight="1">
      <c r="A18" s="204"/>
      <c r="B18" s="474" t="s">
        <v>1539</v>
      </c>
      <c r="C18" s="454" t="s">
        <v>9</v>
      </c>
      <c r="D18" s="593">
        <f>IF(D15=1,D14/(380/3^0.5),(D14/(380*3^0.5)))*1000</f>
        <v>75.96714068284551</v>
      </c>
      <c r="E18" s="594"/>
      <c r="F18" s="442" t="s">
        <v>1453</v>
      </c>
      <c r="G18" s="447">
        <v>250</v>
      </c>
      <c r="I18" s="468" t="s">
        <v>1539</v>
      </c>
      <c r="J18" s="454" t="s">
        <v>9</v>
      </c>
      <c r="K18" s="597">
        <f>IF(K15=1,K14/(380/3^0.5),(K14/(380*3^0.5)))*1000</f>
        <v>75.96714068284551</v>
      </c>
      <c r="L18" s="598"/>
    </row>
    <row r="19" spans="1:12" ht="30" customHeight="1">
      <c r="A19" s="204"/>
      <c r="B19" s="475" t="s">
        <v>1531</v>
      </c>
      <c r="C19" s="453" t="s">
        <v>9</v>
      </c>
      <c r="D19" s="593">
        <f>IF(D15=1,D14/(380/3^0.5),(D14/(380*3^0.5)))</f>
        <v>7.5967140682845505E-2</v>
      </c>
      <c r="E19" s="594"/>
      <c r="F19" s="207"/>
      <c r="G19" s="438"/>
      <c r="I19" s="470" t="s">
        <v>1531</v>
      </c>
      <c r="J19" s="453" t="s">
        <v>9</v>
      </c>
      <c r="K19" s="597">
        <f>IF(K15=1,K14/(380/3^0.5),(K14/(380*3^0.5)))</f>
        <v>7.5967140682845505E-2</v>
      </c>
      <c r="L19" s="598"/>
    </row>
    <row r="20" spans="1:12" ht="30" customHeight="1" thickBot="1">
      <c r="A20" s="204"/>
      <c r="B20" s="476" t="s">
        <v>1540</v>
      </c>
      <c r="C20" s="472" t="s">
        <v>9</v>
      </c>
      <c r="D20" s="589">
        <f>D16/D18</f>
        <v>0.96094178803921293</v>
      </c>
      <c r="E20" s="590"/>
      <c r="F20" s="207"/>
      <c r="G20" s="438"/>
      <c r="I20" s="471" t="s">
        <v>1531</v>
      </c>
      <c r="J20" s="472" t="s">
        <v>9</v>
      </c>
      <c r="K20" s="595">
        <f>K16/K18</f>
        <v>0.45999999999999996</v>
      </c>
      <c r="L20" s="596"/>
    </row>
    <row r="21" spans="1:12" ht="9.75" customHeight="1">
      <c r="A21" s="204"/>
      <c r="B21" s="461" t="s">
        <v>1540</v>
      </c>
      <c r="C21" s="462" t="s">
        <v>9</v>
      </c>
      <c r="D21" s="574">
        <v>1</v>
      </c>
      <c r="E21" s="574"/>
      <c r="F21" s="463"/>
      <c r="G21" s="464"/>
      <c r="H21" s="465"/>
      <c r="I21" s="461" t="s">
        <v>1531</v>
      </c>
      <c r="J21" s="462" t="s">
        <v>9</v>
      </c>
      <c r="K21" s="574">
        <v>1</v>
      </c>
      <c r="L21" s="574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71"/>
      <c r="C24" s="572"/>
      <c r="D24" s="572"/>
      <c r="E24" s="573"/>
      <c r="I24" s="571"/>
      <c r="J24" s="572"/>
      <c r="K24" s="572"/>
      <c r="L24" s="573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33" priority="5" stopIfTrue="1" operator="greaterThan">
      <formula>0.89</formula>
    </cfRule>
    <cfRule type="cellIs" dxfId="3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8"/>
      <c r="C1" s="618"/>
      <c r="D1" s="61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21.7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21027300</v>
      </c>
    </row>
    <row r="10" spans="2:11" ht="20.100000000000001" customHeight="1">
      <c r="B10" s="291" t="s">
        <v>1446</v>
      </c>
      <c r="C10" s="292" t="s">
        <v>9</v>
      </c>
      <c r="D10" s="298">
        <f ca="1">RAB!K143</f>
        <v>115510861.1864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2310217.2237280002</v>
      </c>
    </row>
    <row r="12" spans="2:11" ht="9" customHeight="1">
      <c r="B12" s="619"/>
      <c r="C12" s="619"/>
      <c r="D12" s="619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1643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1622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1.3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23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5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0" t="s">
        <v>1357</v>
      </c>
      <c r="C3" s="620"/>
      <c r="D3" s="620"/>
      <c r="E3" s="620"/>
      <c r="F3" s="305" t="str">
        <f>DATA!D14</f>
        <v>ANIS FUADAH (BIMBEL NEURON)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1" t="s">
        <v>1349</v>
      </c>
      <c r="C5" s="621" t="s">
        <v>1358</v>
      </c>
      <c r="D5" s="622" t="s">
        <v>1359</v>
      </c>
      <c r="E5" s="622" t="s">
        <v>1360</v>
      </c>
      <c r="F5" s="621" t="s">
        <v>1361</v>
      </c>
      <c r="G5" s="621"/>
      <c r="H5" s="621"/>
      <c r="I5" s="621"/>
      <c r="J5" s="621"/>
      <c r="K5" s="621" t="s">
        <v>1362</v>
      </c>
      <c r="L5" s="621"/>
      <c r="M5" s="307"/>
      <c r="N5" s="625" t="s">
        <v>1363</v>
      </c>
      <c r="O5" s="622" t="s">
        <v>1364</v>
      </c>
      <c r="P5" s="622" t="s">
        <v>1365</v>
      </c>
      <c r="Q5" s="622" t="s">
        <v>1366</v>
      </c>
      <c r="R5" s="308"/>
      <c r="S5" s="309"/>
      <c r="T5" s="623" t="s">
        <v>1367</v>
      </c>
      <c r="U5" s="310"/>
    </row>
    <row r="6" spans="1:21" ht="20.100000000000001" customHeight="1">
      <c r="B6" s="621"/>
      <c r="C6" s="621"/>
      <c r="D6" s="621"/>
      <c r="E6" s="62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6"/>
      <c r="O6" s="621"/>
      <c r="P6" s="621"/>
      <c r="Q6" s="621"/>
      <c r="R6" s="308"/>
      <c r="S6" s="309"/>
      <c r="T6" s="621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868</v>
      </c>
      <c r="D7" s="316">
        <f>C7*4/24</f>
        <v>144.66666666666666</v>
      </c>
      <c r="E7" s="316">
        <f>C7-D7</f>
        <v>723.33333333333337</v>
      </c>
      <c r="F7" s="317">
        <f ca="1">DATA!D10/1000000</f>
        <v>115.51086118639999</v>
      </c>
      <c r="G7" s="318">
        <f ca="1">DATA!$D$11/1000000</f>
        <v>2.3102172237280003</v>
      </c>
      <c r="H7" s="318">
        <f>C7*DATA!$D$5/1000000</f>
        <v>0.94102053982955491</v>
      </c>
      <c r="I7" s="318">
        <f>(C7*DATA!$D$5*DATA!$D$7)/1000000</f>
        <v>2.1172962146164986E-2</v>
      </c>
      <c r="J7" s="316">
        <f ca="1">SUM(F7:I7)</f>
        <v>118.78327191210371</v>
      </c>
      <c r="K7" s="319">
        <f>DATA!D9/1000000</f>
        <v>21.0273</v>
      </c>
      <c r="L7" s="316">
        <f>((D7*DATA!$D$23)/1000000)+((E7*DATA!$D$24)/1000000)</f>
        <v>1.2539996000000002</v>
      </c>
      <c r="M7" s="316">
        <f>K7+L7</f>
        <v>22.281299600000001</v>
      </c>
      <c r="N7" s="316">
        <f ca="1">M7-J7</f>
        <v>-96.501972312103717</v>
      </c>
      <c r="O7" s="314">
        <v>1</v>
      </c>
      <c r="P7" s="316">
        <f ca="1">O7*N7</f>
        <v>-96.501972312103717</v>
      </c>
      <c r="Q7" s="316">
        <f ca="1">P7</f>
        <v>-96.501972312103717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10416</v>
      </c>
      <c r="D8" s="316">
        <f>C8*4/24</f>
        <v>1736</v>
      </c>
      <c r="E8" s="316">
        <f t="shared" ref="E8:E32" si="0">C8-D8</f>
        <v>8680</v>
      </c>
      <c r="F8" s="314"/>
      <c r="G8" s="318">
        <f ca="1">DATA!$D$11/1000000</f>
        <v>2.3102172237280003</v>
      </c>
      <c r="H8" s="318">
        <f>C8*DATA!$D$5/1000000</f>
        <v>11.292246477954659</v>
      </c>
      <c r="I8" s="318">
        <f>(C8*DATA!$D$5*DATA!$D$7)/1000000</f>
        <v>0.25407554575397984</v>
      </c>
      <c r="J8" s="316">
        <f t="shared" ref="J8:J32" ca="1" si="1">SUM(F8:I8)</f>
        <v>13.856539247436638</v>
      </c>
      <c r="K8" s="321"/>
      <c r="L8" s="316">
        <f>((D8*DATA!$D$23)/1000000)+((E8*DATA!$D$24)/1000000)</f>
        <v>15.047995200000001</v>
      </c>
      <c r="M8" s="316">
        <f t="shared" ref="M8:M32" si="2">K8+L8</f>
        <v>15.047995200000001</v>
      </c>
      <c r="N8" s="316">
        <f ca="1">M8-J8</f>
        <v>1.1914559525633628</v>
      </c>
      <c r="O8" s="315">
        <f>1/(1+'[93]Asumsi I'!$C$3)^(KKF!A8)</f>
        <v>0.89285714285714279</v>
      </c>
      <c r="P8" s="316">
        <f ca="1">O8*N8</f>
        <v>1.0637999576458597</v>
      </c>
      <c r="Q8" s="316">
        <f ca="1">Q7+P8</f>
        <v>-95.438172354457862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10416</v>
      </c>
      <c r="D9" s="316">
        <f t="shared" ref="D9:D32" si="5">C9*4/24</f>
        <v>1736</v>
      </c>
      <c r="E9" s="316">
        <f t="shared" si="0"/>
        <v>8680</v>
      </c>
      <c r="F9" s="314"/>
      <c r="G9" s="318">
        <f ca="1">DATA!$D$11/1000000</f>
        <v>2.3102172237280003</v>
      </c>
      <c r="H9" s="318">
        <f>C9*DATA!$D$5/1000000</f>
        <v>11.292246477954659</v>
      </c>
      <c r="I9" s="318">
        <f>(C9*DATA!$D$5*DATA!$D$7)/1000000</f>
        <v>0.25407554575397984</v>
      </c>
      <c r="J9" s="316">
        <f t="shared" ca="1" si="1"/>
        <v>13.856539247436638</v>
      </c>
      <c r="K9" s="316"/>
      <c r="L9" s="316">
        <f>((D9*DATA!$D$23)/1000000)+((E9*DATA!$D$24)/1000000)</f>
        <v>15.047995200000001</v>
      </c>
      <c r="M9" s="316">
        <f t="shared" si="2"/>
        <v>15.047995200000001</v>
      </c>
      <c r="N9" s="316">
        <f t="shared" ref="N9:N32" ca="1" si="6">M9-J9</f>
        <v>1.1914559525633628</v>
      </c>
      <c r="O9" s="322">
        <f>1/(1+'[93]Asumsi I'!$C$3)^(KKF!A9)</f>
        <v>0.79719387755102034</v>
      </c>
      <c r="P9" s="316">
        <f t="shared" ref="P9:P32" ca="1" si="7">O9*N9</f>
        <v>0.94982139075523175</v>
      </c>
      <c r="Q9" s="316">
        <f ca="1">Q8+P9</f>
        <v>-94.488350963702629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10416</v>
      </c>
      <c r="D10" s="316">
        <f t="shared" si="5"/>
        <v>1736</v>
      </c>
      <c r="E10" s="316">
        <f t="shared" si="0"/>
        <v>8680</v>
      </c>
      <c r="F10" s="314"/>
      <c r="G10" s="318">
        <f ca="1">DATA!$D$11/1000000</f>
        <v>2.3102172237280003</v>
      </c>
      <c r="H10" s="318">
        <f>C10*DATA!$D$5/1000000</f>
        <v>11.292246477954659</v>
      </c>
      <c r="I10" s="318">
        <f>(C10*DATA!$D$5*DATA!$D$7)/1000000</f>
        <v>0.25407554575397984</v>
      </c>
      <c r="J10" s="316">
        <f t="shared" ca="1" si="1"/>
        <v>13.856539247436638</v>
      </c>
      <c r="K10" s="314"/>
      <c r="L10" s="316">
        <f>((D10*DATA!$D$23)/1000000)+((E10*DATA!$D$24)/1000000)</f>
        <v>15.047995200000001</v>
      </c>
      <c r="M10" s="316">
        <f t="shared" si="2"/>
        <v>15.047995200000001</v>
      </c>
      <c r="N10" s="316">
        <f t="shared" ca="1" si="6"/>
        <v>1.1914559525633628</v>
      </c>
      <c r="O10" s="315">
        <f>1/(1+'[93]Asumsi I'!$C$3)^(KKF!A10)</f>
        <v>0.71178024781341087</v>
      </c>
      <c r="P10" s="316">
        <f t="shared" ca="1" si="7"/>
        <v>0.84805481317431386</v>
      </c>
      <c r="Q10" s="316">
        <f t="shared" ref="Q10:Q30" ca="1" si="9">Q9+P10</f>
        <v>-93.640296150528314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10416</v>
      </c>
      <c r="D11" s="316">
        <f t="shared" si="5"/>
        <v>1736</v>
      </c>
      <c r="E11" s="316">
        <f t="shared" si="0"/>
        <v>8680</v>
      </c>
      <c r="F11" s="314"/>
      <c r="G11" s="318">
        <f ca="1">DATA!$D$11/1000000</f>
        <v>2.3102172237280003</v>
      </c>
      <c r="H11" s="318">
        <f>C11*DATA!$D$5/1000000</f>
        <v>11.292246477954659</v>
      </c>
      <c r="I11" s="318">
        <f>(C11*DATA!$D$5*DATA!$D$7)/1000000</f>
        <v>0.25407554575397984</v>
      </c>
      <c r="J11" s="316">
        <f t="shared" ca="1" si="1"/>
        <v>13.856539247436638</v>
      </c>
      <c r="K11" s="314"/>
      <c r="L11" s="316">
        <f>((D11*DATA!$D$23)/1000000)+((E11*DATA!$D$24)/1000000)</f>
        <v>15.047995200000001</v>
      </c>
      <c r="M11" s="316">
        <f t="shared" si="2"/>
        <v>15.047995200000001</v>
      </c>
      <c r="N11" s="316">
        <f t="shared" ca="1" si="6"/>
        <v>1.1914559525633628</v>
      </c>
      <c r="O11" s="315">
        <f>1/(1+'[93]Asumsi I'!$C$3)^(KKF!A11)</f>
        <v>0.63551807840483121</v>
      </c>
      <c r="P11" s="316">
        <f t="shared" ca="1" si="7"/>
        <v>0.757191797477066</v>
      </c>
      <c r="Q11" s="316">
        <f t="shared" ca="1" si="9"/>
        <v>-92.883104353051252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10416</v>
      </c>
      <c r="D12" s="316">
        <f t="shared" si="5"/>
        <v>1736</v>
      </c>
      <c r="E12" s="316">
        <f t="shared" si="0"/>
        <v>8680</v>
      </c>
      <c r="F12" s="314"/>
      <c r="G12" s="318">
        <f ca="1">DATA!$D$11/1000000</f>
        <v>2.3102172237280003</v>
      </c>
      <c r="H12" s="318">
        <f>C12*DATA!$D$5/1000000</f>
        <v>11.292246477954659</v>
      </c>
      <c r="I12" s="318">
        <f>(C12*DATA!$D$5*DATA!$D$7)/1000000</f>
        <v>0.25407554575397984</v>
      </c>
      <c r="J12" s="316">
        <f t="shared" ca="1" si="1"/>
        <v>13.856539247436638</v>
      </c>
      <c r="K12" s="314"/>
      <c r="L12" s="316">
        <f>((D12*DATA!$D$23)/1000000)+((E12*DATA!$D$24)/1000000)</f>
        <v>15.047995200000001</v>
      </c>
      <c r="M12" s="316">
        <f t="shared" si="2"/>
        <v>15.047995200000001</v>
      </c>
      <c r="N12" s="316">
        <f t="shared" ca="1" si="6"/>
        <v>1.1914559525633628</v>
      </c>
      <c r="O12" s="315">
        <f>1/(1+'[93]Asumsi I'!$C$3)^(KKF!A12)</f>
        <v>0.56742685571859919</v>
      </c>
      <c r="P12" s="316">
        <f t="shared" ca="1" si="7"/>
        <v>0.67606410489023738</v>
      </c>
      <c r="Q12" s="316">
        <f t="shared" ca="1" si="9"/>
        <v>-92.207040248161007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10416</v>
      </c>
      <c r="D13" s="316">
        <f t="shared" si="5"/>
        <v>1736</v>
      </c>
      <c r="E13" s="316">
        <f t="shared" si="0"/>
        <v>8680</v>
      </c>
      <c r="F13" s="314"/>
      <c r="G13" s="318">
        <f ca="1">DATA!$D$11/1000000</f>
        <v>2.3102172237280003</v>
      </c>
      <c r="H13" s="318">
        <f>C13*DATA!$D$5/1000000</f>
        <v>11.292246477954659</v>
      </c>
      <c r="I13" s="318">
        <f>(C13*DATA!$D$5*DATA!$D$7)/1000000</f>
        <v>0.25407554575397984</v>
      </c>
      <c r="J13" s="316">
        <f t="shared" ca="1" si="1"/>
        <v>13.856539247436638</v>
      </c>
      <c r="K13" s="314"/>
      <c r="L13" s="316">
        <f>((D13*DATA!$D$23)/1000000)+((E13*DATA!$D$24)/1000000)</f>
        <v>15.047995200000001</v>
      </c>
      <c r="M13" s="316">
        <f t="shared" si="2"/>
        <v>15.047995200000001</v>
      </c>
      <c r="N13" s="316">
        <f t="shared" ca="1" si="6"/>
        <v>1.1914559525633628</v>
      </c>
      <c r="O13" s="315">
        <f>1/(1+'[93]Asumsi I'!$C$3)^(KKF!A13)</f>
        <v>0.50663112117732068</v>
      </c>
      <c r="P13" s="316">
        <f t="shared" ca="1" si="7"/>
        <v>0.60362866508056912</v>
      </c>
      <c r="Q13" s="316">
        <f t="shared" ca="1" si="9"/>
        <v>-91.603411583080444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10416</v>
      </c>
      <c r="D14" s="316">
        <f t="shared" si="5"/>
        <v>1736</v>
      </c>
      <c r="E14" s="316">
        <f t="shared" si="0"/>
        <v>8680</v>
      </c>
      <c r="F14" s="314"/>
      <c r="G14" s="318">
        <f ca="1">DATA!$D$11/1000000</f>
        <v>2.3102172237280003</v>
      </c>
      <c r="H14" s="318">
        <f>C14*DATA!$D$5/1000000</f>
        <v>11.292246477954659</v>
      </c>
      <c r="I14" s="318">
        <f>(C14*DATA!$D$5*DATA!$D$7)/1000000</f>
        <v>0.25407554575397984</v>
      </c>
      <c r="J14" s="316">
        <f t="shared" ca="1" si="1"/>
        <v>13.856539247436638</v>
      </c>
      <c r="K14" s="314"/>
      <c r="L14" s="316">
        <f>((D14*DATA!$D$23)/1000000)+((E14*DATA!$D$24)/1000000)</f>
        <v>15.047995200000001</v>
      </c>
      <c r="M14" s="316">
        <f t="shared" si="2"/>
        <v>15.047995200000001</v>
      </c>
      <c r="N14" s="316">
        <f t="shared" ca="1" si="6"/>
        <v>1.1914559525633628</v>
      </c>
      <c r="O14" s="315">
        <f>1/(1+'[93]Asumsi I'!$C$3)^(KKF!A14)</f>
        <v>0.45234921533689343</v>
      </c>
      <c r="P14" s="316">
        <f t="shared" ca="1" si="7"/>
        <v>0.5389541652505081</v>
      </c>
      <c r="Q14" s="316">
        <f t="shared" ca="1" si="9"/>
        <v>-91.064457417829942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10416</v>
      </c>
      <c r="D15" s="316">
        <f t="shared" si="5"/>
        <v>1736</v>
      </c>
      <c r="E15" s="316">
        <f t="shared" si="0"/>
        <v>8680</v>
      </c>
      <c r="F15" s="314"/>
      <c r="G15" s="318">
        <f ca="1">DATA!$D$11/1000000</f>
        <v>2.3102172237280003</v>
      </c>
      <c r="H15" s="318">
        <f>C15*DATA!$D$5/1000000</f>
        <v>11.292246477954659</v>
      </c>
      <c r="I15" s="318">
        <f>(C15*DATA!$D$5*DATA!$D$7)/1000000</f>
        <v>0.25407554575397984</v>
      </c>
      <c r="J15" s="316">
        <f t="shared" ca="1" si="1"/>
        <v>13.856539247436638</v>
      </c>
      <c r="K15" s="314"/>
      <c r="L15" s="316">
        <f>((D15*DATA!$D$23)/1000000)+((E15*DATA!$D$24)/1000000)</f>
        <v>15.047995200000001</v>
      </c>
      <c r="M15" s="316">
        <f t="shared" si="2"/>
        <v>15.047995200000001</v>
      </c>
      <c r="N15" s="316">
        <f t="shared" ca="1" si="6"/>
        <v>1.1914559525633628</v>
      </c>
      <c r="O15" s="315">
        <f>1/(1+'[93]Asumsi I'!$C$3)^(KKF!A15)</f>
        <v>0.4038832279793691</v>
      </c>
      <c r="P15" s="316">
        <f t="shared" ca="1" si="7"/>
        <v>0.48120907611652503</v>
      </c>
      <c r="Q15" s="316">
        <f t="shared" ca="1" si="9"/>
        <v>-90.583248341713414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10416</v>
      </c>
      <c r="D16" s="316">
        <f t="shared" si="5"/>
        <v>1736</v>
      </c>
      <c r="E16" s="316">
        <f t="shared" si="0"/>
        <v>8680</v>
      </c>
      <c r="F16" s="314"/>
      <c r="G16" s="318">
        <f ca="1">DATA!$D$11/1000000</f>
        <v>2.3102172237280003</v>
      </c>
      <c r="H16" s="318">
        <f>C16*DATA!$D$5/1000000</f>
        <v>11.292246477954659</v>
      </c>
      <c r="I16" s="318">
        <f>(C16*DATA!$D$5*DATA!$D$7)/1000000</f>
        <v>0.25407554575397984</v>
      </c>
      <c r="J16" s="316">
        <f t="shared" ca="1" si="1"/>
        <v>13.856539247436638</v>
      </c>
      <c r="K16" s="314"/>
      <c r="L16" s="316">
        <f>((D16*DATA!$D$23)/1000000)+((E16*DATA!$D$24)/1000000)</f>
        <v>15.047995200000001</v>
      </c>
      <c r="M16" s="316">
        <f t="shared" si="2"/>
        <v>15.047995200000001</v>
      </c>
      <c r="N16" s="316">
        <f t="shared" ca="1" si="6"/>
        <v>1.1914559525633628</v>
      </c>
      <c r="O16" s="315">
        <f>1/(1+'[93]Asumsi I'!$C$3)^(KKF!A16)</f>
        <v>0.36061002498157957</v>
      </c>
      <c r="P16" s="316">
        <f t="shared" ca="1" si="7"/>
        <v>0.42965096081832593</v>
      </c>
      <c r="Q16" s="316">
        <f t="shared" ca="1" si="9"/>
        <v>-90.153597380895093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10416</v>
      </c>
      <c r="D17" s="316">
        <f t="shared" si="5"/>
        <v>1736</v>
      </c>
      <c r="E17" s="316">
        <f t="shared" si="0"/>
        <v>8680</v>
      </c>
      <c r="F17" s="314"/>
      <c r="G17" s="318">
        <f ca="1">DATA!$D$11/1000000</f>
        <v>2.3102172237280003</v>
      </c>
      <c r="H17" s="318">
        <f>C17*DATA!$D$5/1000000</f>
        <v>11.292246477954659</v>
      </c>
      <c r="I17" s="318">
        <f>(C17*DATA!$D$5*DATA!$D$7)/1000000</f>
        <v>0.25407554575397984</v>
      </c>
      <c r="J17" s="316">
        <f t="shared" ca="1" si="1"/>
        <v>13.856539247436638</v>
      </c>
      <c r="K17" s="314"/>
      <c r="L17" s="316">
        <f>((D17*DATA!$D$23)/1000000)+((E17*DATA!$D$24)/1000000)</f>
        <v>15.047995200000001</v>
      </c>
      <c r="M17" s="316">
        <f t="shared" si="2"/>
        <v>15.047995200000001</v>
      </c>
      <c r="N17" s="316">
        <f t="shared" ca="1" si="6"/>
        <v>1.1914559525633628</v>
      </c>
      <c r="O17" s="315">
        <f>1/(1+'[93]Asumsi I'!$C$3)^(KKF!A17)</f>
        <v>0.32197323659069599</v>
      </c>
      <c r="P17" s="316">
        <f t="shared" ca="1" si="7"/>
        <v>0.38361692930207664</v>
      </c>
      <c r="Q17" s="316">
        <f t="shared" ca="1" si="9"/>
        <v>-89.769980451593014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10416</v>
      </c>
      <c r="D18" s="316">
        <f t="shared" si="5"/>
        <v>1736</v>
      </c>
      <c r="E18" s="316">
        <f t="shared" si="0"/>
        <v>8680</v>
      </c>
      <c r="F18" s="314"/>
      <c r="G18" s="318">
        <f ca="1">DATA!$D$11/1000000</f>
        <v>2.3102172237280003</v>
      </c>
      <c r="H18" s="318">
        <f>C18*DATA!$D$5/1000000</f>
        <v>11.292246477954659</v>
      </c>
      <c r="I18" s="318">
        <f>(C18*DATA!$D$5*DATA!$D$7)/1000000</f>
        <v>0.25407554575397984</v>
      </c>
      <c r="J18" s="316">
        <f t="shared" ca="1" si="1"/>
        <v>13.856539247436638</v>
      </c>
      <c r="K18" s="314"/>
      <c r="L18" s="316">
        <f>((D18*DATA!$D$23)/1000000)+((E18*DATA!$D$24)/1000000)</f>
        <v>15.047995200000001</v>
      </c>
      <c r="M18" s="316">
        <f t="shared" si="2"/>
        <v>15.047995200000001</v>
      </c>
      <c r="N18" s="316">
        <f t="shared" ca="1" si="6"/>
        <v>1.1914559525633628</v>
      </c>
      <c r="O18" s="315">
        <f>1/(1+'[93]Asumsi I'!$C$3)^(KKF!A18)</f>
        <v>0.28747610409883567</v>
      </c>
      <c r="P18" s="316">
        <f t="shared" ca="1" si="7"/>
        <v>0.34251511544828267</v>
      </c>
      <c r="Q18" s="316">
        <f t="shared" ca="1" si="9"/>
        <v>-89.427465336144735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10416</v>
      </c>
      <c r="D19" s="316">
        <f t="shared" si="5"/>
        <v>1736</v>
      </c>
      <c r="E19" s="316">
        <f t="shared" si="0"/>
        <v>8680</v>
      </c>
      <c r="F19" s="314"/>
      <c r="G19" s="318">
        <f ca="1">DATA!$D$11/1000000</f>
        <v>2.3102172237280003</v>
      </c>
      <c r="H19" s="318">
        <f>C19*DATA!$D$5/1000000</f>
        <v>11.292246477954659</v>
      </c>
      <c r="I19" s="318">
        <f>(C19*DATA!$D$5*DATA!$D$7)/1000000</f>
        <v>0.25407554575397984</v>
      </c>
      <c r="J19" s="316">
        <f t="shared" ca="1" si="1"/>
        <v>13.856539247436638</v>
      </c>
      <c r="K19" s="314"/>
      <c r="L19" s="316">
        <f>((D19*DATA!$D$23)/1000000)+((E19*DATA!$D$24)/1000000)</f>
        <v>15.047995200000001</v>
      </c>
      <c r="M19" s="316">
        <f t="shared" si="2"/>
        <v>15.047995200000001</v>
      </c>
      <c r="N19" s="316">
        <f t="shared" ca="1" si="6"/>
        <v>1.1914559525633628</v>
      </c>
      <c r="O19" s="315">
        <f>1/(1+'[93]Asumsi I'!$C$3)^(KKF!A19)</f>
        <v>0.25667509294538904</v>
      </c>
      <c r="P19" s="316">
        <f t="shared" ca="1" si="7"/>
        <v>0.30581706736453818</v>
      </c>
      <c r="Q19" s="316">
        <f t="shared" ca="1" si="9"/>
        <v>-89.121648268780191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10416</v>
      </c>
      <c r="D20" s="316">
        <f t="shared" si="5"/>
        <v>1736</v>
      </c>
      <c r="E20" s="316">
        <f t="shared" si="0"/>
        <v>8680</v>
      </c>
      <c r="F20" s="314"/>
      <c r="G20" s="318">
        <f ca="1">DATA!$D$11/1000000</f>
        <v>2.3102172237280003</v>
      </c>
      <c r="H20" s="318">
        <f>C20*DATA!$D$5/1000000</f>
        <v>11.292246477954659</v>
      </c>
      <c r="I20" s="318">
        <f>(C20*DATA!$D$5*DATA!$D$7)/1000000</f>
        <v>0.25407554575397984</v>
      </c>
      <c r="J20" s="316">
        <f t="shared" ca="1" si="1"/>
        <v>13.856539247436638</v>
      </c>
      <c r="K20" s="314"/>
      <c r="L20" s="316">
        <f>((D20*DATA!$D$23)/1000000)+((E20*DATA!$D$24)/1000000)</f>
        <v>15.047995200000001</v>
      </c>
      <c r="M20" s="316">
        <f t="shared" si="2"/>
        <v>15.047995200000001</v>
      </c>
      <c r="N20" s="316">
        <f t="shared" ca="1" si="6"/>
        <v>1.1914559525633628</v>
      </c>
      <c r="O20" s="315">
        <f>1/(1+'[93]Asumsi I'!$C$3)^(KKF!A20)</f>
        <v>0.22917419012981158</v>
      </c>
      <c r="P20" s="316">
        <f t="shared" ca="1" si="7"/>
        <v>0.27305095300405186</v>
      </c>
      <c r="Q20" s="316">
        <f t="shared" ca="1" si="9"/>
        <v>-88.848597315776146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10416</v>
      </c>
      <c r="D21" s="316">
        <f t="shared" si="5"/>
        <v>1736</v>
      </c>
      <c r="E21" s="316">
        <f t="shared" si="0"/>
        <v>8680</v>
      </c>
      <c r="F21" s="314"/>
      <c r="G21" s="318">
        <f ca="1">DATA!$D$11/1000000</f>
        <v>2.3102172237280003</v>
      </c>
      <c r="H21" s="318">
        <f>C21*DATA!$D$5/1000000</f>
        <v>11.292246477954659</v>
      </c>
      <c r="I21" s="318">
        <f>(C21*DATA!$D$5*DATA!$D$7)/1000000</f>
        <v>0.25407554575397984</v>
      </c>
      <c r="J21" s="316">
        <f t="shared" ca="1" si="1"/>
        <v>13.856539247436638</v>
      </c>
      <c r="K21" s="314"/>
      <c r="L21" s="316">
        <f>((D21*DATA!$D$23)/1000000)+((E21*DATA!$D$24)/1000000)</f>
        <v>15.047995200000001</v>
      </c>
      <c r="M21" s="316">
        <f t="shared" si="2"/>
        <v>15.047995200000001</v>
      </c>
      <c r="N21" s="316">
        <f t="shared" ca="1" si="6"/>
        <v>1.1914559525633628</v>
      </c>
      <c r="O21" s="315">
        <f>1/(1+'[93]Asumsi I'!$C$3)^(KKF!A21)</f>
        <v>0.20461981261590317</v>
      </c>
      <c r="P21" s="316">
        <f t="shared" ca="1" si="7"/>
        <v>0.24379549375361773</v>
      </c>
      <c r="Q21" s="316">
        <f t="shared" ca="1" si="9"/>
        <v>-88.604801822022523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10416</v>
      </c>
      <c r="D22" s="316">
        <f t="shared" si="5"/>
        <v>1736</v>
      </c>
      <c r="E22" s="316">
        <f t="shared" si="0"/>
        <v>8680</v>
      </c>
      <c r="F22" s="314"/>
      <c r="G22" s="318">
        <f ca="1">DATA!$D$11/1000000</f>
        <v>2.3102172237280003</v>
      </c>
      <c r="H22" s="318">
        <f>C22*DATA!$D$5/1000000</f>
        <v>11.292246477954659</v>
      </c>
      <c r="I22" s="318">
        <f>(C22*DATA!$D$5*DATA!$D$7)/1000000</f>
        <v>0.25407554575397984</v>
      </c>
      <c r="J22" s="316">
        <f t="shared" ca="1" si="1"/>
        <v>13.856539247436638</v>
      </c>
      <c r="K22" s="314"/>
      <c r="L22" s="316">
        <f>((D22*DATA!$D$23)/1000000)+((E22*DATA!$D$24)/1000000)</f>
        <v>15.047995200000001</v>
      </c>
      <c r="M22" s="316">
        <f t="shared" si="2"/>
        <v>15.047995200000001</v>
      </c>
      <c r="N22" s="316">
        <f t="shared" ca="1" si="6"/>
        <v>1.1914559525633628</v>
      </c>
      <c r="O22" s="315">
        <f>1/(1+'[93]Asumsi I'!$C$3)^(KKF!A22)</f>
        <v>0.18269626126419927</v>
      </c>
      <c r="P22" s="316">
        <f t="shared" ca="1" si="7"/>
        <v>0.21767454799430155</v>
      </c>
      <c r="Q22" s="316">
        <f t="shared" ca="1" si="9"/>
        <v>-88.387127274028217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10416</v>
      </c>
      <c r="D23" s="316">
        <f t="shared" si="5"/>
        <v>1736</v>
      </c>
      <c r="E23" s="316">
        <f t="shared" si="0"/>
        <v>8680</v>
      </c>
      <c r="F23" s="314"/>
      <c r="G23" s="318">
        <f ca="1">DATA!$D$11/1000000</f>
        <v>2.3102172237280003</v>
      </c>
      <c r="H23" s="318">
        <f>C23*DATA!$D$5/1000000</f>
        <v>11.292246477954659</v>
      </c>
      <c r="I23" s="318">
        <f>(C23*DATA!$D$5*DATA!$D$7)/1000000</f>
        <v>0.25407554575397984</v>
      </c>
      <c r="J23" s="316">
        <f t="shared" ca="1" si="1"/>
        <v>13.856539247436638</v>
      </c>
      <c r="K23" s="314"/>
      <c r="L23" s="316">
        <f>((D23*DATA!$D$23)/1000000)+((E23*DATA!$D$24)/1000000)</f>
        <v>15.047995200000001</v>
      </c>
      <c r="M23" s="316">
        <f t="shared" si="2"/>
        <v>15.047995200000001</v>
      </c>
      <c r="N23" s="316">
        <f t="shared" ca="1" si="6"/>
        <v>1.1914559525633628</v>
      </c>
      <c r="O23" s="315">
        <f>1/(1+'[93]Asumsi I'!$C$3)^(KKF!A23)</f>
        <v>0.16312166184303503</v>
      </c>
      <c r="P23" s="316">
        <f t="shared" ca="1" si="7"/>
        <v>0.19435227499491206</v>
      </c>
      <c r="Q23" s="316">
        <f t="shared" ca="1" si="9"/>
        <v>-88.192774999033304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10416</v>
      </c>
      <c r="D24" s="316">
        <f t="shared" si="5"/>
        <v>1736</v>
      </c>
      <c r="E24" s="316">
        <f t="shared" si="0"/>
        <v>8680</v>
      </c>
      <c r="F24" s="314"/>
      <c r="G24" s="318">
        <f ca="1">DATA!$D$11/1000000</f>
        <v>2.3102172237280003</v>
      </c>
      <c r="H24" s="318">
        <f>C24*DATA!$D$5/1000000</f>
        <v>11.292246477954659</v>
      </c>
      <c r="I24" s="318">
        <f>(C24*DATA!$D$5*DATA!$D$7)/1000000</f>
        <v>0.25407554575397984</v>
      </c>
      <c r="J24" s="316">
        <f t="shared" ca="1" si="1"/>
        <v>13.856539247436638</v>
      </c>
      <c r="K24" s="314"/>
      <c r="L24" s="316">
        <f>((D24*DATA!$D$23)/1000000)+((E24*DATA!$D$24)/1000000)</f>
        <v>15.047995200000001</v>
      </c>
      <c r="M24" s="316">
        <f t="shared" si="2"/>
        <v>15.047995200000001</v>
      </c>
      <c r="N24" s="316">
        <f t="shared" ca="1" si="6"/>
        <v>1.1914559525633628</v>
      </c>
      <c r="O24" s="315">
        <f>1/(1+'[93]Asumsi I'!$C$3)^(KKF!A24)</f>
        <v>0.14564434093128129</v>
      </c>
      <c r="P24" s="316">
        <f t="shared" ca="1" si="7"/>
        <v>0.1735288169597429</v>
      </c>
      <c r="Q24" s="316">
        <f t="shared" ca="1" si="9"/>
        <v>-88.019246182073559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10416</v>
      </c>
      <c r="D25" s="316">
        <f t="shared" si="5"/>
        <v>1736</v>
      </c>
      <c r="E25" s="316">
        <f t="shared" si="0"/>
        <v>8680</v>
      </c>
      <c r="F25" s="314"/>
      <c r="G25" s="318">
        <f ca="1">DATA!$D$11/1000000</f>
        <v>2.3102172237280003</v>
      </c>
      <c r="H25" s="318">
        <f>C25*DATA!$D$5/1000000</f>
        <v>11.292246477954659</v>
      </c>
      <c r="I25" s="318">
        <f>(C25*DATA!$D$5*DATA!$D$7)/1000000</f>
        <v>0.25407554575397984</v>
      </c>
      <c r="J25" s="316">
        <f t="shared" ca="1" si="1"/>
        <v>13.856539247436638</v>
      </c>
      <c r="K25" s="314"/>
      <c r="L25" s="316">
        <f>((D25*DATA!$D$23)/1000000)+((E25*DATA!$D$24)/1000000)</f>
        <v>15.047995200000001</v>
      </c>
      <c r="M25" s="316">
        <f t="shared" si="2"/>
        <v>15.047995200000001</v>
      </c>
      <c r="N25" s="316">
        <f t="shared" ca="1" si="6"/>
        <v>1.1914559525633628</v>
      </c>
      <c r="O25" s="315">
        <f>1/(1+'[93]Asumsi I'!$C$3)^(KKF!A25)</f>
        <v>0.13003959011721541</v>
      </c>
      <c r="P25" s="316">
        <f t="shared" ca="1" si="7"/>
        <v>0.15493644371405615</v>
      </c>
      <c r="Q25" s="316">
        <f t="shared" ca="1" si="9"/>
        <v>-87.864309738359509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10416</v>
      </c>
      <c r="D26" s="316">
        <f t="shared" si="5"/>
        <v>1736</v>
      </c>
      <c r="E26" s="316">
        <f t="shared" si="0"/>
        <v>8680</v>
      </c>
      <c r="F26" s="314"/>
      <c r="G26" s="318">
        <f ca="1">DATA!$D$11/1000000</f>
        <v>2.3102172237280003</v>
      </c>
      <c r="H26" s="318">
        <f>C26*DATA!$D$5/1000000</f>
        <v>11.292246477954659</v>
      </c>
      <c r="I26" s="318">
        <f>(C26*DATA!$D$5*DATA!$D$7)/1000000</f>
        <v>0.25407554575397984</v>
      </c>
      <c r="J26" s="316">
        <f t="shared" ca="1" si="1"/>
        <v>13.856539247436638</v>
      </c>
      <c r="K26" s="314"/>
      <c r="L26" s="316">
        <f>((D26*DATA!$D$23)/1000000)+((E26*DATA!$D$24)/1000000)</f>
        <v>15.047995200000001</v>
      </c>
      <c r="M26" s="316">
        <f t="shared" si="2"/>
        <v>15.047995200000001</v>
      </c>
      <c r="N26" s="316">
        <f t="shared" ca="1" si="6"/>
        <v>1.1914559525633628</v>
      </c>
      <c r="O26" s="315">
        <f>1/(1+'[93]Asumsi I'!$C$3)^(KKF!A26)</f>
        <v>0.1161067768903709</v>
      </c>
      <c r="P26" s="316">
        <f t="shared" ca="1" si="7"/>
        <v>0.1383361104589787</v>
      </c>
      <c r="Q26" s="316">
        <f t="shared" ca="1" si="9"/>
        <v>-87.72597362790053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10416</v>
      </c>
      <c r="D27" s="316">
        <f t="shared" si="5"/>
        <v>1736</v>
      </c>
      <c r="E27" s="316">
        <f t="shared" si="0"/>
        <v>8680</v>
      </c>
      <c r="F27" s="314"/>
      <c r="G27" s="318">
        <f ca="1">DATA!$D$11/1000000</f>
        <v>2.3102172237280003</v>
      </c>
      <c r="H27" s="318">
        <f>C27*DATA!$D$5/1000000</f>
        <v>11.292246477954659</v>
      </c>
      <c r="I27" s="318">
        <f>(C27*DATA!$D$5*DATA!$D$7)/1000000</f>
        <v>0.25407554575397984</v>
      </c>
      <c r="J27" s="316">
        <f t="shared" ca="1" si="1"/>
        <v>13.856539247436638</v>
      </c>
      <c r="K27" s="314"/>
      <c r="L27" s="316">
        <f>((D27*DATA!$D$23)/1000000)+((E27*DATA!$D$24)/1000000)</f>
        <v>15.047995200000001</v>
      </c>
      <c r="M27" s="316">
        <f t="shared" si="2"/>
        <v>15.047995200000001</v>
      </c>
      <c r="N27" s="316">
        <f t="shared" ca="1" si="6"/>
        <v>1.1914559525633628</v>
      </c>
      <c r="O27" s="315">
        <f>1/(1+'[93]Asumsi I'!$C$3)^(KKF!A27)</f>
        <v>0.1036667650806883</v>
      </c>
      <c r="P27" s="316">
        <f t="shared" ca="1" si="7"/>
        <v>0.12351438433837383</v>
      </c>
      <c r="Q27" s="316">
        <f t="shared" ca="1" si="9"/>
        <v>-87.602459243562151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10416</v>
      </c>
      <c r="D28" s="316">
        <f t="shared" si="5"/>
        <v>1736</v>
      </c>
      <c r="E28" s="316">
        <f t="shared" si="0"/>
        <v>8680</v>
      </c>
      <c r="F28" s="314"/>
      <c r="G28" s="318">
        <f ca="1">DATA!$D$11/1000000</f>
        <v>2.3102172237280003</v>
      </c>
      <c r="H28" s="318">
        <f>C28*DATA!$D$5/1000000</f>
        <v>11.292246477954659</v>
      </c>
      <c r="I28" s="318">
        <f>(C28*DATA!$D$5*DATA!$D$7)/1000000</f>
        <v>0.25407554575397984</v>
      </c>
      <c r="J28" s="316">
        <f t="shared" ca="1" si="1"/>
        <v>13.856539247436638</v>
      </c>
      <c r="K28" s="314"/>
      <c r="L28" s="316">
        <f>((D28*DATA!$D$23)/1000000)+((E28*DATA!$D$24)/1000000)</f>
        <v>15.047995200000001</v>
      </c>
      <c r="M28" s="316">
        <f t="shared" si="2"/>
        <v>15.047995200000001</v>
      </c>
      <c r="N28" s="316">
        <f t="shared" ca="1" si="6"/>
        <v>1.1914559525633628</v>
      </c>
      <c r="O28" s="315">
        <f>1/(1+'[93]Asumsi I'!$C$3)^(KKF!A28)</f>
        <v>9.2559611679185971E-2</v>
      </c>
      <c r="P28" s="316">
        <f t="shared" ca="1" si="7"/>
        <v>0.11028070030211948</v>
      </c>
      <c r="Q28" s="316">
        <f t="shared" ca="1" si="9"/>
        <v>-87.492178543260039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10416</v>
      </c>
      <c r="D29" s="316">
        <f t="shared" si="5"/>
        <v>1736</v>
      </c>
      <c r="E29" s="316">
        <f t="shared" si="0"/>
        <v>8680</v>
      </c>
      <c r="F29" s="314"/>
      <c r="G29" s="318">
        <f ca="1">DATA!$D$11/1000000</f>
        <v>2.3102172237280003</v>
      </c>
      <c r="H29" s="318">
        <f>C29*DATA!$D$5/1000000</f>
        <v>11.292246477954659</v>
      </c>
      <c r="I29" s="318">
        <f>(C29*DATA!$D$5*DATA!$D$7)/1000000</f>
        <v>0.25407554575397984</v>
      </c>
      <c r="J29" s="316">
        <f t="shared" ca="1" si="1"/>
        <v>13.856539247436638</v>
      </c>
      <c r="K29" s="314"/>
      <c r="L29" s="316">
        <f>((D29*DATA!$D$23)/1000000)+((E29*DATA!$D$24)/1000000)</f>
        <v>15.047995200000001</v>
      </c>
      <c r="M29" s="316">
        <f t="shared" si="2"/>
        <v>15.047995200000001</v>
      </c>
      <c r="N29" s="316">
        <f t="shared" ca="1" si="6"/>
        <v>1.1914559525633628</v>
      </c>
      <c r="O29" s="315">
        <f>1/(1+'[93]Asumsi I'!$C$3)^(KKF!A29)</f>
        <v>8.2642510427844609E-2</v>
      </c>
      <c r="P29" s="316">
        <f t="shared" ca="1" si="7"/>
        <v>9.8464910984035245E-2</v>
      </c>
      <c r="Q29" s="316">
        <f t="shared" ca="1" si="9"/>
        <v>-87.393713632276004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10416</v>
      </c>
      <c r="D30" s="316">
        <f t="shared" si="5"/>
        <v>1736</v>
      </c>
      <c r="E30" s="316">
        <f t="shared" si="0"/>
        <v>8680</v>
      </c>
      <c r="F30" s="314"/>
      <c r="G30" s="318">
        <f ca="1">DATA!$D$11/1000000</f>
        <v>2.3102172237280003</v>
      </c>
      <c r="H30" s="318">
        <f>C30*DATA!$D$5/1000000</f>
        <v>11.292246477954659</v>
      </c>
      <c r="I30" s="318">
        <f>(C30*DATA!$D$5*DATA!$D$7)/1000000</f>
        <v>0.25407554575397984</v>
      </c>
      <c r="J30" s="316">
        <f t="shared" ca="1" si="1"/>
        <v>13.856539247436638</v>
      </c>
      <c r="K30" s="314"/>
      <c r="L30" s="316">
        <f>((D30*DATA!$D$23)/1000000)+((E30*DATA!$D$24)/1000000)</f>
        <v>15.047995200000001</v>
      </c>
      <c r="M30" s="316">
        <f t="shared" si="2"/>
        <v>15.047995200000001</v>
      </c>
      <c r="N30" s="316">
        <f t="shared" ca="1" si="6"/>
        <v>1.1914559525633628</v>
      </c>
      <c r="O30" s="315">
        <f>1/(1+'[93]Asumsi I'!$C$3)^(KKF!A30)</f>
        <v>7.3787955739146982E-2</v>
      </c>
      <c r="P30" s="316">
        <f t="shared" ca="1" si="7"/>
        <v>8.7915099092888624E-2</v>
      </c>
      <c r="Q30" s="316">
        <f t="shared" ca="1" si="9"/>
        <v>-87.305798533183122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10416</v>
      </c>
      <c r="D31" s="316">
        <f t="shared" si="5"/>
        <v>1736</v>
      </c>
      <c r="E31" s="316">
        <f t="shared" si="0"/>
        <v>8680</v>
      </c>
      <c r="F31" s="314"/>
      <c r="G31" s="318">
        <f ca="1">DATA!$D$11/1000000</f>
        <v>2.3102172237280003</v>
      </c>
      <c r="H31" s="318">
        <f>C31*DATA!$D$5/1000000</f>
        <v>11.292246477954659</v>
      </c>
      <c r="I31" s="318">
        <f>(C31*DATA!$D$5*DATA!$D$7)/1000000</f>
        <v>0.25407554575397984</v>
      </c>
      <c r="J31" s="316">
        <f t="shared" ca="1" si="1"/>
        <v>13.856539247436638</v>
      </c>
      <c r="K31" s="314"/>
      <c r="L31" s="316">
        <f>((D31*DATA!$D$23)/1000000)+((E31*DATA!$D$24)/1000000)</f>
        <v>15.047995200000001</v>
      </c>
      <c r="M31" s="316">
        <f t="shared" si="2"/>
        <v>15.047995200000001</v>
      </c>
      <c r="N31" s="316">
        <f t="shared" ca="1" si="6"/>
        <v>1.1914559525633628</v>
      </c>
      <c r="O31" s="315">
        <f>1/(1+'[93]Asumsi I'!$C$3)^(KKF!A31)</f>
        <v>6.5882103338524081E-2</v>
      </c>
      <c r="P31" s="316">
        <f t="shared" ca="1" si="7"/>
        <v>7.8495624190079119E-2</v>
      </c>
      <c r="Q31" s="316">
        <f ca="1">Q30+P31</f>
        <v>-87.227302908993039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10416</v>
      </c>
      <c r="D32" s="316">
        <f t="shared" si="5"/>
        <v>1736</v>
      </c>
      <c r="E32" s="316">
        <f t="shared" si="0"/>
        <v>8680</v>
      </c>
      <c r="F32" s="314"/>
      <c r="G32" s="318">
        <f ca="1">DATA!$D$11/1000000</f>
        <v>2.3102172237280003</v>
      </c>
      <c r="H32" s="318">
        <f>C32*DATA!$D$5/1000000</f>
        <v>11.292246477954659</v>
      </c>
      <c r="I32" s="318">
        <f>(C32*DATA!$D$5*DATA!$D$7)/1000000</f>
        <v>0.25407554575397984</v>
      </c>
      <c r="J32" s="316">
        <f t="shared" ca="1" si="1"/>
        <v>13.856539247436638</v>
      </c>
      <c r="K32" s="314"/>
      <c r="L32" s="316">
        <f>((D32*DATA!$D$23)/1000000)+((E32*DATA!$D$24)/1000000)</f>
        <v>15.047995200000001</v>
      </c>
      <c r="M32" s="316">
        <f t="shared" si="2"/>
        <v>15.047995200000001</v>
      </c>
      <c r="N32" s="316">
        <f t="shared" ca="1" si="6"/>
        <v>1.1914559525633628</v>
      </c>
      <c r="O32" s="315">
        <f>1/(1+'[93]Asumsi I'!$C$3)^(KKF!A32)</f>
        <v>5.8823306552253637E-2</v>
      </c>
      <c r="P32" s="316">
        <f t="shared" ca="1" si="7"/>
        <v>7.0085378741142054E-2</v>
      </c>
      <c r="Q32" s="316">
        <f ca="1">Q31+P32</f>
        <v>-87.157217530251899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4" t="s">
        <v>1374</v>
      </c>
      <c r="G33" s="624"/>
      <c r="H33" s="624"/>
      <c r="I33" s="324"/>
      <c r="J33" s="325">
        <f ca="1">SUM(J7:J32)</f>
        <v>465.19675309801937</v>
      </c>
      <c r="K33" s="624" t="s">
        <v>1375</v>
      </c>
      <c r="L33" s="624"/>
      <c r="M33" s="325">
        <f>SUM(M7:M32)</f>
        <v>398.48117960000002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99.695898666288883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0.85658633029203013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-77.818944223439189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-7.5478713049155988E-2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31" priority="1" stopIfTrue="1" operator="greaterThanOrEqual">
      <formula>$F$7</formula>
    </cfRule>
    <cfRule type="cellIs" dxfId="30" priority="2" stopIfTrue="1" operator="lessThan">
      <formula>$F$7</formula>
    </cfRule>
  </conditionalFormatting>
  <conditionalFormatting sqref="Q7:Q32">
    <cfRule type="cellIs" dxfId="29" priority="3" operator="lessThan">
      <formula>0</formula>
    </cfRule>
    <cfRule type="cellIs" dxfId="28" priority="4" operator="lessThan">
      <formula>0</formula>
    </cfRule>
    <cfRule type="cellIs" dxfId="27" priority="5" operator="lessThan">
      <formula>-6395.81</formula>
    </cfRule>
    <cfRule type="cellIs" dxfId="2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58"/>
  <sheetViews>
    <sheetView showGridLines="0" zoomScale="85" zoomScaleNormal="85" zoomScaleSheetLayoutView="70" workbookViewId="0">
      <pane ySplit="13" topLeftCell="A140" activePane="bottomLeft" state="frozen"/>
      <selection activeCell="H1093" sqref="H1093"/>
      <selection pane="bottomLeft" activeCell="I156" sqref="I156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7" t="s">
        <v>1036</v>
      </c>
      <c r="P3" s="627"/>
      <c r="Q3" s="346"/>
      <c r="T3" s="344"/>
      <c r="U3" s="345" t="s">
        <v>1041</v>
      </c>
      <c r="V3" s="344"/>
    </row>
    <row r="4" spans="1:22" ht="15.75" customHeight="1">
      <c r="B4" s="628" t="s">
        <v>1023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4" t="str">
        <f>DATA!D14</f>
        <v>ANIS FUADAH (BIMBEL NEURON)</v>
      </c>
      <c r="H6" s="644"/>
      <c r="I6" s="644"/>
      <c r="J6" s="644"/>
      <c r="K6" s="64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0" t="s">
        <v>0</v>
      </c>
      <c r="C11" s="632" t="s">
        <v>1</v>
      </c>
      <c r="D11" s="635" t="s">
        <v>42</v>
      </c>
      <c r="E11" s="635" t="s">
        <v>43</v>
      </c>
      <c r="F11" s="635" t="s">
        <v>2</v>
      </c>
      <c r="G11" s="637" t="s">
        <v>41</v>
      </c>
      <c r="H11" s="635" t="s">
        <v>3</v>
      </c>
      <c r="I11" s="635"/>
      <c r="J11" s="635"/>
      <c r="K11" s="65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1"/>
      <c r="C12" s="633"/>
      <c r="D12" s="636"/>
      <c r="E12" s="636"/>
      <c r="F12" s="636"/>
      <c r="G12" s="638"/>
      <c r="H12" s="640" t="s">
        <v>46</v>
      </c>
      <c r="I12" s="640" t="s">
        <v>5</v>
      </c>
      <c r="J12" s="636" t="s">
        <v>47</v>
      </c>
      <c r="K12" s="65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1"/>
      <c r="C13" s="634"/>
      <c r="D13" s="636"/>
      <c r="E13" s="636"/>
      <c r="F13" s="636"/>
      <c r="G13" s="639"/>
      <c r="H13" s="641"/>
      <c r="I13" s="641"/>
      <c r="J13" s="636"/>
      <c r="K13" s="655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6" ca="1" si="0">IF(OR(D14="MDU",D14="MDU-KD"),(IF($O$3="RAB NON MDU","PLN KD",G14*F14)),0)</f>
        <v>0</v>
      </c>
      <c r="I14" s="361">
        <f t="shared" ref="I14:I16" ca="1" si="1">IF(D14="HDW",G14*F14,0)</f>
        <v>0</v>
      </c>
      <c r="J14" s="361">
        <f t="shared" ref="J14:J16" ca="1" si="2">IF(D14="JASA",G14*F14,0)</f>
        <v>0</v>
      </c>
      <c r="K14" s="362">
        <f t="shared" ref="K14:K16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66">
        <v>1</v>
      </c>
      <c r="C16" s="109" t="s">
        <v>103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2</v>
      </c>
      <c r="G16" s="360">
        <f ca="1">IF(ISERROR(OFFSET('HARGA SATUAN'!$I$6,MATCH(RAB!C16,'HARGA SATUAN'!$C$7:$C$1492,0),0)),0,OFFSET('HARGA SATUAN'!$I$6,MATCH(RAB!C16,'HARGA SATUAN'!$C$7:$C$1492,0),0))</f>
        <v>5800000</v>
      </c>
      <c r="H16" s="361">
        <f t="shared" ca="1" si="0"/>
        <v>0</v>
      </c>
      <c r="I16" s="361">
        <f t="shared" ca="1" si="1"/>
        <v>11600000</v>
      </c>
      <c r="J16" s="361">
        <f t="shared" ca="1" si="2"/>
        <v>0</v>
      </c>
      <c r="K16" s="362">
        <f t="shared" ca="1" si="3"/>
        <v>11600000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3</v>
      </c>
      <c r="C17" s="109" t="s">
        <v>6</v>
      </c>
      <c r="D17" s="358" t="str">
        <f ca="1">IF(ISERROR(OFFSET('HARGA SATUAN'!$D$6,MATCH(RAB!C17,'HARGA SATUAN'!$C$7:$C$1492,0),0)),"",OFFSET('HARGA SATUAN'!$D$6,MATCH(RAB!C17,'HARGA SATUAN'!$C$7:$C$1492,0),0))</f>
        <v>JASA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f>F16</f>
        <v>2</v>
      </c>
      <c r="G17" s="360">
        <f ca="1">IF(ISERROR(OFFSET('HARGA SATUAN'!$I$6,MATCH(RAB!C17,'HARGA SATUAN'!$C$7:$C$1492,0),0)),0,OFFSET('HARGA SATUAN'!$I$6,MATCH(RAB!C17,'HARGA SATUAN'!$C$7:$C$1492,0),0))</f>
        <v>10066.666666666668</v>
      </c>
      <c r="H17" s="361">
        <f t="shared" ref="H17:H19" ca="1" si="4">IF(OR(D17="MDU",D17="MDU-KD"),(IF($O$3="RAB NON MDU","PLN KD",G17*F17)),0)</f>
        <v>0</v>
      </c>
      <c r="I17" s="361">
        <f t="shared" ref="I17:I19" ca="1" si="5">IF(D17="HDW",G17*F17,0)</f>
        <v>0</v>
      </c>
      <c r="J17" s="361">
        <f t="shared" ref="J17:J19" ca="1" si="6">IF(D17="JASA",G17*F17,0)</f>
        <v>20133.333333333336</v>
      </c>
      <c r="K17" s="362">
        <f t="shared" ref="K17:K19" ca="1" si="7">SUM(H17:J17)</f>
        <v>20133.333333333336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/>
      <c r="D18" s="358"/>
      <c r="E18" s="359"/>
      <c r="F18" s="368"/>
      <c r="G18" s="360"/>
      <c r="H18" s="361"/>
      <c r="I18" s="361"/>
      <c r="J18" s="361"/>
      <c r="K18" s="362"/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1607</v>
      </c>
      <c r="C19" s="367" t="s">
        <v>1612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4"/>
        <v>0</v>
      </c>
      <c r="I19" s="361">
        <f t="shared" ca="1" si="5"/>
        <v>0</v>
      </c>
      <c r="J19" s="361">
        <f t="shared" ca="1" si="6"/>
        <v>0</v>
      </c>
      <c r="K19" s="362">
        <f t="shared" ca="1" si="7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>
      <c r="B20" s="492"/>
      <c r="C20" s="495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45" ca="1" si="8">IF(OR(D20="MDU",D20="MDU-KD"),(IF($O$3="RAB NON MDU","PLN KD",G20*F20)),0)</f>
        <v>0</v>
      </c>
      <c r="I20" s="361">
        <f t="shared" ref="I20:I45" ca="1" si="9">IF(D20="HDW",G20*F20,0)</f>
        <v>0</v>
      </c>
      <c r="J20" s="361">
        <f t="shared" ref="J20:J45" ca="1" si="10">IF(D20="JASA",G20*F20,0)</f>
        <v>0</v>
      </c>
      <c r="K20" s="362">
        <f t="shared" ref="K20:K45" ca="1" si="11">SUM(H20:J20)</f>
        <v>0</v>
      </c>
    </row>
    <row r="21" spans="1:22">
      <c r="B21" s="502" t="s">
        <v>1035</v>
      </c>
      <c r="C21" s="499" t="s">
        <v>1613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7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</row>
    <row r="22" spans="1:22">
      <c r="B22" s="502">
        <v>1</v>
      </c>
      <c r="C22" s="499" t="s">
        <v>229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F21*1</f>
        <v>1</v>
      </c>
      <c r="G22" s="360">
        <f ca="1">IF(ISERROR(OFFSET('HARGA SATUAN'!$I$6,MATCH(RAB!C22,'HARGA SATUAN'!$C$7:$C$1492,0),0)),0,OFFSET('HARGA SATUAN'!$I$6,MATCH(RAB!C22,'HARGA SATUAN'!$C$7:$C$1492,0),0))</f>
        <v>4212</v>
      </c>
      <c r="H22" s="361">
        <f t="shared" ca="1" si="8"/>
        <v>0</v>
      </c>
      <c r="I22" s="361">
        <f t="shared" ca="1" si="9"/>
        <v>4212</v>
      </c>
      <c r="J22" s="361">
        <f t="shared" ca="1" si="10"/>
        <v>0</v>
      </c>
      <c r="K22" s="362">
        <f t="shared" ca="1" si="11"/>
        <v>4212</v>
      </c>
    </row>
    <row r="23" spans="1:22">
      <c r="B23" s="502">
        <v>2</v>
      </c>
      <c r="C23" s="499" t="s">
        <v>266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Mtr</v>
      </c>
      <c r="F23" s="497">
        <f>F21*1</f>
        <v>1</v>
      </c>
      <c r="G23" s="360">
        <f ca="1">IF(ISERROR(OFFSET('HARGA SATUAN'!$I$6,MATCH(RAB!C23,'HARGA SATUAN'!$C$7:$C$1492,0),0)),0,OFFSET('HARGA SATUAN'!$I$6,MATCH(RAB!C23,'HARGA SATUAN'!$C$7:$C$1492,0),0))</f>
        <v>23310</v>
      </c>
      <c r="H23" s="361">
        <f t="shared" ca="1" si="8"/>
        <v>0</v>
      </c>
      <c r="I23" s="361">
        <f t="shared" ca="1" si="9"/>
        <v>23310</v>
      </c>
      <c r="J23" s="361">
        <f t="shared" ca="1" si="10"/>
        <v>0</v>
      </c>
      <c r="K23" s="362">
        <f t="shared" ca="1" si="11"/>
        <v>23310</v>
      </c>
    </row>
    <row r="24" spans="1:22">
      <c r="B24" s="502">
        <v>3</v>
      </c>
      <c r="C24" s="499" t="s">
        <v>35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7">
        <f>F21*1</f>
        <v>1</v>
      </c>
      <c r="G24" s="360">
        <f ca="1">IF(ISERROR(OFFSET('HARGA SATUAN'!$I$6,MATCH(RAB!C24,'HARGA SATUAN'!$C$7:$C$1492,0),0)),0,OFFSET('HARGA SATUAN'!$I$6,MATCH(RAB!C24,'HARGA SATUAN'!$C$7:$C$1492,0),0))</f>
        <v>2300</v>
      </c>
      <c r="H24" s="361">
        <f t="shared" ca="1" si="8"/>
        <v>0</v>
      </c>
      <c r="I24" s="361">
        <f t="shared" ca="1" si="9"/>
        <v>2300</v>
      </c>
      <c r="J24" s="361">
        <f t="shared" ca="1" si="10"/>
        <v>0</v>
      </c>
      <c r="K24" s="362">
        <f t="shared" ca="1" si="11"/>
        <v>2300</v>
      </c>
    </row>
    <row r="25" spans="1:22">
      <c r="B25" s="502">
        <v>4</v>
      </c>
      <c r="C25" s="499" t="s">
        <v>609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7">
        <f>F21*1</f>
        <v>1</v>
      </c>
      <c r="G25" s="360">
        <f ca="1">IF(ISERROR(OFFSET('HARGA SATUAN'!$I$6,MATCH(RAB!C25,'HARGA SATUAN'!$C$7:$C$1492,0),0)),0,OFFSET('HARGA SATUAN'!$I$6,MATCH(RAB!C25,'HARGA SATUAN'!$C$7:$C$1492,0),0))</f>
        <v>71000</v>
      </c>
      <c r="H25" s="361">
        <f t="shared" ca="1" si="8"/>
        <v>0</v>
      </c>
      <c r="I25" s="361">
        <f t="shared" ca="1" si="9"/>
        <v>71000</v>
      </c>
      <c r="J25" s="361">
        <f t="shared" ca="1" si="10"/>
        <v>0</v>
      </c>
      <c r="K25" s="362">
        <f t="shared" ca="1" si="11"/>
        <v>71000</v>
      </c>
    </row>
    <row r="26" spans="1:22">
      <c r="B26" s="502">
        <v>5</v>
      </c>
      <c r="C26" s="499" t="s">
        <v>629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7">
        <f>F21*1</f>
        <v>1</v>
      </c>
      <c r="G26" s="360">
        <f ca="1">IF(ISERROR(OFFSET('HARGA SATUAN'!$I$6,MATCH(RAB!C26,'HARGA SATUAN'!$C$7:$C$1492,0),0)),0,OFFSET('HARGA SATUAN'!$I$6,MATCH(RAB!C26,'HARGA SATUAN'!$C$7:$C$1492,0),0))</f>
        <v>29400</v>
      </c>
      <c r="H26" s="361">
        <f t="shared" ca="1" si="8"/>
        <v>0</v>
      </c>
      <c r="I26" s="361">
        <f t="shared" ca="1" si="9"/>
        <v>0</v>
      </c>
      <c r="J26" s="361">
        <f t="shared" ca="1" si="10"/>
        <v>29400</v>
      </c>
      <c r="K26" s="362">
        <f t="shared" ca="1" si="11"/>
        <v>29400</v>
      </c>
    </row>
    <row r="27" spans="1:22">
      <c r="B27" s="502"/>
      <c r="C27" s="49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97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1:22">
      <c r="B28" s="502" t="s">
        <v>1035</v>
      </c>
      <c r="C28" s="499" t="s">
        <v>1614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7">
        <v>2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8"/>
        <v>0</v>
      </c>
      <c r="I28" s="361">
        <f t="shared" ca="1" si="9"/>
        <v>0</v>
      </c>
      <c r="J28" s="361">
        <f t="shared" ca="1" si="10"/>
        <v>0</v>
      </c>
      <c r="K28" s="362">
        <f t="shared" ca="1" si="11"/>
        <v>0</v>
      </c>
    </row>
    <row r="29" spans="1:22">
      <c r="B29" s="502">
        <v>1</v>
      </c>
      <c r="C29" s="499" t="s">
        <v>595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7">
        <f>F28*1</f>
        <v>2</v>
      </c>
      <c r="G29" s="360">
        <f ca="1">IF(ISERROR(OFFSET('HARGA SATUAN'!$I$6,MATCH(RAB!C29,'HARGA SATUAN'!$C$7:$C$1492,0),0)),0,OFFSET('HARGA SATUAN'!$I$6,MATCH(RAB!C29,'HARGA SATUAN'!$C$7:$C$1492,0),0))</f>
        <v>78500</v>
      </c>
      <c r="H29" s="361">
        <f t="shared" ca="1" si="8"/>
        <v>0</v>
      </c>
      <c r="I29" s="361">
        <f t="shared" ca="1" si="9"/>
        <v>157000</v>
      </c>
      <c r="J29" s="361">
        <f t="shared" ca="1" si="10"/>
        <v>0</v>
      </c>
      <c r="K29" s="362">
        <f t="shared" ca="1" si="11"/>
        <v>157000</v>
      </c>
    </row>
    <row r="30" spans="1:22">
      <c r="B30" s="502">
        <v>2</v>
      </c>
      <c r="C30" s="499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F28*1</f>
        <v>2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8"/>
        <v>0</v>
      </c>
      <c r="I30" s="361">
        <f t="shared" ca="1" si="9"/>
        <v>8424</v>
      </c>
      <c r="J30" s="361">
        <f t="shared" ca="1" si="10"/>
        <v>0</v>
      </c>
      <c r="K30" s="362">
        <f t="shared" ca="1" si="11"/>
        <v>8424</v>
      </c>
    </row>
    <row r="31" spans="1:22">
      <c r="B31" s="502">
        <v>3</v>
      </c>
      <c r="C31" s="499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97">
        <f>F28*1</f>
        <v>2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8"/>
        <v>0</v>
      </c>
      <c r="I31" s="361">
        <f t="shared" ca="1" si="9"/>
        <v>46620</v>
      </c>
      <c r="J31" s="361">
        <f t="shared" ca="1" si="10"/>
        <v>0</v>
      </c>
      <c r="K31" s="362">
        <f t="shared" ca="1" si="11"/>
        <v>46620</v>
      </c>
    </row>
    <row r="32" spans="1:22">
      <c r="B32" s="502">
        <v>4</v>
      </c>
      <c r="C32" s="499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7">
        <f>F28*1</f>
        <v>2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8"/>
        <v>0</v>
      </c>
      <c r="I32" s="361">
        <f t="shared" ca="1" si="9"/>
        <v>4600</v>
      </c>
      <c r="J32" s="361">
        <f t="shared" ca="1" si="10"/>
        <v>0</v>
      </c>
      <c r="K32" s="362">
        <f t="shared" ca="1" si="11"/>
        <v>4600</v>
      </c>
    </row>
    <row r="33" spans="2:11">
      <c r="B33" s="502">
        <v>5</v>
      </c>
      <c r="C33" s="499" t="s">
        <v>630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7">
        <f>F28*1</f>
        <v>2</v>
      </c>
      <c r="G33" s="360">
        <f ca="1">IF(ISERROR(OFFSET('HARGA SATUAN'!$I$6,MATCH(RAB!C33,'HARGA SATUAN'!$C$7:$C$1492,0),0)),0,OFFSET('HARGA SATUAN'!$I$6,MATCH(RAB!C33,'HARGA SATUAN'!$C$7:$C$1492,0),0))</f>
        <v>35700</v>
      </c>
      <c r="H33" s="361">
        <f t="shared" ca="1" si="8"/>
        <v>0</v>
      </c>
      <c r="I33" s="361">
        <f t="shared" ca="1" si="9"/>
        <v>0</v>
      </c>
      <c r="J33" s="361">
        <f t="shared" ca="1" si="10"/>
        <v>71400</v>
      </c>
      <c r="K33" s="362">
        <f t="shared" ca="1" si="11"/>
        <v>71400</v>
      </c>
    </row>
    <row r="34" spans="2:11">
      <c r="B34" s="492"/>
      <c r="C34" s="495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8"/>
        <v>0</v>
      </c>
      <c r="I34" s="361">
        <f t="shared" ca="1" si="9"/>
        <v>0</v>
      </c>
      <c r="J34" s="361">
        <f t="shared" ca="1" si="10"/>
        <v>0</v>
      </c>
      <c r="K34" s="362">
        <f t="shared" ca="1" si="11"/>
        <v>0</v>
      </c>
    </row>
    <row r="35" spans="2:11">
      <c r="B35" s="514" t="s">
        <v>1035</v>
      </c>
      <c r="C35" s="515" t="s">
        <v>1621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497">
        <v>1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ref="H35:H41" ca="1" si="12">IF(OR(D35="MDU",D35="MDU-KD"),(IF($O$3="RAB NON MDU","PLN KD",G35*F35)),0)</f>
        <v>0</v>
      </c>
      <c r="I35" s="361">
        <f t="shared" ref="I35:I41" ca="1" si="13">IF(D35="HDW",G35*F35,0)</f>
        <v>0</v>
      </c>
      <c r="J35" s="361">
        <f t="shared" ref="J35:J41" ca="1" si="14">IF(D35="JASA",G35*F35,0)</f>
        <v>0</v>
      </c>
      <c r="K35" s="362">
        <f t="shared" ref="K35:K41" ca="1" si="15">SUM(H35:J35)</f>
        <v>0</v>
      </c>
    </row>
    <row r="36" spans="2:11">
      <c r="B36" s="514">
        <v>1</v>
      </c>
      <c r="C36" s="515" t="s">
        <v>598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7">
        <f>F35*1</f>
        <v>1</v>
      </c>
      <c r="G36" s="360">
        <f ca="1">IF(ISERROR(OFFSET('HARGA SATUAN'!$I$6,MATCH(RAB!C36,'HARGA SATUAN'!$C$7:$C$1492,0),0)),0,OFFSET('HARGA SATUAN'!$I$6,MATCH(RAB!C36,'HARGA SATUAN'!$C$7:$C$1492,0),0))</f>
        <v>3965</v>
      </c>
      <c r="H36" s="361">
        <f t="shared" ca="1" si="12"/>
        <v>0</v>
      </c>
      <c r="I36" s="361">
        <f t="shared" ca="1" si="13"/>
        <v>3965</v>
      </c>
      <c r="J36" s="361">
        <f t="shared" ca="1" si="14"/>
        <v>0</v>
      </c>
      <c r="K36" s="362">
        <f t="shared" ca="1" si="15"/>
        <v>3965</v>
      </c>
    </row>
    <row r="37" spans="2:11">
      <c r="B37" s="514">
        <v>2</v>
      </c>
      <c r="C37" s="515" t="s">
        <v>474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F35*1</f>
        <v>1</v>
      </c>
      <c r="G37" s="360">
        <f ca="1">IF(ISERROR(OFFSET('HARGA SATUAN'!$I$6,MATCH(RAB!C37,'HARGA SATUAN'!$C$7:$C$1492,0),0)),0,OFFSET('HARGA SATUAN'!$I$6,MATCH(RAB!C37,'HARGA SATUAN'!$C$7:$C$1492,0),0))</f>
        <v>3711.24</v>
      </c>
      <c r="H37" s="361">
        <f t="shared" ca="1" si="12"/>
        <v>0</v>
      </c>
      <c r="I37" s="361">
        <f t="shared" ca="1" si="13"/>
        <v>3711.24</v>
      </c>
      <c r="J37" s="361">
        <f t="shared" ca="1" si="14"/>
        <v>0</v>
      </c>
      <c r="K37" s="362">
        <f t="shared" ca="1" si="15"/>
        <v>3711.24</v>
      </c>
    </row>
    <row r="38" spans="2:11">
      <c r="B38" s="514">
        <v>3</v>
      </c>
      <c r="C38" s="515" t="s">
        <v>266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497">
        <f>F35*1</f>
        <v>1</v>
      </c>
      <c r="G38" s="360">
        <f ca="1">IF(ISERROR(OFFSET('HARGA SATUAN'!$I$6,MATCH(RAB!C38,'HARGA SATUAN'!$C$7:$C$1492,0),0)),0,OFFSET('HARGA SATUAN'!$I$6,MATCH(RAB!C38,'HARGA SATUAN'!$C$7:$C$1492,0),0))</f>
        <v>23310</v>
      </c>
      <c r="H38" s="361">
        <f t="shared" ca="1" si="12"/>
        <v>0</v>
      </c>
      <c r="I38" s="361">
        <f t="shared" ca="1" si="13"/>
        <v>23310</v>
      </c>
      <c r="J38" s="361">
        <f t="shared" ca="1" si="14"/>
        <v>0</v>
      </c>
      <c r="K38" s="362">
        <f t="shared" ca="1" si="15"/>
        <v>23310</v>
      </c>
    </row>
    <row r="39" spans="2:11">
      <c r="B39" s="514">
        <v>4</v>
      </c>
      <c r="C39" s="515" t="s">
        <v>35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7">
        <f>F35*1</f>
        <v>1</v>
      </c>
      <c r="G39" s="360">
        <f ca="1">IF(ISERROR(OFFSET('HARGA SATUAN'!$I$6,MATCH(RAB!C39,'HARGA SATUAN'!$C$7:$C$1492,0),0)),0,OFFSET('HARGA SATUAN'!$I$6,MATCH(RAB!C39,'HARGA SATUAN'!$C$7:$C$1492,0),0))</f>
        <v>2300</v>
      </c>
      <c r="H39" s="361">
        <f t="shared" ca="1" si="12"/>
        <v>0</v>
      </c>
      <c r="I39" s="361">
        <f t="shared" ca="1" si="13"/>
        <v>2300</v>
      </c>
      <c r="J39" s="361">
        <f t="shared" ca="1" si="14"/>
        <v>0</v>
      </c>
      <c r="K39" s="362">
        <f t="shared" ca="1" si="15"/>
        <v>2300</v>
      </c>
    </row>
    <row r="40" spans="2:11">
      <c r="B40" s="514">
        <v>5</v>
      </c>
      <c r="C40" s="515" t="s">
        <v>632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7">
        <f>F35*1</f>
        <v>1</v>
      </c>
      <c r="G40" s="360">
        <f ca="1">IF(ISERROR(OFFSET('HARGA SATUAN'!$I$6,MATCH(RAB!C40,'HARGA SATUAN'!$C$7:$C$1492,0),0)),0,OFFSET('HARGA SATUAN'!$I$6,MATCH(RAB!C40,'HARGA SATUAN'!$C$7:$C$1492,0),0))</f>
        <v>22700</v>
      </c>
      <c r="H40" s="361">
        <f t="shared" ca="1" si="12"/>
        <v>0</v>
      </c>
      <c r="I40" s="361">
        <f t="shared" ca="1" si="13"/>
        <v>0</v>
      </c>
      <c r="J40" s="361">
        <f t="shared" ca="1" si="14"/>
        <v>22700</v>
      </c>
      <c r="K40" s="362">
        <f t="shared" ca="1" si="15"/>
        <v>22700</v>
      </c>
    </row>
    <row r="41" spans="2:11">
      <c r="B41" s="492"/>
      <c r="C41" s="495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</row>
    <row r="42" spans="2:11">
      <c r="B42" s="492"/>
      <c r="C42" s="503" t="s">
        <v>1615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8"/>
        <v>0</v>
      </c>
      <c r="I42" s="361">
        <f t="shared" ca="1" si="9"/>
        <v>0</v>
      </c>
      <c r="J42" s="361">
        <f t="shared" ca="1" si="10"/>
        <v>0</v>
      </c>
      <c r="K42" s="362">
        <f t="shared" ca="1" si="11"/>
        <v>0</v>
      </c>
    </row>
    <row r="43" spans="2:11">
      <c r="B43" s="492">
        <v>1</v>
      </c>
      <c r="C43" s="109" t="s">
        <v>1459</v>
      </c>
      <c r="D43" s="358" t="str">
        <f ca="1">IF(ISERROR(OFFSET('HARGA SATUAN'!$D$6,MATCH(RAB!C43,'HARGA SATUAN'!$C$7:$C$1492,0),0)),"",OFFSET('HARGA SATUAN'!$D$6,MATCH(RAB!C43,'HARGA SATUAN'!$C$7:$C$1492,0),0))</f>
        <v>MDU-KD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368">
        <v>95</v>
      </c>
      <c r="G43" s="360">
        <f ca="1">IF(ISERROR(OFFSET('HARGA SATUAN'!$I$6,MATCH(RAB!C43,'HARGA SATUAN'!$C$7:$C$1492,0),0)),0,OFFSET('HARGA SATUAN'!$I$6,MATCH(RAB!C43,'HARGA SATUAN'!$C$7:$C$1492,0),0))</f>
        <v>54500</v>
      </c>
      <c r="H43" s="361">
        <f t="shared" ca="1" si="8"/>
        <v>5177500</v>
      </c>
      <c r="I43" s="361">
        <f t="shared" ca="1" si="9"/>
        <v>0</v>
      </c>
      <c r="J43" s="361">
        <f t="shared" ca="1" si="10"/>
        <v>0</v>
      </c>
      <c r="K43" s="362">
        <f t="shared" ca="1" si="11"/>
        <v>5177500</v>
      </c>
    </row>
    <row r="44" spans="2:11">
      <c r="B44" s="492">
        <v>2</v>
      </c>
      <c r="C44" s="109" t="s">
        <v>346</v>
      </c>
      <c r="D44" s="511" t="s">
        <v>47</v>
      </c>
      <c r="E44" s="512" t="s">
        <v>297</v>
      </c>
      <c r="F44" s="512">
        <f>F43/50</f>
        <v>1.9</v>
      </c>
      <c r="G44" s="513">
        <v>100000</v>
      </c>
      <c r="H44" s="361">
        <f t="shared" si="8"/>
        <v>0</v>
      </c>
      <c r="I44" s="361">
        <f t="shared" si="9"/>
        <v>0</v>
      </c>
      <c r="J44" s="361">
        <f t="shared" si="10"/>
        <v>190000</v>
      </c>
      <c r="K44" s="362">
        <f t="shared" si="11"/>
        <v>190000</v>
      </c>
    </row>
    <row r="45" spans="2:11">
      <c r="B45" s="492"/>
      <c r="C45" s="495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368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8"/>
        <v>0</v>
      </c>
      <c r="I45" s="361">
        <f t="shared" ca="1" si="9"/>
        <v>0</v>
      </c>
      <c r="J45" s="361">
        <f t="shared" ca="1" si="10"/>
        <v>0</v>
      </c>
      <c r="K45" s="362">
        <f t="shared" ca="1" si="11"/>
        <v>0</v>
      </c>
    </row>
    <row r="46" spans="2:11">
      <c r="B46" s="492"/>
      <c r="C46" s="503" t="s">
        <v>1619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368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:H66" ca="1" si="16">IF(OR(D46="MDU",D46="MDU-KD"),(IF($O$3="RAB NON MDU","PLN KD",G46*F46)),0)</f>
        <v>0</v>
      </c>
      <c r="I46" s="361">
        <f t="shared" ref="I46:I66" ca="1" si="17">IF(D46="HDW",G46*F46,0)</f>
        <v>0</v>
      </c>
      <c r="J46" s="361">
        <f t="shared" ref="J46:J66" ca="1" si="18">IF(D46="JASA",G46*F46,0)</f>
        <v>0</v>
      </c>
      <c r="K46" s="362">
        <f t="shared" ref="K46:K66" ca="1" si="19">SUM(H46:J46)</f>
        <v>0</v>
      </c>
    </row>
    <row r="47" spans="2:11">
      <c r="B47" s="504" t="s">
        <v>1035</v>
      </c>
      <c r="C47" s="505" t="s">
        <v>1616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497">
        <v>1</v>
      </c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6"/>
        <v>0</v>
      </c>
      <c r="I47" s="361">
        <f t="shared" ca="1" si="17"/>
        <v>0</v>
      </c>
      <c r="J47" s="361">
        <f t="shared" ca="1" si="18"/>
        <v>0</v>
      </c>
      <c r="K47" s="362">
        <f t="shared" ca="1" si="19"/>
        <v>0</v>
      </c>
    </row>
    <row r="48" spans="2:11">
      <c r="B48" s="504">
        <v>1</v>
      </c>
      <c r="C48" s="505" t="s">
        <v>28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7">
        <f>F47*1</f>
        <v>1</v>
      </c>
      <c r="G48" s="360">
        <f ca="1">IF(ISERROR(OFFSET('HARGA SATUAN'!$I$6,MATCH(RAB!C48,'HARGA SATUAN'!$C$7:$C$1492,0),0)),0,OFFSET('HARGA SATUAN'!$I$6,MATCH(RAB!C48,'HARGA SATUAN'!$C$7:$C$1492,0),0))</f>
        <v>26500</v>
      </c>
      <c r="H48" s="361">
        <f t="shared" ca="1" si="16"/>
        <v>0</v>
      </c>
      <c r="I48" s="361">
        <f t="shared" ca="1" si="17"/>
        <v>26500</v>
      </c>
      <c r="J48" s="361">
        <f t="shared" ca="1" si="18"/>
        <v>0</v>
      </c>
      <c r="K48" s="362">
        <f t="shared" ca="1" si="19"/>
        <v>26500</v>
      </c>
    </row>
    <row r="49" spans="2:11">
      <c r="B49" s="504">
        <v>2</v>
      </c>
      <c r="C49" s="505" t="s">
        <v>203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7">
        <f>F47*1</f>
        <v>1</v>
      </c>
      <c r="G49" s="360">
        <f ca="1">IF(ISERROR(OFFSET('HARGA SATUAN'!$I$6,MATCH(RAB!C49,'HARGA SATUAN'!$C$7:$C$1492,0),0)),0,OFFSET('HARGA SATUAN'!$I$6,MATCH(RAB!C49,'HARGA SATUAN'!$C$7:$C$1492,0),0))</f>
        <v>12500</v>
      </c>
      <c r="H49" s="361">
        <f t="shared" ca="1" si="16"/>
        <v>0</v>
      </c>
      <c r="I49" s="361">
        <f t="shared" ca="1" si="17"/>
        <v>12500</v>
      </c>
      <c r="J49" s="361">
        <f t="shared" ca="1" si="18"/>
        <v>0</v>
      </c>
      <c r="K49" s="362">
        <f t="shared" ca="1" si="19"/>
        <v>12500</v>
      </c>
    </row>
    <row r="50" spans="2:11">
      <c r="B50" s="504">
        <v>3</v>
      </c>
      <c r="C50" s="505" t="s">
        <v>206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497">
        <f>F47*12</f>
        <v>12</v>
      </c>
      <c r="G50" s="360">
        <f ca="1">IF(ISERROR(OFFSET('HARGA SATUAN'!$I$6,MATCH(RAB!C50,'HARGA SATUAN'!$C$7:$C$1492,0),0)),0,OFFSET('HARGA SATUAN'!$I$6,MATCH(RAB!C50,'HARGA SATUAN'!$C$7:$C$1492,0),0))</f>
        <v>39204</v>
      </c>
      <c r="H50" s="361">
        <f t="shared" ca="1" si="16"/>
        <v>0</v>
      </c>
      <c r="I50" s="361">
        <f t="shared" ca="1" si="17"/>
        <v>470448</v>
      </c>
      <c r="J50" s="361">
        <f t="shared" ca="1" si="18"/>
        <v>0</v>
      </c>
      <c r="K50" s="362">
        <f t="shared" ca="1" si="19"/>
        <v>470448</v>
      </c>
    </row>
    <row r="51" spans="2:11">
      <c r="B51" s="504">
        <v>4</v>
      </c>
      <c r="C51" s="505" t="s">
        <v>287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97">
        <f>F47*2</f>
        <v>2</v>
      </c>
      <c r="G51" s="360">
        <f ca="1">IF(ISERROR(OFFSET('HARGA SATUAN'!$I$6,MATCH(RAB!C51,'HARGA SATUAN'!$C$7:$C$1492,0),0)),0,OFFSET('HARGA SATUAN'!$I$6,MATCH(RAB!C51,'HARGA SATUAN'!$C$7:$C$1492,0),0))</f>
        <v>40000</v>
      </c>
      <c r="H51" s="361">
        <f t="shared" ca="1" si="16"/>
        <v>0</v>
      </c>
      <c r="I51" s="361">
        <f t="shared" ca="1" si="17"/>
        <v>80000</v>
      </c>
      <c r="J51" s="361">
        <f t="shared" ca="1" si="18"/>
        <v>0</v>
      </c>
      <c r="K51" s="362">
        <f t="shared" ca="1" si="19"/>
        <v>80000</v>
      </c>
    </row>
    <row r="52" spans="2:11">
      <c r="B52" s="504">
        <v>5</v>
      </c>
      <c r="C52" s="505" t="s">
        <v>26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97">
        <f>F47*1</f>
        <v>1</v>
      </c>
      <c r="G52" s="360">
        <f ca="1">IF(ISERROR(OFFSET('HARGA SATUAN'!$I$6,MATCH(RAB!C52,'HARGA SATUAN'!$C$7:$C$1492,0),0)),0,OFFSET('HARGA SATUAN'!$I$6,MATCH(RAB!C52,'HARGA SATUAN'!$C$7:$C$1492,0),0))</f>
        <v>2500</v>
      </c>
      <c r="H52" s="361">
        <f t="shared" ca="1" si="16"/>
        <v>0</v>
      </c>
      <c r="I52" s="361">
        <f t="shared" ca="1" si="17"/>
        <v>2500</v>
      </c>
      <c r="J52" s="361">
        <f t="shared" ca="1" si="18"/>
        <v>0</v>
      </c>
      <c r="K52" s="362">
        <f t="shared" ca="1" si="19"/>
        <v>2500</v>
      </c>
    </row>
    <row r="53" spans="2:11">
      <c r="B53" s="504">
        <v>6</v>
      </c>
      <c r="C53" s="505" t="s">
        <v>760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497">
        <f>F47*1</f>
        <v>1</v>
      </c>
      <c r="G53" s="360">
        <f ca="1">IF(ISERROR(OFFSET('HARGA SATUAN'!$I$6,MATCH(RAB!C53,'HARGA SATUAN'!$C$7:$C$1492,0),0)),0,OFFSET('HARGA SATUAN'!$I$6,MATCH(RAB!C53,'HARGA SATUAN'!$C$7:$C$1492,0),0))</f>
        <v>36600</v>
      </c>
      <c r="H53" s="361">
        <f t="shared" ca="1" si="16"/>
        <v>0</v>
      </c>
      <c r="I53" s="361">
        <f t="shared" ca="1" si="17"/>
        <v>0</v>
      </c>
      <c r="J53" s="361">
        <f t="shared" ca="1" si="18"/>
        <v>36600</v>
      </c>
      <c r="K53" s="362">
        <f t="shared" ca="1" si="19"/>
        <v>36600</v>
      </c>
    </row>
    <row r="54" spans="2:11">
      <c r="B54" s="492"/>
      <c r="C54" s="495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368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16"/>
        <v>0</v>
      </c>
      <c r="I54" s="361">
        <f t="shared" ca="1" si="17"/>
        <v>0</v>
      </c>
      <c r="J54" s="361">
        <f t="shared" ca="1" si="18"/>
        <v>0</v>
      </c>
      <c r="K54" s="362">
        <f t="shared" ca="1" si="19"/>
        <v>0</v>
      </c>
    </row>
    <row r="55" spans="2:11">
      <c r="B55" s="504" t="s">
        <v>1035</v>
      </c>
      <c r="C55" s="505" t="s">
        <v>1617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497">
        <f>F47</f>
        <v>1</v>
      </c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16"/>
        <v>0</v>
      </c>
      <c r="I55" s="361">
        <f t="shared" ca="1" si="17"/>
        <v>0</v>
      </c>
      <c r="J55" s="361">
        <f t="shared" ca="1" si="18"/>
        <v>0</v>
      </c>
      <c r="K55" s="362">
        <f t="shared" ca="1" si="19"/>
        <v>0</v>
      </c>
    </row>
    <row r="56" spans="2:11">
      <c r="B56" s="506">
        <v>1</v>
      </c>
      <c r="C56" s="507" t="s">
        <v>597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97">
        <f>F55*1</f>
        <v>1</v>
      </c>
      <c r="G56" s="360">
        <f ca="1">IF(ISERROR(OFFSET('HARGA SATUAN'!$I$6,MATCH(RAB!C56,'HARGA SATUAN'!$C$7:$C$1492,0),0)),0,OFFSET('HARGA SATUAN'!$I$6,MATCH(RAB!C56,'HARGA SATUAN'!$C$7:$C$1492,0),0))</f>
        <v>120900</v>
      </c>
      <c r="H56" s="361">
        <f t="shared" ca="1" si="16"/>
        <v>0</v>
      </c>
      <c r="I56" s="361">
        <f t="shared" ca="1" si="17"/>
        <v>120900</v>
      </c>
      <c r="J56" s="361">
        <f t="shared" ca="1" si="18"/>
        <v>0</v>
      </c>
      <c r="K56" s="362">
        <f t="shared" ca="1" si="19"/>
        <v>120900</v>
      </c>
    </row>
    <row r="57" spans="2:11">
      <c r="B57" s="498">
        <v>2</v>
      </c>
      <c r="C57" s="500" t="s">
        <v>261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7">
        <f>F55*1</f>
        <v>1</v>
      </c>
      <c r="G57" s="360">
        <f ca="1">IF(ISERROR(OFFSET('HARGA SATUAN'!$I$6,MATCH(RAB!C57,'HARGA SATUAN'!$C$7:$C$1492,0),0)),0,OFFSET('HARGA SATUAN'!$I$6,MATCH(RAB!C57,'HARGA SATUAN'!$C$7:$C$1492,0),0))</f>
        <v>135800</v>
      </c>
      <c r="H57" s="361">
        <f t="shared" ca="1" si="16"/>
        <v>0</v>
      </c>
      <c r="I57" s="361">
        <f t="shared" ca="1" si="17"/>
        <v>135800</v>
      </c>
      <c r="J57" s="361">
        <f t="shared" ca="1" si="18"/>
        <v>0</v>
      </c>
      <c r="K57" s="362">
        <f t="shared" ca="1" si="19"/>
        <v>135800</v>
      </c>
    </row>
    <row r="58" spans="2:11">
      <c r="B58" s="498">
        <v>3</v>
      </c>
      <c r="C58" s="501" t="s">
        <v>214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8">
        <f>F55*1</f>
        <v>1</v>
      </c>
      <c r="G58" s="360">
        <f ca="1">IF(ISERROR(OFFSET('HARGA SATUAN'!$I$6,MATCH(RAB!C58,'HARGA SATUAN'!$C$7:$C$1492,0),0)),0,OFFSET('HARGA SATUAN'!$I$6,MATCH(RAB!C58,'HARGA SATUAN'!$C$7:$C$1492,0),0))</f>
        <v>4500</v>
      </c>
      <c r="H58" s="361">
        <f t="shared" ca="1" si="16"/>
        <v>0</v>
      </c>
      <c r="I58" s="361">
        <f t="shared" ca="1" si="17"/>
        <v>4500</v>
      </c>
      <c r="J58" s="361">
        <f t="shared" ca="1" si="18"/>
        <v>0</v>
      </c>
      <c r="K58" s="362">
        <f t="shared" ca="1" si="19"/>
        <v>4500</v>
      </c>
    </row>
    <row r="59" spans="2:11">
      <c r="B59" s="504">
        <v>4</v>
      </c>
      <c r="C59" s="505" t="s">
        <v>768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497">
        <f>F55*1</f>
        <v>1</v>
      </c>
      <c r="G59" s="360">
        <f ca="1">IF(ISERROR(OFFSET('HARGA SATUAN'!$I$6,MATCH(RAB!C59,'HARGA SATUAN'!$C$7:$C$1492,0),0)),0,OFFSET('HARGA SATUAN'!$I$6,MATCH(RAB!C59,'HARGA SATUAN'!$C$7:$C$1492,0),0))</f>
        <v>55500</v>
      </c>
      <c r="H59" s="361">
        <f t="shared" ca="1" si="16"/>
        <v>0</v>
      </c>
      <c r="I59" s="361">
        <f t="shared" ca="1" si="17"/>
        <v>0</v>
      </c>
      <c r="J59" s="361">
        <f t="shared" ca="1" si="18"/>
        <v>55500</v>
      </c>
      <c r="K59" s="362">
        <f t="shared" ca="1" si="19"/>
        <v>55500</v>
      </c>
    </row>
    <row r="60" spans="2:11">
      <c r="B60" s="492"/>
      <c r="C60" s="495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16"/>
        <v>0</v>
      </c>
      <c r="I60" s="361">
        <f t="shared" ca="1" si="17"/>
        <v>0</v>
      </c>
      <c r="J60" s="361">
        <f t="shared" ca="1" si="18"/>
        <v>0</v>
      </c>
      <c r="K60" s="362">
        <f t="shared" ca="1" si="19"/>
        <v>0</v>
      </c>
    </row>
    <row r="61" spans="2:11">
      <c r="B61" s="504" t="s">
        <v>1035</v>
      </c>
      <c r="C61" s="505" t="s">
        <v>1618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497">
        <f>F47</f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16"/>
        <v>0</v>
      </c>
      <c r="I61" s="361">
        <f t="shared" ca="1" si="17"/>
        <v>0</v>
      </c>
      <c r="J61" s="361">
        <f t="shared" ca="1" si="18"/>
        <v>0</v>
      </c>
      <c r="K61" s="362">
        <f t="shared" ca="1" si="19"/>
        <v>0</v>
      </c>
    </row>
    <row r="62" spans="2:11">
      <c r="B62" s="504">
        <v>1</v>
      </c>
      <c r="C62" s="505" t="s">
        <v>30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97">
        <f>F61*1</f>
        <v>1</v>
      </c>
      <c r="G62" s="360">
        <f ca="1">IF(ISERROR(OFFSET('HARGA SATUAN'!$I$6,MATCH(RAB!C62,'HARGA SATUAN'!$C$7:$C$1492,0),0)),0,OFFSET('HARGA SATUAN'!$I$6,MATCH(RAB!C62,'HARGA SATUAN'!$C$7:$C$1492,0),0))</f>
        <v>47459</v>
      </c>
      <c r="H62" s="361">
        <f t="shared" ca="1" si="16"/>
        <v>0</v>
      </c>
      <c r="I62" s="361">
        <f t="shared" ca="1" si="17"/>
        <v>47459</v>
      </c>
      <c r="J62" s="361">
        <f t="shared" ca="1" si="18"/>
        <v>0</v>
      </c>
      <c r="K62" s="362">
        <f t="shared" ca="1" si="19"/>
        <v>47459</v>
      </c>
    </row>
    <row r="63" spans="2:11">
      <c r="B63" s="504">
        <v>2</v>
      </c>
      <c r="C63" s="505" t="s">
        <v>32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497">
        <f>F61*1</f>
        <v>1</v>
      </c>
      <c r="G63" s="360">
        <f ca="1">IF(ISERROR(OFFSET('HARGA SATUAN'!$I$6,MATCH(RAB!C63,'HARGA SATUAN'!$C$7:$C$1492,0),0)),0,OFFSET('HARGA SATUAN'!$I$6,MATCH(RAB!C63,'HARGA SATUAN'!$C$7:$C$1492,0),0))</f>
        <v>30000</v>
      </c>
      <c r="H63" s="361">
        <f t="shared" ca="1" si="16"/>
        <v>0</v>
      </c>
      <c r="I63" s="361">
        <f t="shared" ca="1" si="17"/>
        <v>30000</v>
      </c>
      <c r="J63" s="361">
        <f t="shared" ca="1" si="18"/>
        <v>0</v>
      </c>
      <c r="K63" s="362">
        <f t="shared" ca="1" si="19"/>
        <v>30000</v>
      </c>
    </row>
    <row r="64" spans="2:11">
      <c r="B64" s="504">
        <v>3</v>
      </c>
      <c r="C64" s="505" t="s">
        <v>33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7">
        <f>F61*1</f>
        <v>1</v>
      </c>
      <c r="G64" s="360">
        <f ca="1">IF(ISERROR(OFFSET('HARGA SATUAN'!$I$6,MATCH(RAB!C64,'HARGA SATUAN'!$C$7:$C$1492,0),0)),0,OFFSET('HARGA SATUAN'!$I$6,MATCH(RAB!C64,'HARGA SATUAN'!$C$7:$C$1492,0),0))</f>
        <v>9500</v>
      </c>
      <c r="H64" s="361">
        <f t="shared" ca="1" si="16"/>
        <v>0</v>
      </c>
      <c r="I64" s="361">
        <f t="shared" ca="1" si="17"/>
        <v>9500</v>
      </c>
      <c r="J64" s="361">
        <f t="shared" ca="1" si="18"/>
        <v>0</v>
      </c>
      <c r="K64" s="362">
        <f t="shared" ca="1" si="19"/>
        <v>9500</v>
      </c>
    </row>
    <row r="65" spans="2:11">
      <c r="B65" s="504">
        <v>4</v>
      </c>
      <c r="C65" s="505" t="s">
        <v>738</v>
      </c>
      <c r="D65" s="358" t="str">
        <f ca="1">IF(ISERROR(OFFSET('HARGA SATUAN'!$D$6,MATCH(RAB!C65,'HARGA SATUAN'!$C$7:$C$1492,0),0)),"",OFFSET('HARGA SATUAN'!$D$6,MATCH(RAB!C65,'HARGA SATUAN'!$C$7:$C$1492,0),0))</f>
        <v>JASA</v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497">
        <f>F61*1</f>
        <v>1</v>
      </c>
      <c r="G65" s="360">
        <f ca="1">IF(ISERROR(OFFSET('HARGA SATUAN'!$I$6,MATCH(RAB!C65,'HARGA SATUAN'!$C$7:$C$1492,0),0)),0,OFFSET('HARGA SATUAN'!$I$6,MATCH(RAB!C65,'HARGA SATUAN'!$C$7:$C$1492,0),0))</f>
        <v>21200</v>
      </c>
      <c r="H65" s="361">
        <f t="shared" ca="1" si="16"/>
        <v>0</v>
      </c>
      <c r="I65" s="361">
        <f t="shared" ca="1" si="17"/>
        <v>0</v>
      </c>
      <c r="J65" s="361">
        <f t="shared" ca="1" si="18"/>
        <v>21200</v>
      </c>
      <c r="K65" s="362">
        <f t="shared" ca="1" si="19"/>
        <v>21200</v>
      </c>
    </row>
    <row r="66" spans="2:11">
      <c r="B66" s="492"/>
      <c r="C66" s="495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368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16"/>
        <v>0</v>
      </c>
      <c r="I66" s="361">
        <f t="shared" ca="1" si="17"/>
        <v>0</v>
      </c>
      <c r="J66" s="361">
        <f t="shared" ca="1" si="18"/>
        <v>0</v>
      </c>
      <c r="K66" s="362">
        <f t="shared" ca="1" si="19"/>
        <v>0</v>
      </c>
    </row>
    <row r="67" spans="2:11">
      <c r="B67" s="366" t="s">
        <v>1608</v>
      </c>
      <c r="C67" s="367" t="s">
        <v>1631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ref="H67:H89" ca="1" si="20">IF(OR(D67="MDU",D67="MDU-KD"),(IF($O$3="RAB NON MDU","PLN KD",G67*F67)),0)</f>
        <v>0</v>
      </c>
      <c r="I67" s="361">
        <f t="shared" ref="I67:I89" ca="1" si="21">IF(D67="HDW",G67*F67,0)</f>
        <v>0</v>
      </c>
      <c r="J67" s="361">
        <f t="shared" ref="J67:J89" ca="1" si="22">IF(D67="JASA",G67*F67,0)</f>
        <v>0</v>
      </c>
      <c r="K67" s="362">
        <f t="shared" ref="K67:K89" ca="1" si="23">SUM(H67:J67)</f>
        <v>0</v>
      </c>
    </row>
    <row r="68" spans="2:11">
      <c r="B68" s="366"/>
      <c r="C68" s="367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8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20"/>
        <v>0</v>
      </c>
      <c r="I68" s="361">
        <f t="shared" ca="1" si="21"/>
        <v>0</v>
      </c>
      <c r="J68" s="361">
        <f t="shared" ca="1" si="22"/>
        <v>0</v>
      </c>
      <c r="K68" s="362">
        <f t="shared" ca="1" si="23"/>
        <v>0</v>
      </c>
    </row>
    <row r="69" spans="2:11">
      <c r="B69" s="520" t="s">
        <v>1035</v>
      </c>
      <c r="C69" s="521" t="s">
        <v>1632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497">
        <v>1</v>
      </c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20"/>
        <v>0</v>
      </c>
      <c r="I69" s="361">
        <f t="shared" ca="1" si="21"/>
        <v>0</v>
      </c>
      <c r="J69" s="361">
        <f t="shared" ca="1" si="22"/>
        <v>0</v>
      </c>
      <c r="K69" s="362">
        <f t="shared" ca="1" si="23"/>
        <v>0</v>
      </c>
    </row>
    <row r="70" spans="2:11">
      <c r="B70" s="520">
        <v>1</v>
      </c>
      <c r="C70" s="109" t="s">
        <v>1458</v>
      </c>
      <c r="D70" s="358" t="str">
        <f ca="1">IF(ISERROR(OFFSET('HARGA SATUAN'!$D$6,MATCH(RAB!C70,'HARGA SATUAN'!$C$7:$C$1492,0),0)),"",OFFSET('HARGA SATUAN'!$D$6,MATCH(RAB!C70,'HARGA SATUAN'!$C$7:$C$1492,0),0))</f>
        <v>MDU-KD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497">
        <f>F69*1</f>
        <v>1</v>
      </c>
      <c r="G70" s="360">
        <f ca="1">IF(ISERROR(OFFSET('HARGA SATUAN'!$I$6,MATCH(RAB!C70,'HARGA SATUAN'!$C$7:$C$1492,0),0)),0,OFFSET('HARGA SATUAN'!$I$6,MATCH(RAB!C70,'HARGA SATUAN'!$C$7:$C$1492,0),0))</f>
        <v>63057400</v>
      </c>
      <c r="H70" s="361">
        <f t="shared" ca="1" si="20"/>
        <v>63057400</v>
      </c>
      <c r="I70" s="361">
        <f t="shared" ca="1" si="21"/>
        <v>0</v>
      </c>
      <c r="J70" s="361">
        <f t="shared" ca="1" si="22"/>
        <v>0</v>
      </c>
      <c r="K70" s="362">
        <f t="shared" ca="1" si="23"/>
        <v>63057400</v>
      </c>
    </row>
    <row r="71" spans="2:11">
      <c r="B71" s="498">
        <v>2</v>
      </c>
      <c r="C71" s="522" t="s">
        <v>1633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523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20"/>
        <v>0</v>
      </c>
      <c r="I71" s="361">
        <f t="shared" ca="1" si="21"/>
        <v>0</v>
      </c>
      <c r="J71" s="361">
        <f t="shared" ca="1" si="22"/>
        <v>0</v>
      </c>
      <c r="K71" s="362">
        <f t="shared" ca="1" si="23"/>
        <v>0</v>
      </c>
    </row>
    <row r="72" spans="2:11">
      <c r="B72" s="520"/>
      <c r="C72" s="522" t="s">
        <v>65</v>
      </c>
      <c r="D72" s="358" t="s">
        <v>1636</v>
      </c>
      <c r="E72" s="359" t="str">
        <f ca="1">IF(B72="+","Unit",IF(ISERROR(OFFSET('HARGA SATUAN'!$E$6,MATCH(RAB!C72,'HARGA SATUAN'!$C$7:$C$1492,0),0)),"",OFFSET('HARGA SATUAN'!$E$6,MATCH(RAB!C72,'HARGA SATUAN'!$C$7:$C$1492,0),0)))</f>
        <v>Mtr</v>
      </c>
      <c r="F72" s="497">
        <f>F69*(3*3)</f>
        <v>9</v>
      </c>
      <c r="G72" s="360">
        <f ca="1">IF(ISERROR(OFFSET('HARGA SATUAN'!$I$6,MATCH(RAB!C72,'HARGA SATUAN'!$C$7:$C$1492,0),0)),0,OFFSET('HARGA SATUAN'!$I$6,MATCH(RAB!C72,'HARGA SATUAN'!$C$7:$C$1492,0),0))</f>
        <v>14200</v>
      </c>
      <c r="H72" s="361">
        <f t="shared" si="20"/>
        <v>0</v>
      </c>
      <c r="I72" s="361">
        <f t="shared" si="21"/>
        <v>0</v>
      </c>
      <c r="J72" s="361">
        <f t="shared" si="22"/>
        <v>0</v>
      </c>
      <c r="K72" s="362">
        <f t="shared" si="23"/>
        <v>0</v>
      </c>
    </row>
    <row r="73" spans="2:11">
      <c r="B73" s="520"/>
      <c r="C73" s="522" t="s">
        <v>1634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497">
        <f>F69*3</f>
        <v>3</v>
      </c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20"/>
        <v>0</v>
      </c>
      <c r="I73" s="361">
        <f t="shared" ca="1" si="21"/>
        <v>0</v>
      </c>
      <c r="J73" s="361">
        <f t="shared" ca="1" si="22"/>
        <v>0</v>
      </c>
      <c r="K73" s="362">
        <f t="shared" ca="1" si="23"/>
        <v>0</v>
      </c>
    </row>
    <row r="74" spans="2:11">
      <c r="B74" s="520">
        <v>3</v>
      </c>
      <c r="C74" s="109" t="s">
        <v>559</v>
      </c>
      <c r="D74" s="358" t="s">
        <v>1636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497">
        <f>F69*3</f>
        <v>3</v>
      </c>
      <c r="G74" s="360">
        <f ca="1">IF(ISERROR(OFFSET('HARGA SATUAN'!$I$6,MATCH(RAB!C74,'HARGA SATUAN'!$C$7:$C$1492,0),0)),0,OFFSET('HARGA SATUAN'!$I$6,MATCH(RAB!C74,'HARGA SATUAN'!$C$7:$C$1492,0),0))</f>
        <v>725900</v>
      </c>
      <c r="H74" s="361">
        <f t="shared" si="20"/>
        <v>0</v>
      </c>
      <c r="I74" s="361">
        <f t="shared" si="21"/>
        <v>0</v>
      </c>
      <c r="J74" s="361">
        <f t="shared" si="22"/>
        <v>0</v>
      </c>
      <c r="K74" s="362">
        <f t="shared" si="23"/>
        <v>0</v>
      </c>
    </row>
    <row r="75" spans="2:11">
      <c r="B75" s="520">
        <v>4</v>
      </c>
      <c r="C75" s="521" t="s">
        <v>535</v>
      </c>
      <c r="D75" s="358" t="s">
        <v>1636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497">
        <f>F69*3</f>
        <v>3</v>
      </c>
      <c r="G75" s="360">
        <f ca="1">IF(ISERROR(OFFSET('HARGA SATUAN'!$I$6,MATCH(RAB!C75,'HARGA SATUAN'!$C$7:$C$1492,0),0)),0,OFFSET('HARGA SATUAN'!$I$6,MATCH(RAB!C75,'HARGA SATUAN'!$C$7:$C$1492,0),0))</f>
        <v>848250</v>
      </c>
      <c r="H75" s="361">
        <f t="shared" si="20"/>
        <v>0</v>
      </c>
      <c r="I75" s="361">
        <f t="shared" si="21"/>
        <v>0</v>
      </c>
      <c r="J75" s="361">
        <f t="shared" si="22"/>
        <v>0</v>
      </c>
      <c r="K75" s="362">
        <f t="shared" si="23"/>
        <v>0</v>
      </c>
    </row>
    <row r="76" spans="2:11">
      <c r="B76" s="520">
        <v>5</v>
      </c>
      <c r="C76" s="521" t="s">
        <v>55</v>
      </c>
      <c r="D76" s="358" t="s">
        <v>1636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97">
        <f>F69*3</f>
        <v>3</v>
      </c>
      <c r="G76" s="360">
        <f ca="1">IF(ISERROR(OFFSET('HARGA SATUAN'!$I$6,MATCH(RAB!C76,'HARGA SATUAN'!$C$7:$C$1492,0),0)),0,OFFSET('HARGA SATUAN'!$I$6,MATCH(RAB!C76,'HARGA SATUAN'!$C$7:$C$1492,0),0))</f>
        <v>18000</v>
      </c>
      <c r="H76" s="361">
        <f t="shared" si="20"/>
        <v>0</v>
      </c>
      <c r="I76" s="361">
        <f t="shared" si="21"/>
        <v>0</v>
      </c>
      <c r="J76" s="361">
        <f t="shared" si="22"/>
        <v>0</v>
      </c>
      <c r="K76" s="362">
        <f t="shared" si="23"/>
        <v>0</v>
      </c>
    </row>
    <row r="77" spans="2:11">
      <c r="B77" s="520">
        <v>6</v>
      </c>
      <c r="C77" s="521" t="s">
        <v>1635</v>
      </c>
      <c r="D77" s="358" t="s">
        <v>1636</v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497">
        <f>F69*13</f>
        <v>13</v>
      </c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si="20"/>
        <v>0</v>
      </c>
      <c r="I77" s="361">
        <f t="shared" si="21"/>
        <v>0</v>
      </c>
      <c r="J77" s="361">
        <f t="shared" si="22"/>
        <v>0</v>
      </c>
      <c r="K77" s="362">
        <f t="shared" si="23"/>
        <v>0</v>
      </c>
    </row>
    <row r="78" spans="2:11">
      <c r="B78" s="520">
        <v>7</v>
      </c>
      <c r="C78" s="521" t="s">
        <v>163</v>
      </c>
      <c r="D78" s="358" t="s">
        <v>1636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97">
        <f>F69*28</f>
        <v>28</v>
      </c>
      <c r="G78" s="360">
        <f ca="1">IF(ISERROR(OFFSET('HARGA SATUAN'!$I$6,MATCH(RAB!C78,'HARGA SATUAN'!$C$7:$C$1492,0),0)),0,OFFSET('HARGA SATUAN'!$I$6,MATCH(RAB!C78,'HARGA SATUAN'!$C$7:$C$1492,0),0))</f>
        <v>7938</v>
      </c>
      <c r="H78" s="361">
        <f t="shared" si="20"/>
        <v>0</v>
      </c>
      <c r="I78" s="361">
        <f t="shared" si="21"/>
        <v>0</v>
      </c>
      <c r="J78" s="361">
        <f t="shared" si="22"/>
        <v>0</v>
      </c>
      <c r="K78" s="362">
        <f t="shared" si="23"/>
        <v>0</v>
      </c>
    </row>
    <row r="79" spans="2:11">
      <c r="B79" s="520">
        <v>8</v>
      </c>
      <c r="C79" s="521" t="s">
        <v>176</v>
      </c>
      <c r="D79" s="358" t="s">
        <v>1636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97">
        <f>F69*2</f>
        <v>2</v>
      </c>
      <c r="G79" s="360">
        <f ca="1">IF(ISERROR(OFFSET('HARGA SATUAN'!$I$6,MATCH(RAB!C79,'HARGA SATUAN'!$C$7:$C$1492,0),0)),0,OFFSET('HARGA SATUAN'!$I$6,MATCH(RAB!C79,'HARGA SATUAN'!$C$7:$C$1492,0),0))</f>
        <v>404600</v>
      </c>
      <c r="H79" s="361">
        <f t="shared" si="20"/>
        <v>0</v>
      </c>
      <c r="I79" s="361">
        <f t="shared" si="21"/>
        <v>0</v>
      </c>
      <c r="J79" s="361">
        <f t="shared" si="22"/>
        <v>0</v>
      </c>
      <c r="K79" s="362">
        <f t="shared" si="23"/>
        <v>0</v>
      </c>
    </row>
    <row r="80" spans="2:11">
      <c r="B80" s="520">
        <v>9</v>
      </c>
      <c r="C80" s="521" t="s">
        <v>184</v>
      </c>
      <c r="D80" s="358" t="s">
        <v>1636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497">
        <f>F69*3</f>
        <v>3</v>
      </c>
      <c r="G80" s="360">
        <f ca="1">IF(ISERROR(OFFSET('HARGA SATUAN'!$I$6,MATCH(RAB!C80,'HARGA SATUAN'!$C$7:$C$1492,0),0)),0,OFFSET('HARGA SATUAN'!$I$6,MATCH(RAB!C80,'HARGA SATUAN'!$C$7:$C$1492,0),0))</f>
        <v>15900</v>
      </c>
      <c r="H80" s="361">
        <f t="shared" si="20"/>
        <v>0</v>
      </c>
      <c r="I80" s="361">
        <f t="shared" si="21"/>
        <v>0</v>
      </c>
      <c r="J80" s="361">
        <f t="shared" si="22"/>
        <v>0</v>
      </c>
      <c r="K80" s="362">
        <f t="shared" si="23"/>
        <v>0</v>
      </c>
    </row>
    <row r="81" spans="2:11">
      <c r="B81" s="520">
        <v>10</v>
      </c>
      <c r="C81" s="521" t="s">
        <v>593</v>
      </c>
      <c r="D81" s="358" t="s">
        <v>1636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497">
        <f>F69*5</f>
        <v>5</v>
      </c>
      <c r="G81" s="360">
        <f ca="1">IF(ISERROR(OFFSET('HARGA SATUAN'!$I$6,MATCH(RAB!C81,'HARGA SATUAN'!$C$7:$C$1492,0),0)),0,OFFSET('HARGA SATUAN'!$I$6,MATCH(RAB!C81,'HARGA SATUAN'!$C$7:$C$1492,0),0))</f>
        <v>380500</v>
      </c>
      <c r="H81" s="361">
        <f t="shared" si="20"/>
        <v>0</v>
      </c>
      <c r="I81" s="361">
        <f t="shared" si="21"/>
        <v>0</v>
      </c>
      <c r="J81" s="361">
        <f t="shared" si="22"/>
        <v>0</v>
      </c>
      <c r="K81" s="362">
        <f t="shared" si="23"/>
        <v>0</v>
      </c>
    </row>
    <row r="82" spans="2:11">
      <c r="B82" s="520">
        <v>11</v>
      </c>
      <c r="C82" s="521" t="s">
        <v>594</v>
      </c>
      <c r="D82" s="358" t="s">
        <v>1636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497">
        <f>F69*4</f>
        <v>4</v>
      </c>
      <c r="G82" s="360">
        <f ca="1">IF(ISERROR(OFFSET('HARGA SATUAN'!$I$6,MATCH(RAB!C82,'HARGA SATUAN'!$C$7:$C$1492,0),0)),0,OFFSET('HARGA SATUAN'!$I$6,MATCH(RAB!C82,'HARGA SATUAN'!$C$7:$C$1492,0),0))</f>
        <v>559200</v>
      </c>
      <c r="H82" s="361">
        <f t="shared" si="20"/>
        <v>0</v>
      </c>
      <c r="I82" s="361">
        <f t="shared" si="21"/>
        <v>0</v>
      </c>
      <c r="J82" s="361">
        <f t="shared" si="22"/>
        <v>0</v>
      </c>
      <c r="K82" s="362">
        <f t="shared" si="23"/>
        <v>0</v>
      </c>
    </row>
    <row r="83" spans="2:11">
      <c r="B83" s="520">
        <v>12</v>
      </c>
      <c r="C83" s="521" t="s">
        <v>208</v>
      </c>
      <c r="D83" s="358" t="s">
        <v>1636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97">
        <f>F69*3</f>
        <v>3</v>
      </c>
      <c r="G83" s="360">
        <f ca="1">IF(ISERROR(OFFSET('HARGA SATUAN'!$I$6,MATCH(RAB!C83,'HARGA SATUAN'!$C$7:$C$1492,0),0)),0,OFFSET('HARGA SATUAN'!$I$6,MATCH(RAB!C83,'HARGA SATUAN'!$C$7:$C$1492,0),0))</f>
        <v>173400</v>
      </c>
      <c r="H83" s="361">
        <f t="shared" si="20"/>
        <v>0</v>
      </c>
      <c r="I83" s="361">
        <f t="shared" si="21"/>
        <v>0</v>
      </c>
      <c r="J83" s="361">
        <f t="shared" si="22"/>
        <v>0</v>
      </c>
      <c r="K83" s="362">
        <f t="shared" si="23"/>
        <v>0</v>
      </c>
    </row>
    <row r="84" spans="2:11">
      <c r="B84" s="520">
        <v>13</v>
      </c>
      <c r="C84" s="521" t="s">
        <v>247</v>
      </c>
      <c r="D84" s="358" t="s">
        <v>1636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497">
        <f>F69*2</f>
        <v>2</v>
      </c>
      <c r="G84" s="360">
        <f ca="1">IF(ISERROR(OFFSET('HARGA SATUAN'!$I$6,MATCH(RAB!C84,'HARGA SATUAN'!$C$7:$C$1492,0),0)),0,OFFSET('HARGA SATUAN'!$I$6,MATCH(RAB!C84,'HARGA SATUAN'!$C$7:$C$1492,0),0))</f>
        <v>57690</v>
      </c>
      <c r="H84" s="361">
        <f t="shared" si="20"/>
        <v>0</v>
      </c>
      <c r="I84" s="361">
        <f t="shared" si="21"/>
        <v>0</v>
      </c>
      <c r="J84" s="361">
        <f t="shared" si="22"/>
        <v>0</v>
      </c>
      <c r="K84" s="362">
        <f t="shared" si="23"/>
        <v>0</v>
      </c>
    </row>
    <row r="85" spans="2:11">
      <c r="B85" s="520">
        <v>14</v>
      </c>
      <c r="C85" s="521" t="s">
        <v>248</v>
      </c>
      <c r="D85" s="358" t="s">
        <v>1636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497">
        <f>F69*2</f>
        <v>2</v>
      </c>
      <c r="G85" s="360">
        <f ca="1">IF(ISERROR(OFFSET('HARGA SATUAN'!$I$6,MATCH(RAB!C85,'HARGA SATUAN'!$C$7:$C$1492,0),0)),0,OFFSET('HARGA SATUAN'!$I$6,MATCH(RAB!C85,'HARGA SATUAN'!$C$7:$C$1492,0),0))</f>
        <v>60300</v>
      </c>
      <c r="H85" s="361">
        <f t="shared" si="20"/>
        <v>0</v>
      </c>
      <c r="I85" s="361">
        <f t="shared" si="21"/>
        <v>0</v>
      </c>
      <c r="J85" s="361">
        <f t="shared" si="22"/>
        <v>0</v>
      </c>
      <c r="K85" s="362">
        <f t="shared" si="23"/>
        <v>0</v>
      </c>
    </row>
    <row r="86" spans="2:11">
      <c r="B86" s="520">
        <v>15</v>
      </c>
      <c r="C86" s="521" t="s">
        <v>267</v>
      </c>
      <c r="D86" s="358" t="s">
        <v>1636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497">
        <f>F69*4</f>
        <v>4</v>
      </c>
      <c r="G86" s="360">
        <f ca="1">IF(ISERROR(OFFSET('HARGA SATUAN'!$I$6,MATCH(RAB!C86,'HARGA SATUAN'!$C$7:$C$1492,0),0)),0,OFFSET('HARGA SATUAN'!$I$6,MATCH(RAB!C86,'HARGA SATUAN'!$C$7:$C$1492,0),0))</f>
        <v>129000</v>
      </c>
      <c r="H86" s="361">
        <f t="shared" si="20"/>
        <v>0</v>
      </c>
      <c r="I86" s="361">
        <f t="shared" si="21"/>
        <v>0</v>
      </c>
      <c r="J86" s="361">
        <f t="shared" si="22"/>
        <v>0</v>
      </c>
      <c r="K86" s="362">
        <f t="shared" si="23"/>
        <v>0</v>
      </c>
    </row>
    <row r="87" spans="2:11" ht="26.25">
      <c r="B87" s="520">
        <v>16</v>
      </c>
      <c r="C87" s="524" t="s">
        <v>1637</v>
      </c>
      <c r="D87" s="511" t="s">
        <v>47</v>
      </c>
      <c r="E87" s="512" t="s">
        <v>14</v>
      </c>
      <c r="F87" s="512">
        <v>1</v>
      </c>
      <c r="G87" s="513">
        <v>398500</v>
      </c>
      <c r="H87" s="361">
        <f t="shared" si="20"/>
        <v>0</v>
      </c>
      <c r="I87" s="361">
        <f t="shared" si="21"/>
        <v>0</v>
      </c>
      <c r="J87" s="361">
        <f t="shared" si="22"/>
        <v>398500</v>
      </c>
      <c r="K87" s="362">
        <f t="shared" si="23"/>
        <v>398500</v>
      </c>
    </row>
    <row r="88" spans="2:11" ht="25.5">
      <c r="B88" s="366">
        <v>17</v>
      </c>
      <c r="C88" s="525" t="s">
        <v>1638</v>
      </c>
      <c r="D88" s="511" t="s">
        <v>47</v>
      </c>
      <c r="E88" s="512" t="s">
        <v>14</v>
      </c>
      <c r="F88" s="512">
        <v>1</v>
      </c>
      <c r="G88" s="513">
        <v>560800</v>
      </c>
      <c r="H88" s="361">
        <f t="shared" si="20"/>
        <v>0</v>
      </c>
      <c r="I88" s="361">
        <f t="shared" si="21"/>
        <v>0</v>
      </c>
      <c r="J88" s="361">
        <f t="shared" si="22"/>
        <v>560800</v>
      </c>
      <c r="K88" s="362">
        <f t="shared" si="23"/>
        <v>560800</v>
      </c>
    </row>
    <row r="89" spans="2:11">
      <c r="B89" s="366"/>
      <c r="C89" s="367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8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20"/>
        <v>0</v>
      </c>
      <c r="I89" s="361">
        <f t="shared" ca="1" si="21"/>
        <v>0</v>
      </c>
      <c r="J89" s="361">
        <f t="shared" ca="1" si="22"/>
        <v>0</v>
      </c>
      <c r="K89" s="362">
        <f t="shared" ca="1" si="23"/>
        <v>0</v>
      </c>
    </row>
    <row r="90" spans="2:11">
      <c r="B90" s="366"/>
      <c r="C90" s="367" t="s">
        <v>1641</v>
      </c>
      <c r="D90" s="358"/>
      <c r="E90" s="359"/>
      <c r="F90" s="368"/>
      <c r="G90" s="360"/>
      <c r="H90" s="361"/>
      <c r="I90" s="361"/>
      <c r="J90" s="361"/>
      <c r="K90" s="362"/>
    </row>
    <row r="91" spans="2:11">
      <c r="B91" s="520" t="s">
        <v>1035</v>
      </c>
      <c r="C91" s="521" t="s">
        <v>1639</v>
      </c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>Unit</v>
      </c>
      <c r="F91" s="497">
        <v>1</v>
      </c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ref="H91:H118" ca="1" si="24">IF(OR(D91="MDU",D91="MDU-KD"),(IF($O$3="RAB NON MDU","PLN KD",G91*F91)),0)</f>
        <v>0</v>
      </c>
      <c r="I91" s="361">
        <f t="shared" ref="I91:I118" ca="1" si="25">IF(D91="HDW",G91*F91,0)</f>
        <v>0</v>
      </c>
      <c r="J91" s="361">
        <f t="shared" ref="J91:J118" ca="1" si="26">IF(D91="JASA",G91*F91,0)</f>
        <v>0</v>
      </c>
      <c r="K91" s="362">
        <f t="shared" ref="K91:K118" ca="1" si="27">SUM(H91:J91)</f>
        <v>0</v>
      </c>
    </row>
    <row r="92" spans="2:11">
      <c r="B92" s="520">
        <v>1</v>
      </c>
      <c r="C92" s="526" t="s">
        <v>1044</v>
      </c>
      <c r="D92" s="358" t="str">
        <f ca="1">IF(ISERROR(OFFSET('HARGA SATUAN'!$D$6,MATCH(RAB!C92,'HARGA SATUAN'!$C$7:$C$1492,0),0)),"",OFFSET('HARGA SATUAN'!$D$6,MATCH(RAB!C92,'HARGA SATUAN'!$C$7:$C$1492,0),0))</f>
        <v>MDU-KD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497">
        <f>F91*1</f>
        <v>1</v>
      </c>
      <c r="G92" s="360">
        <f ca="1">IF(ISERROR(OFFSET('HARGA SATUAN'!$I$6,MATCH(RAB!C92,'HARGA SATUAN'!$C$7:$C$1492,0),0)),0,OFFSET('HARGA SATUAN'!$I$6,MATCH(RAB!C92,'HARGA SATUAN'!$C$7:$C$1492,0),0))</f>
        <v>9994500</v>
      </c>
      <c r="H92" s="361">
        <f t="shared" ca="1" si="24"/>
        <v>9994500</v>
      </c>
      <c r="I92" s="361">
        <f t="shared" ca="1" si="25"/>
        <v>0</v>
      </c>
      <c r="J92" s="361">
        <f t="shared" ca="1" si="26"/>
        <v>0</v>
      </c>
      <c r="K92" s="362">
        <f t="shared" ca="1" si="27"/>
        <v>9994500</v>
      </c>
    </row>
    <row r="93" spans="2:11">
      <c r="B93" s="520">
        <v>2</v>
      </c>
      <c r="C93" s="109" t="s">
        <v>1459</v>
      </c>
      <c r="D93" s="358" t="str">
        <f ca="1">IF(ISERROR(OFFSET('HARGA SATUAN'!$D$6,MATCH(RAB!C93,'HARGA SATUAN'!$C$7:$C$1492,0),0)),"",OFFSET('HARGA SATUAN'!$D$6,MATCH(RAB!C93,'HARGA SATUAN'!$C$7:$C$1492,0),0))</f>
        <v>MDU-KD</v>
      </c>
      <c r="E93" s="359" t="str">
        <f ca="1">IF(B93="+","Unit",IF(ISERROR(OFFSET('HARGA SATUAN'!$E$6,MATCH(RAB!C93,'HARGA SATUAN'!$C$7:$C$1492,0),0)),"",OFFSET('HARGA SATUAN'!$E$6,MATCH(RAB!C93,'HARGA SATUAN'!$C$7:$C$1492,0),0)))</f>
        <v>Mtr</v>
      </c>
      <c r="F93" s="497">
        <v>34</v>
      </c>
      <c r="G93" s="360">
        <f ca="1">IF(ISERROR(OFFSET('HARGA SATUAN'!$I$6,MATCH(RAB!C93,'HARGA SATUAN'!$C$7:$C$1492,0),0)),0,OFFSET('HARGA SATUAN'!$I$6,MATCH(RAB!C93,'HARGA SATUAN'!$C$7:$C$1492,0),0))</f>
        <v>54500</v>
      </c>
      <c r="H93" s="361">
        <f t="shared" ca="1" si="24"/>
        <v>1853000</v>
      </c>
      <c r="I93" s="361">
        <f t="shared" ca="1" si="25"/>
        <v>0</v>
      </c>
      <c r="J93" s="361">
        <f t="shared" ca="1" si="26"/>
        <v>0</v>
      </c>
      <c r="K93" s="362">
        <f t="shared" ca="1" si="27"/>
        <v>1853000</v>
      </c>
    </row>
    <row r="94" spans="2:11">
      <c r="B94" s="520">
        <v>3</v>
      </c>
      <c r="C94" s="526" t="s">
        <v>163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497">
        <f>F91*4</f>
        <v>4</v>
      </c>
      <c r="G94" s="360">
        <f ca="1">IF(ISERROR(OFFSET('HARGA SATUAN'!$I$6,MATCH(RAB!C94,'HARGA SATUAN'!$C$7:$C$1492,0),0)),0,OFFSET('HARGA SATUAN'!$I$6,MATCH(RAB!C94,'HARGA SATUAN'!$C$7:$C$1492,0),0))</f>
        <v>7938</v>
      </c>
      <c r="H94" s="361">
        <f t="shared" ca="1" si="24"/>
        <v>0</v>
      </c>
      <c r="I94" s="361">
        <f t="shared" ca="1" si="25"/>
        <v>31752</v>
      </c>
      <c r="J94" s="361">
        <f t="shared" ca="1" si="26"/>
        <v>0</v>
      </c>
      <c r="K94" s="362">
        <f t="shared" ca="1" si="27"/>
        <v>31752</v>
      </c>
    </row>
    <row r="95" spans="2:11">
      <c r="B95" s="520">
        <v>4</v>
      </c>
      <c r="C95" s="521" t="s">
        <v>166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497">
        <f>F91*10</f>
        <v>10</v>
      </c>
      <c r="G95" s="360">
        <f ca="1">IF(ISERROR(OFFSET('HARGA SATUAN'!$I$6,MATCH(RAB!C95,'HARGA SATUAN'!$C$7:$C$1492,0),0)),0,OFFSET('HARGA SATUAN'!$I$6,MATCH(RAB!C95,'HARGA SATUAN'!$C$7:$C$1492,0),0))</f>
        <v>26500</v>
      </c>
      <c r="H95" s="361">
        <f t="shared" ca="1" si="24"/>
        <v>0</v>
      </c>
      <c r="I95" s="361">
        <f t="shared" ca="1" si="25"/>
        <v>265000</v>
      </c>
      <c r="J95" s="361">
        <f t="shared" ca="1" si="26"/>
        <v>0</v>
      </c>
      <c r="K95" s="362">
        <f t="shared" ca="1" si="27"/>
        <v>265000</v>
      </c>
    </row>
    <row r="96" spans="2:11">
      <c r="B96" s="520">
        <v>5</v>
      </c>
      <c r="C96" s="526" t="s">
        <v>592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497">
        <f>F91*1</f>
        <v>1</v>
      </c>
      <c r="G96" s="360">
        <f ca="1">IF(ISERROR(OFFSET('HARGA SATUAN'!$I$6,MATCH(RAB!C96,'HARGA SATUAN'!$C$7:$C$1492,0),0)),0,OFFSET('HARGA SATUAN'!$I$6,MATCH(RAB!C96,'HARGA SATUAN'!$C$7:$C$1492,0),0))</f>
        <v>283100</v>
      </c>
      <c r="H96" s="361">
        <f t="shared" ca="1" si="24"/>
        <v>0</v>
      </c>
      <c r="I96" s="361">
        <f t="shared" ca="1" si="25"/>
        <v>283100</v>
      </c>
      <c r="J96" s="361">
        <f t="shared" ca="1" si="26"/>
        <v>0</v>
      </c>
      <c r="K96" s="362">
        <f t="shared" ca="1" si="27"/>
        <v>283100</v>
      </c>
    </row>
    <row r="97" spans="2:11">
      <c r="B97" s="520">
        <v>6</v>
      </c>
      <c r="C97" s="526" t="s">
        <v>593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497">
        <f>F91*1</f>
        <v>1</v>
      </c>
      <c r="G97" s="360">
        <f ca="1">IF(ISERROR(OFFSET('HARGA SATUAN'!$I$6,MATCH(RAB!C97,'HARGA SATUAN'!$C$7:$C$1492,0),0)),0,OFFSET('HARGA SATUAN'!$I$6,MATCH(RAB!C97,'HARGA SATUAN'!$C$7:$C$1492,0),0))</f>
        <v>380500</v>
      </c>
      <c r="H97" s="361">
        <f t="shared" ca="1" si="24"/>
        <v>0</v>
      </c>
      <c r="I97" s="361">
        <f t="shared" ca="1" si="25"/>
        <v>380500</v>
      </c>
      <c r="J97" s="361">
        <f t="shared" ca="1" si="26"/>
        <v>0</v>
      </c>
      <c r="K97" s="362">
        <f t="shared" ca="1" si="27"/>
        <v>380500</v>
      </c>
    </row>
    <row r="98" spans="2:11">
      <c r="B98" s="520">
        <v>7</v>
      </c>
      <c r="C98" s="526" t="s">
        <v>230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97">
        <f>F91*(3*3)</f>
        <v>9</v>
      </c>
      <c r="G98" s="360">
        <f ca="1">IF(ISERROR(OFFSET('HARGA SATUAN'!$I$6,MATCH(RAB!C98,'HARGA SATUAN'!$C$7:$C$1492,0),0)),0,OFFSET('HARGA SATUAN'!$I$6,MATCH(RAB!C98,'HARGA SATUAN'!$C$7:$C$1492,0),0))</f>
        <v>32500</v>
      </c>
      <c r="H98" s="361">
        <f t="shared" ca="1" si="24"/>
        <v>0</v>
      </c>
      <c r="I98" s="361">
        <f t="shared" ca="1" si="25"/>
        <v>292500</v>
      </c>
      <c r="J98" s="361">
        <f t="shared" ca="1" si="26"/>
        <v>0</v>
      </c>
      <c r="K98" s="362">
        <f t="shared" ca="1" si="27"/>
        <v>292500</v>
      </c>
    </row>
    <row r="99" spans="2:11">
      <c r="B99" s="520">
        <v>8</v>
      </c>
      <c r="C99" s="526" t="s">
        <v>37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497">
        <f>F91*1</f>
        <v>1</v>
      </c>
      <c r="G99" s="360">
        <f ca="1">IF(ISERROR(OFFSET('HARGA SATUAN'!$I$6,MATCH(RAB!C99,'HARGA SATUAN'!$C$7:$C$1492,0),0)),0,OFFSET('HARGA SATUAN'!$I$6,MATCH(RAB!C99,'HARGA SATUAN'!$C$7:$C$1492,0),0))</f>
        <v>63500</v>
      </c>
      <c r="H99" s="361">
        <f t="shared" ca="1" si="24"/>
        <v>0</v>
      </c>
      <c r="I99" s="361">
        <f t="shared" ca="1" si="25"/>
        <v>63500</v>
      </c>
      <c r="J99" s="361">
        <f t="shared" ca="1" si="26"/>
        <v>0</v>
      </c>
      <c r="K99" s="362">
        <f t="shared" ca="1" si="27"/>
        <v>63500</v>
      </c>
    </row>
    <row r="100" spans="2:11">
      <c r="B100" s="520">
        <v>9</v>
      </c>
      <c r="C100" s="526" t="s">
        <v>234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97">
        <f>F91*2</f>
        <v>2</v>
      </c>
      <c r="G100" s="360">
        <f ca="1">IF(ISERROR(OFFSET('HARGA SATUAN'!$I$6,MATCH(RAB!C100,'HARGA SATUAN'!$C$7:$C$1492,0),0)),0,OFFSET('HARGA SATUAN'!$I$6,MATCH(RAB!C100,'HARGA SATUAN'!$C$7:$C$1492,0),0))</f>
        <v>67500</v>
      </c>
      <c r="H100" s="361">
        <f t="shared" ca="1" si="24"/>
        <v>0</v>
      </c>
      <c r="I100" s="361">
        <f t="shared" ca="1" si="25"/>
        <v>135000</v>
      </c>
      <c r="J100" s="361">
        <f t="shared" ca="1" si="26"/>
        <v>0</v>
      </c>
      <c r="K100" s="362">
        <f t="shared" ca="1" si="27"/>
        <v>135000</v>
      </c>
    </row>
    <row r="101" spans="2:11">
      <c r="B101" s="520">
        <v>10</v>
      </c>
      <c r="C101" s="526" t="s">
        <v>1048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497">
        <f>F91*2</f>
        <v>2</v>
      </c>
      <c r="G101" s="360">
        <f ca="1">IF(ISERROR(OFFSET('HARGA SATUAN'!$I$6,MATCH(RAB!C101,'HARGA SATUAN'!$C$7:$C$1492,0),0)),0,OFFSET('HARGA SATUAN'!$I$6,MATCH(RAB!C101,'HARGA SATUAN'!$C$7:$C$1492,0),0))</f>
        <v>79056</v>
      </c>
      <c r="H101" s="361">
        <f t="shared" ca="1" si="24"/>
        <v>0</v>
      </c>
      <c r="I101" s="361">
        <f t="shared" ca="1" si="25"/>
        <v>158112</v>
      </c>
      <c r="J101" s="361">
        <f t="shared" ca="1" si="26"/>
        <v>0</v>
      </c>
      <c r="K101" s="362">
        <f t="shared" ca="1" si="27"/>
        <v>158112</v>
      </c>
    </row>
    <row r="102" spans="2:11">
      <c r="B102" s="520">
        <v>11</v>
      </c>
      <c r="C102" s="526" t="s">
        <v>1049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497">
        <f>F91*1</f>
        <v>1</v>
      </c>
      <c r="G102" s="360">
        <f ca="1">IF(ISERROR(OFFSET('HARGA SATUAN'!$I$6,MATCH(RAB!C102,'HARGA SATUAN'!$C$7:$C$1492,0),0)),0,OFFSET('HARGA SATUAN'!$I$6,MATCH(RAB!C102,'HARGA SATUAN'!$C$7:$C$1492,0),0))</f>
        <v>81984</v>
      </c>
      <c r="H102" s="361">
        <f t="shared" ca="1" si="24"/>
        <v>0</v>
      </c>
      <c r="I102" s="361">
        <f t="shared" ca="1" si="25"/>
        <v>81984</v>
      </c>
      <c r="J102" s="361">
        <f t="shared" ca="1" si="26"/>
        <v>0</v>
      </c>
      <c r="K102" s="362">
        <f t="shared" ca="1" si="27"/>
        <v>81984</v>
      </c>
    </row>
    <row r="103" spans="2:11">
      <c r="B103" s="520">
        <v>12</v>
      </c>
      <c r="C103" s="526" t="s">
        <v>1050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497">
        <f>F91*2</f>
        <v>2</v>
      </c>
      <c r="G103" s="360">
        <f ca="1">IF(ISERROR(OFFSET('HARGA SATUAN'!$I$6,MATCH(RAB!C103,'HARGA SATUAN'!$C$7:$C$1492,0),0)),0,OFFSET('HARGA SATUAN'!$I$6,MATCH(RAB!C103,'HARGA SATUAN'!$C$7:$C$1492,0),0))</f>
        <v>7320</v>
      </c>
      <c r="H103" s="361">
        <f t="shared" ca="1" si="24"/>
        <v>0</v>
      </c>
      <c r="I103" s="361">
        <f t="shared" ca="1" si="25"/>
        <v>14640</v>
      </c>
      <c r="J103" s="361">
        <f t="shared" ca="1" si="26"/>
        <v>0</v>
      </c>
      <c r="K103" s="362">
        <f t="shared" ca="1" si="27"/>
        <v>14640</v>
      </c>
    </row>
    <row r="104" spans="2:11">
      <c r="B104" s="520">
        <v>13</v>
      </c>
      <c r="C104" s="526" t="s">
        <v>1051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497">
        <f>F91*1</f>
        <v>1</v>
      </c>
      <c r="G104" s="360">
        <f ca="1">IF(ISERROR(OFFSET('HARGA SATUAN'!$I$6,MATCH(RAB!C104,'HARGA SATUAN'!$C$7:$C$1492,0),0)),0,OFFSET('HARGA SATUAN'!$I$6,MATCH(RAB!C104,'HARGA SATUAN'!$C$7:$C$1492,0),0))</f>
        <v>8784</v>
      </c>
      <c r="H104" s="361">
        <f t="shared" ca="1" si="24"/>
        <v>0</v>
      </c>
      <c r="I104" s="361">
        <f t="shared" ca="1" si="25"/>
        <v>8784</v>
      </c>
      <c r="J104" s="361">
        <f t="shared" ca="1" si="26"/>
        <v>0</v>
      </c>
      <c r="K104" s="362">
        <f t="shared" ca="1" si="27"/>
        <v>8784</v>
      </c>
    </row>
    <row r="105" spans="2:11">
      <c r="B105" s="520">
        <v>14</v>
      </c>
      <c r="C105" s="526" t="s">
        <v>1052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497">
        <f>F91*(2*1.5)</f>
        <v>3</v>
      </c>
      <c r="G105" s="360">
        <f ca="1">IF(ISERROR(OFFSET('HARGA SATUAN'!$I$6,MATCH(RAB!C105,'HARGA SATUAN'!$C$7:$C$1492,0),0)),0,OFFSET('HARGA SATUAN'!$I$6,MATCH(RAB!C105,'HARGA SATUAN'!$C$7:$C$1492,0),0))</f>
        <v>52704</v>
      </c>
      <c r="H105" s="361">
        <f t="shared" ca="1" si="24"/>
        <v>0</v>
      </c>
      <c r="I105" s="361">
        <f t="shared" ca="1" si="25"/>
        <v>158112</v>
      </c>
      <c r="J105" s="361">
        <f t="shared" ca="1" si="26"/>
        <v>0</v>
      </c>
      <c r="K105" s="362">
        <f t="shared" ca="1" si="27"/>
        <v>158112</v>
      </c>
    </row>
    <row r="106" spans="2:11">
      <c r="B106" s="520">
        <v>15</v>
      </c>
      <c r="C106" s="526" t="s">
        <v>1053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497">
        <f>F91*1.5</f>
        <v>1.5</v>
      </c>
      <c r="G106" s="360">
        <f ca="1">IF(ISERROR(OFFSET('HARGA SATUAN'!$I$6,MATCH(RAB!C106,'HARGA SATUAN'!$C$7:$C$1492,0),0)),0,OFFSET('HARGA SATUAN'!$I$6,MATCH(RAB!C106,'HARGA SATUAN'!$C$7:$C$1492,0),0))</f>
        <v>67344</v>
      </c>
      <c r="H106" s="361">
        <f t="shared" ca="1" si="24"/>
        <v>0</v>
      </c>
      <c r="I106" s="361">
        <f t="shared" ca="1" si="25"/>
        <v>101016</v>
      </c>
      <c r="J106" s="361">
        <f t="shared" ca="1" si="26"/>
        <v>0</v>
      </c>
      <c r="K106" s="362">
        <f t="shared" ca="1" si="27"/>
        <v>101016</v>
      </c>
    </row>
    <row r="107" spans="2:11">
      <c r="B107" s="520">
        <v>16</v>
      </c>
      <c r="C107" s="109" t="s">
        <v>1579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497">
        <f>F91*16</f>
        <v>16</v>
      </c>
      <c r="G107" s="360">
        <f ca="1">IF(ISERROR(OFFSET('HARGA SATUAN'!$I$6,MATCH(RAB!C107,'HARGA SATUAN'!$C$7:$C$1492,0),0)),0,OFFSET('HARGA SATUAN'!$I$6,MATCH(RAB!C107,'HARGA SATUAN'!$C$7:$C$1492,0),0))</f>
        <v>127000</v>
      </c>
      <c r="H107" s="361">
        <f t="shared" ca="1" si="24"/>
        <v>0</v>
      </c>
      <c r="I107" s="361">
        <f t="shared" ca="1" si="25"/>
        <v>2032000</v>
      </c>
      <c r="J107" s="361">
        <f t="shared" ca="1" si="26"/>
        <v>0</v>
      </c>
      <c r="K107" s="362">
        <f t="shared" ca="1" si="27"/>
        <v>2032000</v>
      </c>
    </row>
    <row r="108" spans="2:11">
      <c r="B108" s="520">
        <v>17</v>
      </c>
      <c r="C108" s="526" t="s">
        <v>184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497">
        <f>F91*8</f>
        <v>8</v>
      </c>
      <c r="G108" s="360">
        <f ca="1">IF(ISERROR(OFFSET('HARGA SATUAN'!$I$6,MATCH(RAB!C108,'HARGA SATUAN'!$C$7:$C$1492,0),0)),0,OFFSET('HARGA SATUAN'!$I$6,MATCH(RAB!C108,'HARGA SATUAN'!$C$7:$C$1492,0),0))</f>
        <v>15900</v>
      </c>
      <c r="H108" s="361">
        <f t="shared" ca="1" si="24"/>
        <v>0</v>
      </c>
      <c r="I108" s="361">
        <f t="shared" ca="1" si="25"/>
        <v>127200</v>
      </c>
      <c r="J108" s="361">
        <f t="shared" ca="1" si="26"/>
        <v>0</v>
      </c>
      <c r="K108" s="362">
        <f t="shared" ca="1" si="27"/>
        <v>127200</v>
      </c>
    </row>
    <row r="109" spans="2:11">
      <c r="B109" s="520">
        <v>18</v>
      </c>
      <c r="C109" s="109" t="s">
        <v>1165</v>
      </c>
      <c r="D109" s="358" t="str">
        <f ca="1">IF(ISERROR(OFFSET('HARGA SATUAN'!$D$6,MATCH(RAB!C109,'HARGA SATUAN'!$C$7:$C$1492,0),0)),"",OFFSET('HARGA SATUAN'!$D$6,MATCH(RAB!C109,'HARGA SATUAN'!$C$7:$C$1492,0),0))</f>
        <v>JASA</v>
      </c>
      <c r="E109" s="359" t="str">
        <f ca="1">IF(B109="+","Unit",IF(ISERROR(OFFSET('HARGA SATUAN'!$E$6,MATCH(RAB!C109,'HARGA SATUAN'!$C$7:$C$1492,0),0)),"",OFFSET('HARGA SATUAN'!$E$6,MATCH(RAB!C109,'HARGA SATUAN'!$C$7:$C$1492,0),0)))</f>
        <v>Unit</v>
      </c>
      <c r="F109" s="497">
        <f>F91*1</f>
        <v>1</v>
      </c>
      <c r="G109" s="360">
        <f ca="1">IF(ISERROR(OFFSET('HARGA SATUAN'!$I$6,MATCH(RAB!C109,'HARGA SATUAN'!$C$7:$C$1492,0),0)),0,OFFSET('HARGA SATUAN'!$I$6,MATCH(RAB!C109,'HARGA SATUAN'!$C$7:$C$1492,0),0))</f>
        <v>614700</v>
      </c>
      <c r="H109" s="361">
        <f t="shared" ca="1" si="24"/>
        <v>0</v>
      </c>
      <c r="I109" s="361">
        <f t="shared" ca="1" si="25"/>
        <v>0</v>
      </c>
      <c r="J109" s="361">
        <f t="shared" ca="1" si="26"/>
        <v>614700</v>
      </c>
      <c r="K109" s="362">
        <f t="shared" ca="1" si="27"/>
        <v>614700</v>
      </c>
    </row>
    <row r="110" spans="2:11">
      <c r="B110" s="492"/>
      <c r="C110" s="495"/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/>
      </c>
      <c r="F110" s="368"/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ca="1" si="24"/>
        <v>0</v>
      </c>
      <c r="I110" s="361">
        <f t="shared" ca="1" si="25"/>
        <v>0</v>
      </c>
      <c r="J110" s="361">
        <f t="shared" ca="1" si="26"/>
        <v>0</v>
      </c>
      <c r="K110" s="362">
        <f t="shared" ca="1" si="27"/>
        <v>0</v>
      </c>
    </row>
    <row r="111" spans="2:11">
      <c r="B111" s="520" t="s">
        <v>1035</v>
      </c>
      <c r="C111" s="521" t="s">
        <v>1640</v>
      </c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>Unit</v>
      </c>
      <c r="F111" s="497">
        <v>1</v>
      </c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24"/>
        <v>0</v>
      </c>
      <c r="I111" s="361">
        <f t="shared" ca="1" si="25"/>
        <v>0</v>
      </c>
      <c r="J111" s="361">
        <f t="shared" ca="1" si="26"/>
        <v>0</v>
      </c>
      <c r="K111" s="362">
        <f t="shared" ca="1" si="27"/>
        <v>0</v>
      </c>
    </row>
    <row r="112" spans="2:11">
      <c r="B112" s="520">
        <v>1</v>
      </c>
      <c r="C112" s="521" t="s">
        <v>29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497">
        <f>F111*1</f>
        <v>1</v>
      </c>
      <c r="G112" s="360">
        <f ca="1">IF(ISERROR(OFFSET('HARGA SATUAN'!$I$6,MATCH(RAB!C112,'HARGA SATUAN'!$C$7:$C$1492,0),0)),0,OFFSET('HARGA SATUAN'!$I$6,MATCH(RAB!C112,'HARGA SATUAN'!$C$7:$C$1492,0),0))</f>
        <v>185200</v>
      </c>
      <c r="H112" s="361">
        <f t="shared" ca="1" si="24"/>
        <v>0</v>
      </c>
      <c r="I112" s="361">
        <f t="shared" ca="1" si="25"/>
        <v>185200</v>
      </c>
      <c r="J112" s="361">
        <f t="shared" ca="1" si="26"/>
        <v>0</v>
      </c>
      <c r="K112" s="362">
        <f t="shared" ca="1" si="27"/>
        <v>185200</v>
      </c>
    </row>
    <row r="113" spans="2:11">
      <c r="B113" s="520">
        <v>2</v>
      </c>
      <c r="C113" s="521" t="s">
        <v>30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497">
        <f>F111*1</f>
        <v>1</v>
      </c>
      <c r="G113" s="360">
        <f ca="1">IF(ISERROR(OFFSET('HARGA SATUAN'!$I$6,MATCH(RAB!C113,'HARGA SATUAN'!$C$7:$C$1492,0),0)),0,OFFSET('HARGA SATUAN'!$I$6,MATCH(RAB!C113,'HARGA SATUAN'!$C$7:$C$1492,0),0))</f>
        <v>47459</v>
      </c>
      <c r="H113" s="361">
        <f t="shared" ca="1" si="24"/>
        <v>0</v>
      </c>
      <c r="I113" s="361">
        <f t="shared" ca="1" si="25"/>
        <v>47459</v>
      </c>
      <c r="J113" s="361">
        <f t="shared" ca="1" si="26"/>
        <v>0</v>
      </c>
      <c r="K113" s="362">
        <f t="shared" ca="1" si="27"/>
        <v>47459</v>
      </c>
    </row>
    <row r="114" spans="2:11">
      <c r="B114" s="520">
        <v>3</v>
      </c>
      <c r="C114" s="521" t="s">
        <v>32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Mtr</v>
      </c>
      <c r="F114" s="497">
        <f>F111*1.5</f>
        <v>1.5</v>
      </c>
      <c r="G114" s="360">
        <f ca="1">IF(ISERROR(OFFSET('HARGA SATUAN'!$I$6,MATCH(RAB!C114,'HARGA SATUAN'!$C$7:$C$1492,0),0)),0,OFFSET('HARGA SATUAN'!$I$6,MATCH(RAB!C114,'HARGA SATUAN'!$C$7:$C$1492,0),0))</f>
        <v>30000</v>
      </c>
      <c r="H114" s="361">
        <f t="shared" ca="1" si="24"/>
        <v>0</v>
      </c>
      <c r="I114" s="361">
        <f t="shared" ca="1" si="25"/>
        <v>45000</v>
      </c>
      <c r="J114" s="361">
        <f t="shared" ca="1" si="26"/>
        <v>0</v>
      </c>
      <c r="K114" s="362">
        <f t="shared" ca="1" si="27"/>
        <v>45000</v>
      </c>
    </row>
    <row r="115" spans="2:11">
      <c r="B115" s="520">
        <v>4</v>
      </c>
      <c r="C115" s="521" t="s">
        <v>33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497">
        <f>F111*2</f>
        <v>2</v>
      </c>
      <c r="G115" s="360">
        <f ca="1">IF(ISERROR(OFFSET('HARGA SATUAN'!$I$6,MATCH(RAB!C115,'HARGA SATUAN'!$C$7:$C$1492,0),0)),0,OFFSET('HARGA SATUAN'!$I$6,MATCH(RAB!C115,'HARGA SATUAN'!$C$7:$C$1492,0),0))</f>
        <v>9500</v>
      </c>
      <c r="H115" s="361">
        <f t="shared" ca="1" si="24"/>
        <v>0</v>
      </c>
      <c r="I115" s="361">
        <f t="shared" ca="1" si="25"/>
        <v>19000</v>
      </c>
      <c r="J115" s="361">
        <f t="shared" ca="1" si="26"/>
        <v>0</v>
      </c>
      <c r="K115" s="362">
        <f t="shared" ca="1" si="27"/>
        <v>19000</v>
      </c>
    </row>
    <row r="116" spans="2:11">
      <c r="B116" s="520">
        <v>5</v>
      </c>
      <c r="C116" s="521" t="s">
        <v>735</v>
      </c>
      <c r="D116" s="358" t="str">
        <f ca="1">IF(ISERROR(OFFSET('HARGA SATUAN'!$D$6,MATCH(RAB!C116,'HARGA SATUAN'!$C$7:$C$1492,0),0)),"",OFFSET('HARGA SATUAN'!$D$6,MATCH(RAB!C116,'HARGA SATUAN'!$C$7:$C$1492,0),0))</f>
        <v>JASA</v>
      </c>
      <c r="E116" s="359" t="str">
        <f ca="1">IF(B116="+","Unit",IF(ISERROR(OFFSET('HARGA SATUAN'!$E$6,MATCH(RAB!C116,'HARGA SATUAN'!$C$7:$C$1492,0),0)),"",OFFSET('HARGA SATUAN'!$E$6,MATCH(RAB!C116,'HARGA SATUAN'!$C$7:$C$1492,0),0)))</f>
        <v>Unit</v>
      </c>
      <c r="F116" s="497">
        <f>F111*1</f>
        <v>1</v>
      </c>
      <c r="G116" s="360">
        <f ca="1">IF(ISERROR(OFFSET('HARGA SATUAN'!$I$6,MATCH(RAB!C116,'HARGA SATUAN'!$C$7:$C$1492,0),0)),0,OFFSET('HARGA SATUAN'!$I$6,MATCH(RAB!C116,'HARGA SATUAN'!$C$7:$C$1492,0),0))</f>
        <v>56400</v>
      </c>
      <c r="H116" s="361">
        <f t="shared" ca="1" si="24"/>
        <v>0</v>
      </c>
      <c r="I116" s="361">
        <f t="shared" ca="1" si="25"/>
        <v>0</v>
      </c>
      <c r="J116" s="361">
        <f t="shared" ca="1" si="26"/>
        <v>56400</v>
      </c>
      <c r="K116" s="362">
        <f t="shared" ca="1" si="27"/>
        <v>56400</v>
      </c>
    </row>
    <row r="117" spans="2:11">
      <c r="B117" s="492"/>
      <c r="C117" s="495"/>
      <c r="D117" s="358" t="str">
        <f ca="1">IF(ISERROR(OFFSET('HARGA SATUAN'!$D$6,MATCH(RAB!C117,'HARGA SATUAN'!$C$7:$C$1492,0),0)),"",OFFSET('HARGA SATUAN'!$D$6,MATCH(RAB!C117,'HARGA SATUAN'!$C$7:$C$1492,0),0))</f>
        <v/>
      </c>
      <c r="E117" s="359" t="str">
        <f ca="1">IF(B117="+","Unit",IF(ISERROR(OFFSET('HARGA SATUAN'!$E$6,MATCH(RAB!C117,'HARGA SATUAN'!$C$7:$C$1492,0),0)),"",OFFSET('HARGA SATUAN'!$E$6,MATCH(RAB!C117,'HARGA SATUAN'!$C$7:$C$1492,0),0)))</f>
        <v/>
      </c>
      <c r="F117" s="368"/>
      <c r="G117" s="360">
        <f ca="1">IF(ISERROR(OFFSET('HARGA SATUAN'!$I$6,MATCH(RAB!C117,'HARGA SATUAN'!$C$7:$C$1492,0),0)),0,OFFSET('HARGA SATUAN'!$I$6,MATCH(RAB!C117,'HARGA SATUAN'!$C$7:$C$1492,0),0))</f>
        <v>0</v>
      </c>
      <c r="H117" s="361">
        <f t="shared" ca="1" si="24"/>
        <v>0</v>
      </c>
      <c r="I117" s="361">
        <f t="shared" ca="1" si="25"/>
        <v>0</v>
      </c>
      <c r="J117" s="361">
        <f t="shared" ca="1" si="26"/>
        <v>0</v>
      </c>
      <c r="K117" s="362">
        <f t="shared" ca="1" si="27"/>
        <v>0</v>
      </c>
    </row>
    <row r="118" spans="2:11">
      <c r="B118" s="493" t="s">
        <v>1609</v>
      </c>
      <c r="C118" s="496" t="s">
        <v>1611</v>
      </c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IF(B118="+","Unit",IF(ISERROR(OFFSET('HARGA SATUAN'!$E$6,MATCH(RAB!C118,'HARGA SATUAN'!$C$7:$C$1492,0),0)),"",OFFSET('HARGA SATUAN'!$E$6,MATCH(RAB!C118,'HARGA SATUAN'!$C$7:$C$1492,0),0)))</f>
        <v/>
      </c>
      <c r="F118" s="368"/>
      <c r="G118" s="360">
        <f ca="1">IF(ISERROR(OFFSET('HARGA SATUAN'!$I$6,MATCH(RAB!C118,'HARGA SATUAN'!$C$7:$C$1492,0),0)),0,OFFSET('HARGA SATUAN'!$I$6,MATCH(RAB!C118,'HARGA SATUAN'!$C$7:$C$1492,0),0))</f>
        <v>0</v>
      </c>
      <c r="H118" s="361">
        <f t="shared" ca="1" si="24"/>
        <v>0</v>
      </c>
      <c r="I118" s="361">
        <f t="shared" ca="1" si="25"/>
        <v>0</v>
      </c>
      <c r="J118" s="361">
        <f t="shared" ca="1" si="26"/>
        <v>0</v>
      </c>
      <c r="K118" s="362">
        <f t="shared" ca="1" si="27"/>
        <v>0</v>
      </c>
    </row>
    <row r="119" spans="2:11">
      <c r="B119" s="493" t="s">
        <v>1035</v>
      </c>
      <c r="C119" s="494" t="s">
        <v>1642</v>
      </c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>Unit</v>
      </c>
      <c r="F119" s="528">
        <v>1</v>
      </c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ref="H119:H124" ca="1" si="28">IF(OR(D119="MDU",D119="MDU-KD"),(IF($O$3="RAB NON MDU","PLN KD",G119*F119)),0)</f>
        <v>0</v>
      </c>
      <c r="I119" s="361">
        <f t="shared" ref="I119:I124" ca="1" si="29">IF(D119="HDW",G119*F119,0)</f>
        <v>0</v>
      </c>
      <c r="J119" s="361">
        <f t="shared" ref="J119:J124" ca="1" si="30">IF(D119="JASA",G119*F119,0)</f>
        <v>0</v>
      </c>
      <c r="K119" s="362">
        <f t="shared" ref="K119:K124" ca="1" si="31">SUM(H119:J119)</f>
        <v>0</v>
      </c>
    </row>
    <row r="120" spans="2:11" ht="30">
      <c r="B120" s="520">
        <v>1</v>
      </c>
      <c r="C120" s="109" t="s">
        <v>1197</v>
      </c>
      <c r="D120" s="358" t="s">
        <v>1620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528">
        <f>F119*1</f>
        <v>1</v>
      </c>
      <c r="G120" s="360">
        <f ca="1">IF(ISERROR(OFFSET('HARGA SATUAN'!$I$6,MATCH(RAB!C120,'HARGA SATUAN'!$C$7:$C$1492,0),0)),0,OFFSET('HARGA SATUAN'!$I$6,MATCH(RAB!C120,'HARGA SATUAN'!$C$7:$C$1492,0),0))</f>
        <v>1427400</v>
      </c>
      <c r="H120" s="361">
        <f t="shared" si="28"/>
        <v>0</v>
      </c>
      <c r="I120" s="361">
        <f t="shared" si="29"/>
        <v>0</v>
      </c>
      <c r="J120" s="361">
        <f t="shared" si="30"/>
        <v>0</v>
      </c>
      <c r="K120" s="362">
        <f t="shared" si="31"/>
        <v>0</v>
      </c>
    </row>
    <row r="121" spans="2:11">
      <c r="B121" s="520">
        <v>2</v>
      </c>
      <c r="C121" s="527" t="s">
        <v>512</v>
      </c>
      <c r="D121" s="358" t="str">
        <f ca="1">IF(ISERROR(OFFSET('HARGA SATUAN'!$D$6,MATCH(RAB!C121,'HARGA SATUAN'!$C$7:$C$1492,0),0)),"",OFFSET('HARGA SATUAN'!$D$6,MATCH(RAB!C121,'HARGA SATUAN'!$C$7:$C$1492,0),0))</f>
        <v>MDU-KD</v>
      </c>
      <c r="E121" s="359" t="str">
        <f ca="1">IF(B121="+","Unit",IF(ISERROR(OFFSET('HARGA SATUAN'!$E$6,MATCH(RAB!C121,'HARGA SATUAN'!$C$7:$C$1492,0),0)),"",OFFSET('HARGA SATUAN'!$E$6,MATCH(RAB!C121,'HARGA SATUAN'!$C$7:$C$1492,0),0)))</f>
        <v>Unit</v>
      </c>
      <c r="F121" s="528">
        <f>F119*1</f>
        <v>1</v>
      </c>
      <c r="G121" s="360">
        <f ca="1">IF(ISERROR(OFFSET('HARGA SATUAN'!$I$6,MATCH(RAB!C121,'HARGA SATUAN'!$C$7:$C$1492,0),0)),0,OFFSET('HARGA SATUAN'!$I$6,MATCH(RAB!C121,'HARGA SATUAN'!$C$7:$C$1492,0),0))</f>
        <v>3564900</v>
      </c>
      <c r="H121" s="361">
        <f t="shared" ca="1" si="28"/>
        <v>3564900</v>
      </c>
      <c r="I121" s="361">
        <f t="shared" ca="1" si="29"/>
        <v>0</v>
      </c>
      <c r="J121" s="361">
        <f t="shared" ca="1" si="30"/>
        <v>0</v>
      </c>
      <c r="K121" s="362">
        <f t="shared" ca="1" si="31"/>
        <v>3564900</v>
      </c>
    </row>
    <row r="122" spans="2:11">
      <c r="B122" s="520">
        <v>3</v>
      </c>
      <c r="C122" s="527" t="s">
        <v>1142</v>
      </c>
      <c r="D122" s="358" t="s">
        <v>1620</v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528">
        <f>F119*1</f>
        <v>1</v>
      </c>
      <c r="G122" s="360">
        <f ca="1">IF(ISERROR(OFFSET('HARGA SATUAN'!$I$6,MATCH(RAB!C122,'HARGA SATUAN'!$C$7:$C$1492,0),0)),0,OFFSET('HARGA SATUAN'!$I$6,MATCH(RAB!C122,'HARGA SATUAN'!$C$7:$C$1492,0),0))</f>
        <v>1113900</v>
      </c>
      <c r="H122" s="361">
        <f t="shared" si="28"/>
        <v>0</v>
      </c>
      <c r="I122" s="361">
        <f t="shared" si="29"/>
        <v>0</v>
      </c>
      <c r="J122" s="361">
        <f t="shared" si="30"/>
        <v>0</v>
      </c>
      <c r="K122" s="362">
        <f t="shared" si="31"/>
        <v>0</v>
      </c>
    </row>
    <row r="123" spans="2:11">
      <c r="B123" s="520">
        <v>4</v>
      </c>
      <c r="C123" s="527" t="s">
        <v>77</v>
      </c>
      <c r="D123" s="358" t="str">
        <f ca="1">IF(ISERROR(OFFSET('HARGA SATUAN'!$D$6,MATCH(RAB!C123,'HARGA SATUAN'!$C$7:$C$1492,0),0)),"",OFFSET('HARGA SATUAN'!$D$6,MATCH(RAB!C123,'HARGA SATUAN'!$C$7:$C$1492,0),0))</f>
        <v>MDU-KD</v>
      </c>
      <c r="E123" s="359" t="str">
        <f ca="1">IF(B123="+","Unit",IF(ISERROR(OFFSET('HARGA SATUAN'!$E$6,MATCH(RAB!C123,'HARGA SATUAN'!$C$7:$C$1492,0),0)),"",OFFSET('HARGA SATUAN'!$E$6,MATCH(RAB!C123,'HARGA SATUAN'!$C$7:$C$1492,0),0)))</f>
        <v>Mtr</v>
      </c>
      <c r="F123" s="528">
        <f>F119*35</f>
        <v>35</v>
      </c>
      <c r="G123" s="360">
        <f ca="1">IF(ISERROR(OFFSET('HARGA SATUAN'!$I$6,MATCH(RAB!C123,'HARGA SATUAN'!$C$7:$C$1492,0),0)),0,OFFSET('HARGA SATUAN'!$I$6,MATCH(RAB!C123,'HARGA SATUAN'!$C$7:$C$1492,0),0))</f>
        <v>13500</v>
      </c>
      <c r="H123" s="361">
        <f t="shared" ca="1" si="28"/>
        <v>472500</v>
      </c>
      <c r="I123" s="361">
        <f t="shared" ca="1" si="29"/>
        <v>0</v>
      </c>
      <c r="J123" s="361">
        <f t="shared" ca="1" si="30"/>
        <v>0</v>
      </c>
      <c r="K123" s="362">
        <f t="shared" ca="1" si="31"/>
        <v>472500</v>
      </c>
    </row>
    <row r="124" spans="2:11">
      <c r="B124" s="520">
        <v>5</v>
      </c>
      <c r="C124" s="527" t="s">
        <v>799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28">
        <f>F119*1</f>
        <v>1</v>
      </c>
      <c r="G124" s="360">
        <f ca="1">IF(ISERROR(OFFSET('HARGA SATUAN'!$I$6,MATCH(RAB!C124,'HARGA SATUAN'!$C$7:$C$1492,0),0)),0,OFFSET('HARGA SATUAN'!$I$6,MATCH(RAB!C124,'HARGA SATUAN'!$C$7:$C$1492,0),0))</f>
        <v>106400</v>
      </c>
      <c r="H124" s="361">
        <f t="shared" ca="1" si="28"/>
        <v>0</v>
      </c>
      <c r="I124" s="361">
        <f t="shared" ca="1" si="29"/>
        <v>0</v>
      </c>
      <c r="J124" s="361">
        <f t="shared" ca="1" si="30"/>
        <v>106400</v>
      </c>
      <c r="K124" s="362">
        <f t="shared" ca="1" si="31"/>
        <v>106400</v>
      </c>
    </row>
    <row r="125" spans="2:11">
      <c r="B125" s="520"/>
      <c r="C125" s="527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368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ref="H125:H129" ca="1" si="32">IF(OR(D125="MDU",D125="MDU-KD"),(IF($O$3="RAB NON MDU","PLN KD",G125*F125)),0)</f>
        <v>0</v>
      </c>
      <c r="I125" s="361">
        <f t="shared" ref="I125:I129" ca="1" si="33">IF(D125="HDW",G125*F125,0)</f>
        <v>0</v>
      </c>
      <c r="J125" s="361">
        <f t="shared" ref="J125:J129" ca="1" si="34">IF(D125="JASA",G125*F125,0)</f>
        <v>0</v>
      </c>
      <c r="K125" s="362">
        <f t="shared" ref="K125:K129" ca="1" si="35">SUM(H125:J125)</f>
        <v>0</v>
      </c>
    </row>
    <row r="126" spans="2:11">
      <c r="B126" s="517" t="s">
        <v>1035</v>
      </c>
      <c r="C126" s="516" t="s">
        <v>1624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518">
        <f>F119</f>
        <v>1</v>
      </c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ca="1" si="32"/>
        <v>0</v>
      </c>
      <c r="I126" s="361">
        <f t="shared" ca="1" si="33"/>
        <v>0</v>
      </c>
      <c r="J126" s="361">
        <f t="shared" ca="1" si="34"/>
        <v>0</v>
      </c>
      <c r="K126" s="362">
        <f t="shared" ca="1" si="35"/>
        <v>0</v>
      </c>
    </row>
    <row r="127" spans="2:11">
      <c r="B127" s="517">
        <v>1</v>
      </c>
      <c r="C127" s="516" t="s">
        <v>115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Set</v>
      </c>
      <c r="F127" s="518">
        <f>F126*1</f>
        <v>1</v>
      </c>
      <c r="G127" s="360">
        <f ca="1">IF(ISERROR(OFFSET('HARGA SATUAN'!$I$6,MATCH(RAB!C127,'HARGA SATUAN'!$C$7:$C$1492,0),0)),0,OFFSET('HARGA SATUAN'!$I$6,MATCH(RAB!C127,'HARGA SATUAN'!$C$7:$C$1492,0),0))</f>
        <v>11500</v>
      </c>
      <c r="H127" s="361">
        <f t="shared" ca="1" si="32"/>
        <v>0</v>
      </c>
      <c r="I127" s="361">
        <f t="shared" ca="1" si="33"/>
        <v>11500</v>
      </c>
      <c r="J127" s="361">
        <f t="shared" ca="1" si="34"/>
        <v>0</v>
      </c>
      <c r="K127" s="362">
        <f t="shared" ca="1" si="35"/>
        <v>11500</v>
      </c>
    </row>
    <row r="128" spans="2:11">
      <c r="B128" s="517">
        <v>2</v>
      </c>
      <c r="C128" s="516" t="s">
        <v>145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Set</v>
      </c>
      <c r="F128" s="518">
        <f>F126*1</f>
        <v>1</v>
      </c>
      <c r="G128" s="360">
        <f ca="1">IF(ISERROR(OFFSET('HARGA SATUAN'!$I$6,MATCH(RAB!C128,'HARGA SATUAN'!$C$7:$C$1492,0),0)),0,OFFSET('HARGA SATUAN'!$I$6,MATCH(RAB!C128,'HARGA SATUAN'!$C$7:$C$1492,0),0))</f>
        <v>6200</v>
      </c>
      <c r="H128" s="361">
        <f t="shared" ca="1" si="32"/>
        <v>0</v>
      </c>
      <c r="I128" s="361">
        <f t="shared" ca="1" si="33"/>
        <v>6200</v>
      </c>
      <c r="J128" s="361">
        <f t="shared" ca="1" si="34"/>
        <v>0</v>
      </c>
      <c r="K128" s="362">
        <f t="shared" ca="1" si="35"/>
        <v>6200</v>
      </c>
    </row>
    <row r="129" spans="2:13">
      <c r="B129" s="517">
        <v>3</v>
      </c>
      <c r="C129" s="516" t="s">
        <v>587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Btg</v>
      </c>
      <c r="F129" s="518">
        <f>F126*1</f>
        <v>1</v>
      </c>
      <c r="G129" s="360">
        <f ca="1">IF(ISERROR(OFFSET('HARGA SATUAN'!$I$6,MATCH(RAB!C129,'HARGA SATUAN'!$C$7:$C$1492,0),0)),0,OFFSET('HARGA SATUAN'!$I$6,MATCH(RAB!C129,'HARGA SATUAN'!$C$7:$C$1492,0),0))</f>
        <v>45796</v>
      </c>
      <c r="H129" s="361">
        <f t="shared" ca="1" si="32"/>
        <v>0</v>
      </c>
      <c r="I129" s="361">
        <f t="shared" ca="1" si="33"/>
        <v>45796</v>
      </c>
      <c r="J129" s="361">
        <f t="shared" ca="1" si="34"/>
        <v>0</v>
      </c>
      <c r="K129" s="362">
        <f t="shared" ca="1" si="35"/>
        <v>45796</v>
      </c>
    </row>
    <row r="130" spans="2:13">
      <c r="B130" s="517">
        <v>4</v>
      </c>
      <c r="C130" s="516" t="s">
        <v>118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Set</v>
      </c>
      <c r="F130" s="518">
        <f>F126*1</f>
        <v>1</v>
      </c>
      <c r="G130" s="360">
        <f ca="1">IF(ISERROR(OFFSET('HARGA SATUAN'!$I$6,MATCH(RAB!C130,'HARGA SATUAN'!$C$7:$C$1492,0),0)),0,OFFSET('HARGA SATUAN'!$I$6,MATCH(RAB!C130,'HARGA SATUAN'!$C$7:$C$1492,0),0))</f>
        <v>5300</v>
      </c>
      <c r="H130" s="361">
        <f t="shared" ref="H130:H136" ca="1" si="36">IF(OR(D130="MDU",D130="MDU-KD"),(IF($O$3="RAB NON MDU","PLN KD",G130*F130)),0)</f>
        <v>0</v>
      </c>
      <c r="I130" s="361">
        <f t="shared" ref="I130:I136" ca="1" si="37">IF(D130="HDW",G130*F130,0)</f>
        <v>5300</v>
      </c>
      <c r="J130" s="361">
        <f t="shared" ref="J130:J136" ca="1" si="38">IF(D130="JASA",G130*F130,0)</f>
        <v>0</v>
      </c>
      <c r="K130" s="362">
        <f t="shared" ref="K130:K136" ca="1" si="39">SUM(H130:J130)</f>
        <v>5300</v>
      </c>
    </row>
    <row r="131" spans="2:13">
      <c r="B131" s="517">
        <v>5</v>
      </c>
      <c r="C131" s="516" t="s">
        <v>117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Bh</v>
      </c>
      <c r="F131" s="518">
        <f>F126*1</f>
        <v>1</v>
      </c>
      <c r="G131" s="360">
        <f ca="1">IF(ISERROR(OFFSET('HARGA SATUAN'!$I$6,MATCH(RAB!C131,'HARGA SATUAN'!$C$7:$C$1492,0),0)),0,OFFSET('HARGA SATUAN'!$I$6,MATCH(RAB!C131,'HARGA SATUAN'!$C$7:$C$1492,0),0))</f>
        <v>58600</v>
      </c>
      <c r="H131" s="361">
        <f t="shared" ca="1" si="36"/>
        <v>0</v>
      </c>
      <c r="I131" s="361">
        <f t="shared" ca="1" si="37"/>
        <v>58600</v>
      </c>
      <c r="J131" s="361">
        <f t="shared" ca="1" si="38"/>
        <v>0</v>
      </c>
      <c r="K131" s="362">
        <f t="shared" ca="1" si="39"/>
        <v>58600</v>
      </c>
    </row>
    <row r="132" spans="2:13">
      <c r="B132" s="517">
        <v>6</v>
      </c>
      <c r="C132" s="109" t="s">
        <v>1154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Set</v>
      </c>
      <c r="F132" s="518">
        <f>F126*1</f>
        <v>1</v>
      </c>
      <c r="G132" s="360">
        <f ca="1">IF(ISERROR(OFFSET('HARGA SATUAN'!$I$6,MATCH(RAB!C132,'HARGA SATUAN'!$C$7:$C$1492,0),0)),0,OFFSET('HARGA SATUAN'!$I$6,MATCH(RAB!C132,'HARGA SATUAN'!$C$7:$C$1492,0),0))</f>
        <v>3888</v>
      </c>
      <c r="H132" s="361">
        <f t="shared" ca="1" si="36"/>
        <v>0</v>
      </c>
      <c r="I132" s="361">
        <f t="shared" ca="1" si="37"/>
        <v>3888</v>
      </c>
      <c r="J132" s="361">
        <f t="shared" ca="1" si="38"/>
        <v>0</v>
      </c>
      <c r="K132" s="362">
        <f t="shared" ca="1" si="39"/>
        <v>3888</v>
      </c>
    </row>
    <row r="133" spans="2:13">
      <c r="B133" s="517">
        <v>7</v>
      </c>
      <c r="C133" s="516" t="s">
        <v>119</v>
      </c>
      <c r="D133" s="358" t="str">
        <f ca="1">IF(ISERROR(OFFSET('HARGA SATUAN'!$D$6,MATCH(RAB!C133,'HARGA SATUAN'!$C$7:$C$1492,0),0)),"",OFFSET('HARGA SATUAN'!$D$6,MATCH(RAB!C133,'HARGA SATUAN'!$C$7:$C$1492,0),0))</f>
        <v>HDW</v>
      </c>
      <c r="E133" s="359" t="str">
        <f ca="1">IF(B133="+","Unit",IF(ISERROR(OFFSET('HARGA SATUAN'!$E$6,MATCH(RAB!C133,'HARGA SATUAN'!$C$7:$C$1492,0),0)),"",OFFSET('HARGA SATUAN'!$E$6,MATCH(RAB!C133,'HARGA SATUAN'!$C$7:$C$1492,0),0)))</f>
        <v>Set</v>
      </c>
      <c r="F133" s="518">
        <f>F126*2</f>
        <v>2</v>
      </c>
      <c r="G133" s="360">
        <f ca="1">IF(ISERROR(OFFSET('HARGA SATUAN'!$I$6,MATCH(RAB!C133,'HARGA SATUAN'!$C$7:$C$1492,0),0)),0,OFFSET('HARGA SATUAN'!$I$6,MATCH(RAB!C133,'HARGA SATUAN'!$C$7:$C$1492,0),0))</f>
        <v>8900</v>
      </c>
      <c r="H133" s="361">
        <f t="shared" ca="1" si="36"/>
        <v>0</v>
      </c>
      <c r="I133" s="361">
        <f t="shared" ca="1" si="37"/>
        <v>17800</v>
      </c>
      <c r="J133" s="361">
        <f t="shared" ca="1" si="38"/>
        <v>0</v>
      </c>
      <c r="K133" s="362">
        <f t="shared" ca="1" si="39"/>
        <v>17800</v>
      </c>
    </row>
    <row r="134" spans="2:13">
      <c r="B134" s="509"/>
      <c r="C134" s="510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/>
      </c>
      <c r="F134" s="368"/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ca="1" si="36"/>
        <v>0</v>
      </c>
      <c r="I134" s="361">
        <f t="shared" ca="1" si="37"/>
        <v>0</v>
      </c>
      <c r="J134" s="361">
        <f t="shared" ca="1" si="38"/>
        <v>0</v>
      </c>
      <c r="K134" s="362">
        <f t="shared" ca="1" si="39"/>
        <v>0</v>
      </c>
    </row>
    <row r="135" spans="2:13">
      <c r="B135" s="366" t="s">
        <v>22</v>
      </c>
      <c r="C135" s="367" t="s">
        <v>1610</v>
      </c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/>
      </c>
      <c r="F135" s="368"/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36"/>
        <v>0</v>
      </c>
      <c r="I135" s="361">
        <f t="shared" ca="1" si="37"/>
        <v>0</v>
      </c>
      <c r="J135" s="361">
        <f t="shared" ca="1" si="38"/>
        <v>0</v>
      </c>
      <c r="K135" s="362">
        <f t="shared" ca="1" si="39"/>
        <v>0</v>
      </c>
    </row>
    <row r="136" spans="2:13">
      <c r="B136" s="373"/>
      <c r="C136" s="372"/>
      <c r="D136" s="358" t="str">
        <f ca="1">IF(ISERROR(OFFSET('HARGA SATUAN'!$D$6,MATCH(RAB!C136,'HARGA SATUAN'!$C$7:$C$1492,0),0)),"",OFFSET('HARGA SATUAN'!$D$6,MATCH(RAB!C136,'HARGA SATUAN'!$C$7:$C$1492,0),0))</f>
        <v/>
      </c>
      <c r="E136" s="359" t="str">
        <f ca="1">IF(B136="+","Unit",IF(ISERROR(OFFSET('HARGA SATUAN'!$E$6,MATCH(RAB!C136,'HARGA SATUAN'!$C$7:$C$1492,0),0)),"",OFFSET('HARGA SATUAN'!$E$6,MATCH(RAB!C136,'HARGA SATUAN'!$C$7:$C$1492,0),0)))</f>
        <v/>
      </c>
      <c r="F136" s="368"/>
      <c r="G136" s="360">
        <f ca="1">IF(ISERROR(OFFSET('HARGA SATUAN'!$I$6,MATCH(RAB!C136,'HARGA SATUAN'!$C$7:$C$1492,0),0)),0,OFFSET('HARGA SATUAN'!$I$6,MATCH(RAB!C136,'HARGA SATUAN'!$C$7:$C$1492,0),0))</f>
        <v>0</v>
      </c>
      <c r="H136" s="361">
        <f t="shared" ca="1" si="36"/>
        <v>0</v>
      </c>
      <c r="I136" s="361">
        <f t="shared" ca="1" si="37"/>
        <v>0</v>
      </c>
      <c r="J136" s="361">
        <f t="shared" ca="1" si="38"/>
        <v>0</v>
      </c>
      <c r="K136" s="362">
        <f t="shared" ca="1" si="39"/>
        <v>0</v>
      </c>
    </row>
    <row r="137" spans="2:13">
      <c r="B137" s="374"/>
      <c r="C137" s="375" t="s">
        <v>475</v>
      </c>
      <c r="D137" s="358" t="str">
        <f ca="1">IF(ISERROR(OFFSET('HARGA SATUAN'!$D$6,MATCH(RAB!C137,'HARGA SATUAN'!$C$7:$C$1492,0),0)),"",OFFSET('HARGA SATUAN'!$D$6,MATCH(RAB!C137,'HARGA SATUAN'!$C$7:$C$1492,0),0))</f>
        <v/>
      </c>
      <c r="E137" s="359" t="str">
        <f ca="1">IF(B137="+","Unit",IF(ISERROR(OFFSET('HARGA SATUAN'!$E$6,MATCH(RAB!C137,'HARGA SATUAN'!$C$7:$C$1492,0),0)),"",OFFSET('HARGA SATUAN'!$E$6,MATCH(RAB!C137,'HARGA SATUAN'!$C$7:$C$1492,0),0)))</f>
        <v/>
      </c>
      <c r="F137" s="368"/>
      <c r="G137" s="360">
        <f ca="1">IF(ISERROR(OFFSET('HARGA SATUAN'!$I$6,MATCH(RAB!C137,'HARGA SATUAN'!$C$7:$C$1492,0),0)),0,OFFSET('HARGA SATUAN'!$I$6,MATCH(RAB!C137,'HARGA SATUAN'!$C$7:$C$1492,0),0))</f>
        <v>0</v>
      </c>
      <c r="H137" s="361">
        <f t="shared" ref="H137" ca="1" si="40">IF(OR(D137="MDU",D137="MDU-KD"),(IF($O$3="RAB NON MDU","PLN KD",G137*F137)),0)</f>
        <v>0</v>
      </c>
      <c r="I137" s="361">
        <f t="shared" ref="I137" ca="1" si="41">IF(D137="HDW",G137*F137,0)</f>
        <v>0</v>
      </c>
      <c r="J137" s="361">
        <f t="shared" ref="J137" ca="1" si="42">IF(D137="JASA",G137*F137,0)</f>
        <v>0</v>
      </c>
      <c r="K137" s="362">
        <f t="shared" ref="K137" ca="1" si="43">SUM(H137:J137)</f>
        <v>0</v>
      </c>
    </row>
    <row r="138" spans="2:13">
      <c r="B138" s="377">
        <v>1</v>
      </c>
      <c r="C138" s="378" t="s">
        <v>1091</v>
      </c>
      <c r="D138" s="379" t="str">
        <f ca="1">IF(ISERROR(OFFSET('HARGA SATUAN'!$D$6,MATCH(RAB!C138,'HARGA SATUAN'!$C$7:$C$1492,0),0)),"",OFFSET('HARGA SATUAN'!$D$6,MATCH(RAB!C138,'HARGA SATUAN'!$C$7:$C$1492,0),0))</f>
        <v>JASA</v>
      </c>
      <c r="E138" s="380" t="str">
        <f ca="1">IF(ISERROR(OFFSET('HARGA SATUAN'!$E$6,MATCH(RAB!C138,'HARGA SATUAN'!$C$7:$C$1492,0),0)),"",OFFSET('HARGA SATUAN'!$E$6,MATCH(RAB!C138,'HARGA SATUAN'!$C$7:$C$1492,0),0))</f>
        <v>Lot</v>
      </c>
      <c r="F138" s="381">
        <v>1</v>
      </c>
      <c r="G138" s="382">
        <f ca="1">IF(ISERROR(OFFSET('HARGA SATUAN'!$I$6,MATCH(RAB!C138,'HARGA SATUAN'!$C$7:$C$1492,0),0)),0,OFFSET('HARGA SATUAN'!$I$6,MATCH(RAB!C138,'HARGA SATUAN'!$C$7:$C$1492,0),0))</f>
        <v>2.5000000000000001E-2</v>
      </c>
      <c r="H138" s="383"/>
      <c r="I138" s="383"/>
      <c r="J138" s="383">
        <f ca="1">SUM(K15:K19)*G138</f>
        <v>290503.33333333337</v>
      </c>
      <c r="K138" s="384">
        <f ca="1">SUM(H138:J138)</f>
        <v>290503.33333333337</v>
      </c>
    </row>
    <row r="139" spans="2:13">
      <c r="B139" s="385"/>
      <c r="C139" s="386"/>
      <c r="D139" s="358" t="str">
        <f ca="1">IF(ISERROR(OFFSET('HARGA SATUAN'!$D$6,MATCH(RAB!C139,'HARGA SATUAN'!$C$7:$C$1492,0),0)),"",OFFSET('HARGA SATUAN'!$D$6,MATCH(RAB!C139,'HARGA SATUAN'!$C$7:$C$1492,0),0))</f>
        <v/>
      </c>
      <c r="E139" s="359" t="str">
        <f ca="1">IF(ISERROR(OFFSET('HARGA SATUAN'!$E$6,MATCH(RAB!C139,'HARGA SATUAN'!$C$7:$C$1492,0),0)),"",OFFSET('HARGA SATUAN'!$E$6,MATCH(RAB!C139,'HARGA SATUAN'!$C$7:$C$1492,0),0))</f>
        <v/>
      </c>
      <c r="F139" s="376"/>
      <c r="G139" s="360" t="str">
        <f ca="1">IF(ISERROR(OFFSET('HARGA SATUAN'!$I$6,MATCH(RAB!C139,'HARGA SATUAN'!$C$7:$C$1492,0),0)),"",OFFSET('HARGA SATUAN'!$I$6,MATCH(RAB!C139,'HARGA SATUAN'!$C$7:$C$1492,0),0))</f>
        <v/>
      </c>
      <c r="H139" s="361">
        <f ca="1">IF(OR(D139="MDU",D139="MDU-KD"),IF(G139="PLN",0,G139*F139),0)</f>
        <v>0</v>
      </c>
      <c r="I139" s="361">
        <f ca="1">IF(D139="HDW",IF(G139="PLN",0,G139*F139),0)</f>
        <v>0</v>
      </c>
      <c r="J139" s="361">
        <f ca="1">IF(D139="JASA",IF(G139="PLN",0,G139*F139),0)</f>
        <v>0</v>
      </c>
      <c r="K139" s="362">
        <f ca="1">SUM(H139:J139)</f>
        <v>0</v>
      </c>
    </row>
    <row r="140" spans="2:13" ht="15.75" thickBot="1">
      <c r="B140" s="387"/>
      <c r="C140" s="388"/>
      <c r="D140" s="389"/>
      <c r="E140" s="390"/>
      <c r="F140" s="390"/>
      <c r="G140" s="390"/>
      <c r="H140" s="391"/>
      <c r="I140" s="391"/>
      <c r="J140" s="391"/>
      <c r="K140" s="392"/>
    </row>
    <row r="141" spans="2:13">
      <c r="B141" s="393"/>
      <c r="C141" s="629" t="s">
        <v>1008</v>
      </c>
      <c r="D141" s="629"/>
      <c r="E141" s="629"/>
      <c r="F141" s="629"/>
      <c r="G141" s="394" t="s">
        <v>9</v>
      </c>
      <c r="H141" s="395">
        <f ca="1">SUM(H14:H139)</f>
        <v>84119800</v>
      </c>
      <c r="I141" s="395">
        <f ca="1">SUM(I14:I139)</f>
        <v>17469802.240000002</v>
      </c>
      <c r="J141" s="395">
        <f ca="1">SUM(J14:J139)</f>
        <v>2474236.666666667</v>
      </c>
      <c r="K141" s="395">
        <f ca="1">SUM(K14:K139)</f>
        <v>104063838.90666667</v>
      </c>
    </row>
    <row r="142" spans="2:13">
      <c r="B142" s="396"/>
      <c r="C142" s="645" t="s">
        <v>1457</v>
      </c>
      <c r="D142" s="645"/>
      <c r="E142" s="645"/>
      <c r="F142" s="645"/>
      <c r="G142" s="397" t="s">
        <v>9</v>
      </c>
      <c r="H142" s="398">
        <f ca="1">H141*0.11</f>
        <v>9253178</v>
      </c>
      <c r="I142" s="398">
        <f ca="1">I141*0.11</f>
        <v>1921678.2464000003</v>
      </c>
      <c r="J142" s="398">
        <f ca="1">J141*0.11</f>
        <v>272166.03333333338</v>
      </c>
      <c r="K142" s="398">
        <f ca="1">K141*0.11</f>
        <v>11447022.279733334</v>
      </c>
    </row>
    <row r="143" spans="2:13" ht="15.75" thickBot="1">
      <c r="B143" s="396"/>
      <c r="C143" s="643" t="s">
        <v>463</v>
      </c>
      <c r="D143" s="643"/>
      <c r="E143" s="643"/>
      <c r="F143" s="643"/>
      <c r="G143" s="399" t="s">
        <v>9</v>
      </c>
      <c r="H143" s="400">
        <f ca="1">SUM(H141:H142)</f>
        <v>93372978</v>
      </c>
      <c r="I143" s="400">
        <f ca="1">SUM(I141:I142)</f>
        <v>19391480.486400001</v>
      </c>
      <c r="J143" s="399">
        <f ca="1">SUM(J141:J142)</f>
        <v>2746402.7</v>
      </c>
      <c r="K143" s="399">
        <f ca="1">SUM(K141:K142)</f>
        <v>115510861.1864</v>
      </c>
      <c r="M143" s="482"/>
    </row>
    <row r="144" spans="2:13">
      <c r="B144" s="646" t="str">
        <f ca="1">"Terbilang : "&amp;PROPER(IF(K143=0,"nol",IF(K143&lt;0,"minus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IF(--MID(TEXT(ABS(K143),"000000000000000"),1,3)=0,"",MID(TEXT(ABS(K143),"000000000000000"),1,1)&amp;" ratus "&amp;MID(TEXT(ABS(K143),"000000000000000"),2,1)&amp;" puluh "&amp;MID(TEXT(ABS(K143),"000000000000000"),3,1)&amp;" trilyun ")&amp; IF(--MID(TEXT(ABS(K143),"000000000000000"),4,3)=0,"",MID(TEXT(ABS(K143),"000000000000000"),4,1)&amp;" ratus "&amp;MID(TEXT(ABS(K143),"000000000000000"),5,1)&amp;" puluh "&amp;MID(TEXT(ABS(K143),"000000000000000"),6,1)&amp;" milyar ")&amp; IF(--MID(TEXT(ABS(K143),"000000000000000"),7,3)=0,"",MID(TEXT(ABS(K143),"000000000000000"),7,1)&amp;" ratus "&amp;MID(TEXT(ABS(K143),"000000000000000"),8,1)&amp;" puluh "&amp;MID(TEXT(ABS(K143),"000000000000000"),9,1)&amp;" juta ")&amp; IF(--MID(TEXT(ABS(K143),"000000000000000"),10,3)=0,"",IF(--MID(TEXT(ABS(K143),"000000000000000"),10,3)=1,"*",MID(TEXT(ABS(K143),"000000000000000"),10,1)&amp;" ratus "&amp;MID(TEXT(ABS(K143),"000000000000000"),11,1)&amp;" puluh ")&amp;MID(TEXT(ABS(K143),"000000000000000"),12,1)&amp;" ribu ")&amp; IF(--MID(TEXT(ABS(K143),"000000000000000"),13,3)=0,"",MID(TEXT(ABS(K143),"000000000000000"),13,1)&amp;" ratus "&amp;MID(TEXT(ABS(K143),"000000000000000"),14,1)&amp;" puluh "&amp;MID(TEXT(ABS(K143),"000000000000000"),15,1)),1,"satu"),2,"dua"),3,"tiga"),4,"empat"),5,"lima"),6,"enam"),7,"tujuh"),8,"delapan"),9,"sembilan"),"0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Belas Juta Lima Ratus Sepuluh Ribu Delapan Ratus Enam Puluh Satu Rupiah</v>
      </c>
      <c r="C144" s="647"/>
      <c r="D144" s="647"/>
      <c r="E144" s="647"/>
      <c r="F144" s="647"/>
      <c r="G144" s="647"/>
      <c r="H144" s="647"/>
      <c r="I144" s="647"/>
      <c r="J144" s="647"/>
      <c r="K144" s="648"/>
    </row>
    <row r="145" spans="2:11">
      <c r="B145" s="649"/>
      <c r="C145" s="650"/>
      <c r="D145" s="650"/>
      <c r="E145" s="650"/>
      <c r="F145" s="650"/>
      <c r="G145" s="650"/>
      <c r="H145" s="650"/>
      <c r="I145" s="650"/>
      <c r="J145" s="650"/>
      <c r="K145" s="651"/>
    </row>
    <row r="146" spans="2:11" ht="15.75" thickBot="1">
      <c r="B146" s="401" t="str">
        <f>"Harga yang dipakai adalah "&amp;'HARGA SATUAN'!I5&amp;""</f>
        <v>Harga yang dipakai adalah RAB HSS 2023</v>
      </c>
      <c r="C146" s="402"/>
      <c r="D146" s="403"/>
      <c r="E146" s="403"/>
      <c r="F146" s="403"/>
      <c r="G146" s="404"/>
      <c r="H146" s="404"/>
      <c r="I146" s="404"/>
      <c r="J146" s="404"/>
      <c r="K146" s="405"/>
    </row>
    <row r="147" spans="2:11">
      <c r="C147" s="406"/>
      <c r="E147" s="408"/>
      <c r="F147" s="408"/>
      <c r="G147" s="408"/>
    </row>
    <row r="148" spans="2:11">
      <c r="C148" s="337"/>
      <c r="E148" s="408"/>
      <c r="F148" s="408"/>
      <c r="G148" s="408"/>
      <c r="H148" s="652"/>
      <c r="I148" s="652"/>
      <c r="J148" s="653"/>
      <c r="K148" s="653"/>
    </row>
    <row r="149" spans="2:11">
      <c r="C149" s="337"/>
      <c r="E149" s="408"/>
      <c r="F149" s="408"/>
      <c r="G149" s="408"/>
      <c r="H149" s="409"/>
      <c r="I149" s="642" t="s">
        <v>1644</v>
      </c>
      <c r="J149" s="642"/>
      <c r="K149" s="642"/>
    </row>
    <row r="150" spans="2:11">
      <c r="C150" s="337"/>
      <c r="E150" s="408"/>
      <c r="F150" s="408"/>
      <c r="G150" s="408"/>
      <c r="H150" s="409"/>
      <c r="I150" s="642" t="s">
        <v>1645</v>
      </c>
      <c r="J150" s="642"/>
      <c r="K150" s="642"/>
    </row>
    <row r="151" spans="2:11">
      <c r="C151" s="337"/>
      <c r="E151" s="408"/>
      <c r="F151" s="408"/>
      <c r="G151" s="408"/>
      <c r="H151" s="410"/>
      <c r="I151" s="411"/>
      <c r="J151" s="411"/>
      <c r="K151" s="411"/>
    </row>
    <row r="152" spans="2:11">
      <c r="C152" s="337"/>
      <c r="E152" s="408"/>
      <c r="F152" s="408"/>
      <c r="G152" s="408"/>
      <c r="H152" s="410"/>
      <c r="I152" s="410"/>
      <c r="J152" s="410"/>
      <c r="K152" s="410"/>
    </row>
    <row r="153" spans="2:11">
      <c r="C153" s="337"/>
      <c r="E153" s="408"/>
      <c r="F153" s="408"/>
      <c r="G153" s="408"/>
      <c r="H153" s="410"/>
      <c r="I153" s="410"/>
      <c r="J153" s="410"/>
      <c r="K153" s="410"/>
    </row>
    <row r="154" spans="2:11">
      <c r="C154" s="337"/>
      <c r="E154" s="408"/>
      <c r="F154" s="408"/>
      <c r="G154" s="408"/>
      <c r="H154" s="410"/>
      <c r="I154" s="410"/>
      <c r="J154" s="410"/>
      <c r="K154" s="410"/>
    </row>
    <row r="155" spans="2:11">
      <c r="C155" s="337"/>
      <c r="E155" s="408"/>
      <c r="F155" s="408"/>
      <c r="G155" s="408"/>
      <c r="H155" s="412"/>
      <c r="I155" s="642" t="s">
        <v>1646</v>
      </c>
      <c r="J155" s="642"/>
      <c r="K155" s="642"/>
    </row>
    <row r="156" spans="2:11">
      <c r="C156" s="406"/>
      <c r="E156" s="408"/>
      <c r="F156" s="408"/>
      <c r="G156" s="408"/>
      <c r="H156" s="410"/>
      <c r="I156" s="410"/>
      <c r="J156" s="410"/>
      <c r="K156" s="410"/>
    </row>
    <row r="157" spans="2:11">
      <c r="C157" s="406"/>
      <c r="E157" s="408"/>
      <c r="F157" s="408"/>
      <c r="G157" s="408"/>
      <c r="H157" s="410"/>
      <c r="I157" s="410"/>
      <c r="J157" s="410"/>
      <c r="K157" s="410"/>
    </row>
    <row r="158" spans="2:11">
      <c r="C158" s="406"/>
      <c r="E158" s="408"/>
      <c r="F158" s="408"/>
      <c r="G158" s="408"/>
      <c r="H158" s="410"/>
      <c r="I158" s="410"/>
      <c r="J158" s="410"/>
      <c r="K158" s="410"/>
    </row>
  </sheetData>
  <sheetProtection sort="0" autoFilter="0"/>
  <protectedRanges>
    <protectedRange sqref="B136 B119:B134" name="Range1_1"/>
    <protectedRange sqref="F45:F60 F14:F43 F66:F86 F89:F110 F117:F137" name="Range1_1_2_2"/>
    <protectedRange sqref="C136 C119:C122" name="Range1_1_1"/>
    <protectedRange sqref="C123:C134" name="Range1_1_3_2"/>
    <protectedRange sqref="C16" name="Range1_1_3_5"/>
    <protectedRange sqref="C17" name="Range1_1_3_6"/>
    <protectedRange sqref="C18" name="Range1_1_3"/>
    <protectedRange sqref="G44" name="Range1_3_7"/>
    <protectedRange sqref="C70" name="Range1_1_3_1"/>
    <protectedRange sqref="G87" name="Range1_3_7_1"/>
    <protectedRange sqref="G88" name="Range1_3_7_2"/>
    <protectedRange sqref="C107" name="Range1_1_3_3"/>
    <protectedRange sqref="C43" name="Range1_1_3_8"/>
    <protectedRange sqref="C93" name="Range1_1_3_9"/>
    <protectedRange sqref="C44" name="Range1_1_3_10"/>
  </protectedRanges>
  <mergeCells count="22">
    <mergeCell ref="I150:K150"/>
    <mergeCell ref="I155:K155"/>
    <mergeCell ref="C143:F143"/>
    <mergeCell ref="G6:K6"/>
    <mergeCell ref="I149:K149"/>
    <mergeCell ref="C142:F142"/>
    <mergeCell ref="B144:K145"/>
    <mergeCell ref="H148:K148"/>
    <mergeCell ref="H11:K11"/>
    <mergeCell ref="H12:H13"/>
    <mergeCell ref="J12:J13"/>
    <mergeCell ref="K12:K13"/>
    <mergeCell ref="O3:P4"/>
    <mergeCell ref="B4:K4"/>
    <mergeCell ref="C141:F141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:C19">
    <cfRule type="cellIs" dxfId="25" priority="37" operator="equal">
      <formula>0</formula>
    </cfRule>
  </conditionalFormatting>
  <conditionalFormatting sqref="C67:C68 C89:C90">
    <cfRule type="cellIs" dxfId="24" priority="125" operator="equal">
      <formula>0</formula>
    </cfRule>
  </conditionalFormatting>
  <conditionalFormatting sqref="C132">
    <cfRule type="cellIs" dxfId="23" priority="20" operator="equal">
      <formula>0</formula>
    </cfRule>
  </conditionalFormatting>
  <conditionalFormatting sqref="C135">
    <cfRule type="cellIs" dxfId="22" priority="31" operator="equal">
      <formula>0</formula>
    </cfRule>
  </conditionalFormatting>
  <conditionalFormatting sqref="D44:G44">
    <cfRule type="cellIs" dxfId="21" priority="24" operator="equal">
      <formula>0</formula>
    </cfRule>
  </conditionalFormatting>
  <conditionalFormatting sqref="E1:E3 G1:G13 E5:E13 H12:I12 O13 S14:V19 H44:K44 E138:G138 H138:K140 E139:H139 E140:F140 E117:K118 E125:K137 E119:E124 G119:K124">
    <cfRule type="cellIs" dxfId="20" priority="1080" stopIfTrue="1" operator="equal">
      <formula>0</formula>
    </cfRule>
  </conditionalFormatting>
  <conditionalFormatting sqref="E14:K43">
    <cfRule type="cellIs" dxfId="19" priority="21" stopIfTrue="1" operator="equal">
      <formula>0</formula>
    </cfRule>
  </conditionalFormatting>
  <conditionalFormatting sqref="E45:K68 E69:E86 G69:K86 H87:K88 E89:K90 E110:K110 E91:E109 G91:K109 E111:E116 G111:K116">
    <cfRule type="cellIs" dxfId="18" priority="19" stopIfTrue="1" operator="equal">
      <formula>0</formula>
    </cfRule>
  </conditionalFormatting>
  <conditionalFormatting sqref="G139:G65605 E144:E65605">
    <cfRule type="cellIs" dxfId="17" priority="214" stopIfTrue="1" operator="equal">
      <formula>0</formula>
    </cfRule>
  </conditionalFormatting>
  <conditionalFormatting sqref="C74">
    <cfRule type="cellIs" dxfId="16" priority="17" operator="equal">
      <formula>0</formula>
    </cfRule>
  </conditionalFormatting>
  <conditionalFormatting sqref="F69:F86">
    <cfRule type="cellIs" dxfId="15" priority="16" stopIfTrue="1" operator="equal">
      <formula>0</formula>
    </cfRule>
  </conditionalFormatting>
  <conditionalFormatting sqref="C70">
    <cfRule type="cellIs" dxfId="14" priority="15" operator="equal">
      <formula>0</formula>
    </cfRule>
  </conditionalFormatting>
  <conditionalFormatting sqref="G87">
    <cfRule type="cellIs" dxfId="13" priority="13" operator="equal">
      <formula>0</formula>
    </cfRule>
  </conditionalFormatting>
  <conditionalFormatting sqref="C87:F87">
    <cfRule type="cellIs" dxfId="12" priority="14" operator="equal">
      <formula>0</formula>
    </cfRule>
  </conditionalFormatting>
  <conditionalFormatting sqref="G88">
    <cfRule type="cellIs" dxfId="11" priority="11" operator="equal">
      <formula>0</formula>
    </cfRule>
  </conditionalFormatting>
  <conditionalFormatting sqref="C88:F88">
    <cfRule type="cellIs" dxfId="10" priority="12" operator="equal">
      <formula>0</formula>
    </cfRule>
  </conditionalFormatting>
  <conditionalFormatting sqref="C109">
    <cfRule type="cellIs" dxfId="9" priority="9" operator="equal">
      <formula>0</formula>
    </cfRule>
  </conditionalFormatting>
  <conditionalFormatting sqref="C92 C96:C106 C108 C94">
    <cfRule type="cellIs" dxfId="8" priority="10" stopIfTrue="1" operator="equal">
      <formula>0</formula>
    </cfRule>
  </conditionalFormatting>
  <conditionalFormatting sqref="F91:F109">
    <cfRule type="cellIs" dxfId="7" priority="8" stopIfTrue="1" operator="equal">
      <formula>0</formula>
    </cfRule>
  </conditionalFormatting>
  <conditionalFormatting sqref="F111:F116">
    <cfRule type="cellIs" dxfId="6" priority="7" stopIfTrue="1" operator="equal">
      <formula>0</formula>
    </cfRule>
  </conditionalFormatting>
  <conditionalFormatting sqref="C107">
    <cfRule type="cellIs" dxfId="5" priority="6" operator="equal">
      <formula>0</formula>
    </cfRule>
  </conditionalFormatting>
  <conditionalFormatting sqref="C120">
    <cfRule type="cellIs" dxfId="4" priority="5" operator="equal">
      <formula>0</formula>
    </cfRule>
  </conditionalFormatting>
  <conditionalFormatting sqref="F119:F124">
    <cfRule type="cellIs" dxfId="3" priority="4" stopIfTrue="1" operator="equal">
      <formula>0</formula>
    </cfRule>
  </conditionalFormatting>
  <conditionalFormatting sqref="C43">
    <cfRule type="cellIs" dxfId="2" priority="3" operator="equal">
      <formula>0</formula>
    </cfRule>
  </conditionalFormatting>
  <conditionalFormatting sqref="C93">
    <cfRule type="cellIs" dxfId="1" priority="2" operator="equal">
      <formula>0</formula>
    </cfRule>
  </conditionalFormatting>
  <conditionalFormatting sqref="C44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21:F33 F47:F53 F55:F57 F59 F61:F65 F35:F40 F69:F86 C71:C73 F91:F109 F111:F116 H14:K14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4 D87:D88" xr:uid="{A7415706-BB3C-442B-8D39-2A2127D35574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F1" zoomScale="145" zoomScaleNormal="115" zoomScaleSheetLayoutView="145" workbookViewId="0">
      <selection activeCell="W48" sqref="W48:AD51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6" t="s">
        <v>1439</v>
      </c>
      <c r="X2" s="657"/>
      <c r="Y2" s="657"/>
      <c r="Z2" s="657"/>
      <c r="AA2" s="657"/>
      <c r="AB2" s="657"/>
      <c r="AC2" s="657"/>
      <c r="AD2" s="658"/>
    </row>
    <row r="3" spans="3:30">
      <c r="C3" s="238"/>
      <c r="W3" s="659"/>
      <c r="X3" s="660"/>
      <c r="Y3" s="660"/>
      <c r="Z3" s="660"/>
      <c r="AA3" s="660"/>
      <c r="AB3" s="660"/>
      <c r="AC3" s="660"/>
      <c r="AD3" s="66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2" t="s">
        <v>990</v>
      </c>
      <c r="Y5" s="662"/>
      <c r="Z5" s="662"/>
      <c r="AA5" s="662" t="s">
        <v>988</v>
      </c>
      <c r="AB5" s="662"/>
      <c r="AC5" s="662" t="s">
        <v>989</v>
      </c>
      <c r="AD5" s="663"/>
    </row>
    <row r="6" spans="3:30">
      <c r="C6" s="238"/>
      <c r="W6" s="241">
        <v>1</v>
      </c>
      <c r="X6" s="662" t="s">
        <v>993</v>
      </c>
      <c r="Y6" s="662"/>
      <c r="Z6" s="662"/>
      <c r="AA6" s="662"/>
      <c r="AB6" s="662"/>
      <c r="AC6" s="662"/>
      <c r="AD6" s="663"/>
    </row>
    <row r="7" spans="3:30">
      <c r="C7" s="238"/>
      <c r="E7" s="488" t="s">
        <v>1625</v>
      </c>
      <c r="W7" s="241">
        <v>2</v>
      </c>
      <c r="X7" s="662" t="s">
        <v>994</v>
      </c>
      <c r="Y7" s="662"/>
      <c r="Z7" s="662"/>
      <c r="AA7" s="662"/>
      <c r="AB7" s="662"/>
      <c r="AC7" s="662"/>
      <c r="AD7" s="663"/>
    </row>
    <row r="8" spans="3:30">
      <c r="C8" s="238"/>
      <c r="W8" s="241">
        <v>3</v>
      </c>
      <c r="X8" s="662" t="s">
        <v>995</v>
      </c>
      <c r="Y8" s="662"/>
      <c r="Z8" s="662"/>
      <c r="AA8" s="662"/>
      <c r="AB8" s="662"/>
      <c r="AC8" s="662"/>
      <c r="AD8" s="663"/>
    </row>
    <row r="9" spans="3:30">
      <c r="C9" s="238"/>
      <c r="W9" s="241">
        <v>4</v>
      </c>
      <c r="X9" s="662" t="s">
        <v>996</v>
      </c>
      <c r="Y9" s="662"/>
      <c r="Z9" s="662"/>
      <c r="AA9" s="662"/>
      <c r="AB9" s="662"/>
      <c r="AC9" s="662"/>
      <c r="AD9" s="663"/>
    </row>
    <row r="10" spans="3:30">
      <c r="C10" s="238"/>
      <c r="W10" s="241">
        <v>5</v>
      </c>
      <c r="X10" s="662" t="s">
        <v>997</v>
      </c>
      <c r="Y10" s="662"/>
      <c r="Z10" s="662"/>
      <c r="AA10" s="662"/>
      <c r="AB10" s="662"/>
      <c r="AC10" s="662"/>
      <c r="AD10" s="663"/>
    </row>
    <row r="11" spans="3:30">
      <c r="C11" s="238"/>
      <c r="W11" s="241">
        <v>6</v>
      </c>
      <c r="X11" s="662" t="s">
        <v>998</v>
      </c>
      <c r="Y11" s="662"/>
      <c r="Z11" s="662"/>
      <c r="AA11" s="662"/>
      <c r="AB11" s="662"/>
      <c r="AC11" s="662"/>
      <c r="AD11" s="663"/>
    </row>
    <row r="12" spans="3:30">
      <c r="C12" s="238"/>
      <c r="W12" s="241">
        <v>7</v>
      </c>
      <c r="X12" s="662" t="s">
        <v>999</v>
      </c>
      <c r="Y12" s="662"/>
      <c r="Z12" s="662"/>
      <c r="AA12" s="662"/>
      <c r="AB12" s="662"/>
      <c r="AC12" s="662"/>
      <c r="AD12" s="663"/>
    </row>
    <row r="13" spans="3:30" ht="12.75" customHeight="1">
      <c r="C13" s="238"/>
      <c r="W13" s="241">
        <v>8</v>
      </c>
      <c r="X13" s="662" t="s">
        <v>1000</v>
      </c>
      <c r="Y13" s="662"/>
      <c r="Z13" s="662"/>
      <c r="AA13" s="662"/>
      <c r="AB13" s="662"/>
      <c r="AC13" s="662"/>
      <c r="AD13" s="663"/>
    </row>
    <row r="14" spans="3:30">
      <c r="C14" s="238"/>
      <c r="W14" s="241">
        <v>9</v>
      </c>
      <c r="X14" s="662" t="s">
        <v>1001</v>
      </c>
      <c r="Y14" s="662"/>
      <c r="Z14" s="662"/>
      <c r="AA14" s="662"/>
      <c r="AB14" s="662"/>
      <c r="AC14" s="662"/>
      <c r="AD14" s="663"/>
    </row>
    <row r="15" spans="3:30">
      <c r="C15" s="238"/>
      <c r="W15" s="241">
        <v>10</v>
      </c>
      <c r="X15" s="662" t="s">
        <v>1010</v>
      </c>
      <c r="Y15" s="662"/>
      <c r="Z15" s="662"/>
      <c r="AA15" s="662"/>
      <c r="AB15" s="662"/>
      <c r="AC15" s="662"/>
      <c r="AD15" s="663"/>
    </row>
    <row r="16" spans="3:30">
      <c r="C16" s="238"/>
      <c r="W16" s="241">
        <v>11</v>
      </c>
      <c r="X16" s="662" t="s">
        <v>1455</v>
      </c>
      <c r="Y16" s="662"/>
      <c r="Z16" s="662"/>
      <c r="AA16" s="662"/>
      <c r="AB16" s="662"/>
      <c r="AC16" s="662"/>
      <c r="AD16" s="663"/>
    </row>
    <row r="17" spans="3:30">
      <c r="C17" s="238"/>
      <c r="S17" s="242"/>
      <c r="W17" s="241">
        <v>12</v>
      </c>
      <c r="X17" s="662" t="s">
        <v>1011</v>
      </c>
      <c r="Y17" s="662"/>
      <c r="Z17" s="662"/>
      <c r="AA17" s="662"/>
      <c r="AB17" s="662"/>
      <c r="AC17" s="662"/>
      <c r="AD17" s="663"/>
    </row>
    <row r="18" spans="3:30">
      <c r="C18" s="243"/>
      <c r="D18" s="244"/>
      <c r="E18" s="244"/>
      <c r="W18" s="241">
        <v>13</v>
      </c>
      <c r="X18" s="662"/>
      <c r="Y18" s="662"/>
      <c r="Z18" s="662"/>
      <c r="AA18" s="662"/>
      <c r="AB18" s="662"/>
      <c r="AC18" s="662"/>
      <c r="AD18" s="663"/>
    </row>
    <row r="19" spans="3:30">
      <c r="C19" s="238"/>
      <c r="W19" s="245"/>
      <c r="X19" s="679"/>
      <c r="Y19" s="679"/>
      <c r="Z19" s="679"/>
      <c r="AA19" s="679"/>
      <c r="AB19" s="679"/>
      <c r="AC19" s="679"/>
      <c r="AD19" s="680"/>
    </row>
    <row r="20" spans="3:30">
      <c r="C20" s="238"/>
      <c r="W20" s="664" t="s">
        <v>992</v>
      </c>
      <c r="X20" s="665"/>
      <c r="Y20" s="665"/>
      <c r="Z20" s="665"/>
      <c r="AA20" s="665"/>
      <c r="AB20" s="665"/>
      <c r="AC20" s="665"/>
      <c r="AD20" s="666"/>
    </row>
    <row r="21" spans="3:30">
      <c r="C21" s="238"/>
      <c r="W21" s="667" t="s">
        <v>985</v>
      </c>
      <c r="X21" s="668"/>
      <c r="Y21" s="668"/>
      <c r="Z21" s="669"/>
      <c r="AA21" s="670" t="s">
        <v>986</v>
      </c>
      <c r="AB21" s="671"/>
      <c r="AC21" s="671"/>
      <c r="AD21" s="672"/>
    </row>
    <row r="22" spans="3:30">
      <c r="C22" s="238"/>
      <c r="W22" s="673"/>
      <c r="X22" s="674"/>
      <c r="Y22" s="490"/>
      <c r="Z22" s="491"/>
      <c r="AA22" s="675"/>
      <c r="AB22" s="676"/>
      <c r="AC22" s="248"/>
      <c r="AD22" s="249"/>
    </row>
    <row r="23" spans="3:30">
      <c r="C23" s="238"/>
      <c r="W23" s="673"/>
      <c r="X23" s="674"/>
      <c r="Y23" s="490"/>
      <c r="Z23" s="491"/>
      <c r="AA23" s="677"/>
      <c r="AB23" s="678"/>
      <c r="AC23" s="248"/>
      <c r="AD23" s="249"/>
    </row>
    <row r="24" spans="3:30">
      <c r="C24" s="238"/>
      <c r="W24" s="683"/>
      <c r="X24" s="684"/>
      <c r="Y24" s="246"/>
      <c r="Z24" s="247"/>
      <c r="AA24" s="685"/>
      <c r="AB24" s="686"/>
      <c r="AC24" s="248"/>
      <c r="AD24" s="249"/>
    </row>
    <row r="25" spans="3:30">
      <c r="C25" s="238"/>
      <c r="W25" s="683"/>
      <c r="X25" s="684"/>
      <c r="Y25" s="246"/>
      <c r="Z25" s="247"/>
      <c r="AA25" s="677"/>
      <c r="AB25" s="678"/>
      <c r="AC25" s="248"/>
      <c r="AD25" s="249"/>
    </row>
    <row r="26" spans="3:30">
      <c r="C26" s="238"/>
      <c r="W26" s="478"/>
      <c r="X26" s="479"/>
      <c r="Y26" s="246"/>
      <c r="Z26" s="247"/>
      <c r="AA26" s="677"/>
      <c r="AB26" s="678"/>
      <c r="AC26" s="248"/>
      <c r="AD26" s="249"/>
    </row>
    <row r="27" spans="3:30">
      <c r="C27" s="238"/>
      <c r="W27" s="478"/>
      <c r="X27" s="479"/>
      <c r="Y27" s="246"/>
      <c r="Z27" s="247"/>
      <c r="AA27" s="681"/>
      <c r="AB27" s="682"/>
      <c r="AC27" s="248"/>
      <c r="AD27" s="249"/>
    </row>
    <row r="28" spans="3:30">
      <c r="C28" s="238"/>
      <c r="W28" s="478"/>
      <c r="X28" s="479"/>
      <c r="Y28" s="246"/>
      <c r="Z28" s="247"/>
      <c r="AA28" s="681"/>
      <c r="AB28" s="682"/>
      <c r="AC28" s="248"/>
      <c r="AD28" s="249"/>
    </row>
    <row r="29" spans="3:30">
      <c r="C29" s="238"/>
      <c r="W29" s="478"/>
      <c r="X29" s="479"/>
      <c r="Y29" s="246"/>
      <c r="Z29" s="247"/>
      <c r="AA29" s="681"/>
      <c r="AB29" s="682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81"/>
      <c r="AB30" s="682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81"/>
      <c r="AB31" s="682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81"/>
      <c r="AB32" s="682"/>
      <c r="AC32" s="248"/>
      <c r="AD32" s="249"/>
    </row>
    <row r="33" spans="3:30">
      <c r="C33" s="238"/>
      <c r="W33" s="478"/>
      <c r="X33" s="479"/>
      <c r="Y33" s="246"/>
      <c r="Z33" s="247"/>
      <c r="AA33" s="681"/>
      <c r="AB33" s="682"/>
      <c r="AC33" s="248"/>
      <c r="AD33" s="249"/>
    </row>
    <row r="34" spans="3:30">
      <c r="C34" s="238"/>
      <c r="W34" s="478"/>
      <c r="X34" s="479"/>
      <c r="Y34" s="246"/>
      <c r="Z34" s="247"/>
      <c r="AA34" s="681"/>
      <c r="AB34" s="682"/>
      <c r="AC34" s="248"/>
      <c r="AD34" s="249"/>
    </row>
    <row r="35" spans="3:30">
      <c r="C35" s="238"/>
      <c r="W35" s="683"/>
      <c r="X35" s="696"/>
      <c r="Y35" s="246"/>
      <c r="Z35" s="247"/>
      <c r="AA35" s="681"/>
      <c r="AB35" s="682"/>
      <c r="AC35" s="248"/>
      <c r="AD35" s="249"/>
    </row>
    <row r="36" spans="3:30">
      <c r="C36" s="238"/>
      <c r="J36" s="519" t="s">
        <v>1626</v>
      </c>
      <c r="W36" s="687"/>
      <c r="X36" s="688"/>
      <c r="Y36" s="246"/>
      <c r="Z36" s="251"/>
      <c r="AA36" s="689"/>
      <c r="AB36" s="682"/>
      <c r="AC36" s="248"/>
      <c r="AD36" s="249"/>
    </row>
    <row r="37" spans="3:30" ht="12.75" customHeight="1">
      <c r="C37" s="238"/>
      <c r="J37" s="519" t="s">
        <v>1627</v>
      </c>
      <c r="W37" s="690"/>
      <c r="X37" s="691"/>
      <c r="Y37" s="246"/>
      <c r="Z37" s="251"/>
      <c r="AA37" s="692"/>
      <c r="AB37" s="693"/>
      <c r="AC37" s="252"/>
      <c r="AD37" s="253"/>
    </row>
    <row r="38" spans="3:30" ht="12.75" customHeight="1">
      <c r="C38" s="238"/>
      <c r="J38" s="519" t="s">
        <v>1628</v>
      </c>
      <c r="W38" s="690"/>
      <c r="X38" s="691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519" t="s">
        <v>1629</v>
      </c>
      <c r="W39" s="690"/>
      <c r="X39" s="691"/>
      <c r="Y39" s="254"/>
      <c r="Z39" s="257"/>
      <c r="AA39" s="694"/>
      <c r="AB39" s="695"/>
      <c r="AC39" s="252"/>
      <c r="AD39" s="253"/>
    </row>
    <row r="40" spans="3:30" ht="12" customHeight="1">
      <c r="C40" s="238"/>
      <c r="J40" s="519" t="s">
        <v>1630</v>
      </c>
      <c r="W40" s="700"/>
      <c r="X40" s="70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702"/>
      <c r="X41" s="703"/>
      <c r="Y41" s="260"/>
      <c r="Z41" s="261"/>
      <c r="AA41" s="694"/>
      <c r="AB41" s="695"/>
      <c r="AC41" s="252"/>
      <c r="AD41" s="253"/>
    </row>
    <row r="42" spans="3:30" ht="12" customHeight="1">
      <c r="C42" s="238"/>
      <c r="W42" s="704" t="s">
        <v>1456</v>
      </c>
      <c r="X42" s="705"/>
      <c r="Y42" s="705"/>
      <c r="Z42" s="70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7" t="s">
        <v>11</v>
      </c>
      <c r="X44" s="698"/>
      <c r="Y44" s="662"/>
      <c r="Z44" s="662"/>
      <c r="AA44" s="662"/>
      <c r="AB44" s="662"/>
      <c r="AC44" s="662"/>
      <c r="AD44" s="66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7" t="s">
        <v>984</v>
      </c>
      <c r="X45" s="698"/>
      <c r="Y45" s="662">
        <v>1</v>
      </c>
      <c r="Z45" s="662"/>
      <c r="AA45" s="662"/>
      <c r="AB45" s="662" t="s">
        <v>12</v>
      </c>
      <c r="AC45" s="66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7" t="s">
        <v>15</v>
      </c>
      <c r="X46" s="698"/>
      <c r="Y46" s="699"/>
      <c r="Z46" s="699"/>
      <c r="AA46" s="699"/>
      <c r="AB46" s="662" t="s">
        <v>16</v>
      </c>
      <c r="AC46" s="66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10" t="s">
        <v>17</v>
      </c>
      <c r="X47" s="710"/>
      <c r="Y47" s="710"/>
      <c r="Z47" s="710"/>
      <c r="AA47" s="710"/>
      <c r="AB47" s="710"/>
      <c r="AC47" s="710"/>
      <c r="AD47" s="711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12" t="str">
        <f>RAB!G6</f>
        <v>ANIS FUADAH (BIMBEL NEURON)</v>
      </c>
      <c r="X48" s="712"/>
      <c r="Y48" s="712"/>
      <c r="Z48" s="712"/>
      <c r="AA48" s="712"/>
      <c r="AB48" s="712"/>
      <c r="AC48" s="712"/>
      <c r="AD48" s="713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12"/>
      <c r="X49" s="712"/>
      <c r="Y49" s="712"/>
      <c r="Z49" s="712"/>
      <c r="AA49" s="712"/>
      <c r="AB49" s="712"/>
      <c r="AC49" s="712"/>
      <c r="AD49" s="713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12"/>
      <c r="X50" s="712"/>
      <c r="Y50" s="712"/>
      <c r="Z50" s="712"/>
      <c r="AA50" s="712"/>
      <c r="AB50" s="712"/>
      <c r="AC50" s="712"/>
      <c r="AD50" s="713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4"/>
      <c r="X51" s="714"/>
      <c r="Y51" s="714"/>
      <c r="Z51" s="714"/>
      <c r="AA51" s="714"/>
      <c r="AB51" s="714"/>
      <c r="AC51" s="714"/>
      <c r="AD51" s="715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7" t="s">
        <v>18</v>
      </c>
      <c r="X52" s="698"/>
      <c r="Y52" s="662" t="s">
        <v>1647</v>
      </c>
      <c r="Z52" s="662"/>
      <c r="AA52" s="662"/>
      <c r="AB52" s="662"/>
      <c r="AC52" s="662"/>
      <c r="AD52" s="66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7" t="s">
        <v>19</v>
      </c>
      <c r="X53" s="698"/>
      <c r="Y53" s="662" t="s">
        <v>1648</v>
      </c>
      <c r="Z53" s="662"/>
      <c r="AA53" s="662"/>
      <c r="AB53" s="662"/>
      <c r="AC53" s="662"/>
      <c r="AD53" s="66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7" t="s">
        <v>20</v>
      </c>
      <c r="X54" s="698"/>
      <c r="Y54" s="706" t="s">
        <v>1649</v>
      </c>
      <c r="Z54" s="706"/>
      <c r="AA54" s="706"/>
      <c r="AB54" s="662"/>
      <c r="AC54" s="662"/>
      <c r="AD54" s="66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7" t="s">
        <v>21</v>
      </c>
      <c r="X55" s="708"/>
      <c r="Y55" s="706" t="s">
        <v>1650</v>
      </c>
      <c r="Z55" s="706"/>
      <c r="AA55" s="706"/>
      <c r="AB55" s="706"/>
      <c r="AC55" s="706"/>
      <c r="AD55" s="709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6" t="s">
        <v>1528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17"/>
      <c r="AE4" s="216"/>
      <c r="AF4" s="216"/>
    </row>
    <row r="5" spans="2:32" ht="13.5" customHeight="1">
      <c r="B5" s="215"/>
      <c r="C5" s="215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17"/>
      <c r="AE5" s="216"/>
      <c r="AF5" s="216"/>
    </row>
    <row r="6" spans="2:32" ht="12.75" customHeight="1">
      <c r="B6" s="215"/>
      <c r="C6" s="215"/>
      <c r="D6" s="719"/>
      <c r="E6" s="720"/>
      <c r="F6" s="720"/>
      <c r="G6" s="720"/>
      <c r="H6" s="720"/>
      <c r="I6" s="720"/>
      <c r="J6" s="720"/>
      <c r="K6" s="720"/>
      <c r="L6" s="720"/>
      <c r="M6" s="720"/>
      <c r="N6" s="720"/>
      <c r="O6" s="720"/>
      <c r="P6" s="720"/>
      <c r="Q6" s="720"/>
      <c r="R6" s="720"/>
      <c r="S6" s="720"/>
      <c r="T6" s="720"/>
      <c r="U6" s="720"/>
      <c r="V6" s="720"/>
      <c r="W6" s="720"/>
      <c r="X6" s="720"/>
      <c r="Y6" s="720"/>
      <c r="Z6" s="720"/>
      <c r="AA6" s="720"/>
      <c r="AB6" s="720"/>
      <c r="AC6" s="721"/>
      <c r="AE6" s="216"/>
      <c r="AF6" s="216"/>
    </row>
    <row r="7" spans="2:32" ht="12.75" customHeight="1" thickBot="1">
      <c r="B7" s="215"/>
      <c r="C7" s="215"/>
      <c r="D7" s="722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  <c r="X7" s="723"/>
      <c r="Y7" s="723"/>
      <c r="Z7" s="723"/>
      <c r="AA7" s="723"/>
      <c r="AB7" s="723"/>
      <c r="AC7" s="72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T37" sqref="T37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0" t="s">
        <v>1527</v>
      </c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  <c r="V3" s="720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25" t="str">
        <f>GAMBAR!E7</f>
        <v>KOORDINAT : -6.899982578559648, 110.63230293700381</v>
      </c>
      <c r="D6" s="725"/>
      <c r="E6" s="725"/>
      <c r="F6" s="725"/>
      <c r="G6" s="725"/>
      <c r="H6" s="725"/>
      <c r="I6" s="725"/>
      <c r="J6" s="725"/>
      <c r="K6" s="725"/>
      <c r="L6" s="725"/>
      <c r="M6" s="725"/>
      <c r="W6" s="182"/>
      <c r="Y6" s="426"/>
      <c r="Z6" s="426"/>
      <c r="AA6" s="426"/>
      <c r="AB6" s="427"/>
      <c r="AC6" s="427"/>
    </row>
    <row r="7" spans="1:29" ht="18" customHeight="1">
      <c r="A7" s="181"/>
      <c r="C7" s="725"/>
      <c r="D7" s="725"/>
      <c r="E7" s="725"/>
      <c r="F7" s="725"/>
      <c r="G7" s="725"/>
      <c r="H7" s="725"/>
      <c r="I7" s="725"/>
      <c r="J7" s="725"/>
      <c r="K7" s="725"/>
      <c r="L7" s="725"/>
      <c r="M7" s="725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2024-01-18T07:27:47Z</dcterms:modified>
</cp:coreProperties>
</file>