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A. BP LEBIH BESAR INVESTASI\OKT\ASFURIYAH\"/>
    </mc:Choice>
  </mc:AlternateContent>
  <xr:revisionPtr revIDLastSave="0" documentId="8_{4E8EFC2D-B905-4599-8C3F-AFBB4AA96CB4}" xr6:coauthVersionLast="47" xr6:coauthVersionMax="47" xr10:uidLastSave="{00000000-0000-0000-0000-000000000000}"/>
  <bookViews>
    <workbookView xWindow="-120" yWindow="-120" windowWidth="24240" windowHeight="1314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G24" i="11" l="1"/>
  <c r="G25" i="11"/>
  <c r="G26" i="11"/>
  <c r="G27" i="11"/>
  <c r="D24" i="11"/>
  <c r="H24" i="11" s="1"/>
  <c r="E24" i="11"/>
  <c r="D25" i="11"/>
  <c r="J25" i="11" s="1"/>
  <c r="E25" i="11"/>
  <c r="D26" i="11"/>
  <c r="I26" i="11" s="1"/>
  <c r="E26" i="11"/>
  <c r="D27" i="11"/>
  <c r="H27" i="11" s="1"/>
  <c r="E27" i="11"/>
  <c r="D29" i="11"/>
  <c r="J29" i="11" s="1"/>
  <c r="E29" i="11"/>
  <c r="G29" i="11"/>
  <c r="I25" i="11" l="1"/>
  <c r="H26" i="11"/>
  <c r="J24" i="11"/>
  <c r="H25" i="11"/>
  <c r="I24" i="11"/>
  <c r="I27" i="11"/>
  <c r="J26" i="11"/>
  <c r="I29" i="11"/>
  <c r="H29" i="11"/>
  <c r="K25" i="11" l="1"/>
  <c r="K29" i="11"/>
  <c r="K24" i="11"/>
  <c r="K26" i="11"/>
  <c r="F27" i="11" l="1"/>
  <c r="J27" i="11" s="1"/>
  <c r="K27" i="11" s="1"/>
  <c r="F23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8" i="11"/>
  <c r="H28" i="11" s="1"/>
  <c r="E28" i="11"/>
  <c r="G28" i="11"/>
  <c r="D30" i="11"/>
  <c r="H30" i="11" s="1"/>
  <c r="E30" i="11"/>
  <c r="G30" i="11"/>
  <c r="G16" i="11"/>
  <c r="G17" i="11"/>
  <c r="G18" i="11"/>
  <c r="D16" i="11"/>
  <c r="H16" i="11" s="1"/>
  <c r="E16" i="11"/>
  <c r="D17" i="11"/>
  <c r="J17" i="11" s="1"/>
  <c r="E17" i="11"/>
  <c r="D18" i="11"/>
  <c r="I18" i="11" s="1"/>
  <c r="E18" i="11"/>
  <c r="D14" i="11"/>
  <c r="J14" i="11" s="1"/>
  <c r="E14" i="11"/>
  <c r="G14" i="11"/>
  <c r="K16" i="60"/>
  <c r="K19" i="60"/>
  <c r="D19" i="60"/>
  <c r="J28" i="11" l="1"/>
  <c r="J21" i="11"/>
  <c r="I30" i="11"/>
  <c r="I19" i="11"/>
  <c r="I28" i="11"/>
  <c r="I23" i="11"/>
  <c r="I22" i="11"/>
  <c r="H23" i="11"/>
  <c r="H19" i="11"/>
  <c r="H22" i="11"/>
  <c r="I21" i="11"/>
  <c r="I20" i="11"/>
  <c r="J30" i="11"/>
  <c r="H20" i="11"/>
  <c r="I17" i="11"/>
  <c r="H14" i="11"/>
  <c r="I14" i="11"/>
  <c r="H18" i="11"/>
  <c r="J16" i="11"/>
  <c r="H17" i="11"/>
  <c r="I16" i="11"/>
  <c r="J18" i="11"/>
  <c r="K22" i="11" l="1"/>
  <c r="K30" i="11"/>
  <c r="K21" i="11"/>
  <c r="K28" i="11"/>
  <c r="K19" i="11"/>
  <c r="K23" i="11"/>
  <c r="K20" i="11"/>
  <c r="K16" i="11"/>
  <c r="K14" i="11"/>
  <c r="K17" i="11"/>
  <c r="K18" i="11"/>
  <c r="G6" i="11" l="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D6" i="60"/>
  <c r="D9" i="60" s="1"/>
  <c r="K20" i="60" l="1"/>
  <c r="A18" i="11" l="1"/>
  <c r="A17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G15" i="11" l="1"/>
  <c r="E15" i="11"/>
  <c r="D15" i="11"/>
  <c r="A15" i="11"/>
  <c r="I15" i="11" l="1"/>
  <c r="I31" i="11" s="1"/>
  <c r="H15" i="11"/>
  <c r="H31" i="11" s="1"/>
  <c r="J15" i="11"/>
  <c r="J31" i="11" s="1"/>
  <c r="D31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1" i="11"/>
  <c r="D32" i="11"/>
  <c r="H32" i="11" s="1"/>
  <c r="E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6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K15" i="11"/>
  <c r="K31" i="11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F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2" i="11"/>
  <c r="I3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F314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32" i="11"/>
  <c r="F228" i="29"/>
  <c r="F57" i="39" l="1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4" i="11"/>
  <c r="H35" i="11" s="1"/>
  <c r="I34" i="11"/>
  <c r="I35" i="11" s="1"/>
  <c r="F337" i="29"/>
  <c r="F334" i="29"/>
  <c r="F330" i="29"/>
  <c r="F325" i="29"/>
  <c r="F714" i="41"/>
  <c r="F345" i="29"/>
  <c r="E336" i="29"/>
  <c r="F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F327" i="29"/>
  <c r="E338" i="29"/>
  <c r="E335" i="29"/>
  <c r="E355" i="29"/>
  <c r="F355" i="29"/>
  <c r="F340" i="29"/>
  <c r="E340" i="29"/>
  <c r="E329" i="29"/>
  <c r="E62" i="39"/>
  <c r="F65" i="39" s="1"/>
  <c r="F62" i="39"/>
  <c r="F352" i="29"/>
  <c r="E352" i="29"/>
  <c r="E9" i="54"/>
  <c r="L9" i="54" s="1"/>
  <c r="M9" i="54" s="1"/>
  <c r="I10" i="54"/>
  <c r="H10" i="54"/>
  <c r="C11" i="54"/>
  <c r="D10" i="54"/>
  <c r="F361" i="29" l="1"/>
  <c r="F36" i="39"/>
  <c r="F226" i="29"/>
  <c r="F239" i="29"/>
  <c r="F346" i="29"/>
  <c r="F351" i="29"/>
  <c r="F323" i="29"/>
  <c r="A12" i="54"/>
  <c r="O11" i="54"/>
  <c r="F347" i="29"/>
  <c r="F233" i="29"/>
  <c r="F312" i="29"/>
  <c r="H36" i="11"/>
  <c r="I3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34" i="11" l="1"/>
  <c r="C16" i="29"/>
  <c r="D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4" i="11"/>
  <c r="J3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35" i="11"/>
  <c r="K36" i="11" s="1"/>
  <c r="H16" i="39"/>
  <c r="G16" i="39"/>
  <c r="B16" i="39"/>
  <c r="E16" i="39" s="1"/>
  <c r="I16" i="39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/>
  <c r="B37" i="11" l="1"/>
  <c r="D10" i="59"/>
  <c r="K16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<sst xmlns="http://schemas.openxmlformats.org/spreadsheetml/2006/main" count="4697" uniqueCount="1626">
  <si>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</si>
  <si>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</si>
  <si>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</si>
  <si>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</si>
  <si>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</si>
  <si>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</si>
  <si>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</si>
  <si>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</si>
  <si>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</si>
  <si>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</si>
  <si>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</si>
  <si>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</si>
  <si>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</si>
  <si>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</si>
  <si>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</si>
  <si>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</si>
  <si>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</si>
  <si>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</si>
  <si>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</si>
  <si>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</si>
  <si>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</si>
  <si>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</si>
  <si>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</si>
  <si>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</si>
  <si>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</si>
  <si>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</si>
  <si>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</si>
  <si>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</si>
  <si>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</si>
  <si>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</si>
  <si>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</si>
  <si>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</si>
  <si>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</si>
  <si>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</si>
  <si>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</si>
  <si>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</si>
  <si>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</si>
  <si>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</si>
  <si>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</si>
  <si>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</si>
  <si>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</si>
  <si>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</si>
  <si>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</si>
  <si>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</si>
  <si>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</si>
  <si>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</si>
  <si>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</si>
  <si>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</si>
  <si>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</si>
  <si>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</si>
  <si>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</si>
  <si>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</si>
  <si>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</si>
  <si>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</si>
  <si>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</si>
  <si>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</si>
  <si>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</si>
  <si>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</si>
  <si>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</si>
  <si>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</si>
  <si>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</si>
  <si>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</si>
  <si>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</si>
  <si>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</si>
  <si>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</si>
  <si>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</si>
  <si>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</si>
  <si>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</si>
  <si>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</si>
  <si>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</si>
  <si>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</si>
  <si>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</si>
  <si>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</si>
  <si>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</si>
  <si>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</si>
  <si>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</si>
  <si>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</si>
  <si>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</si>
  <si>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</si>
  <si>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</si>
  <si>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</si>
  <si>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</si>
  <si>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</si>
  <si>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</si>
  <si>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</si>
  <si>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</si>
  <si>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</si>
  <si>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</si>
  <si>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</si>
  <si>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</si>
  <si>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</si>
  <si>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</si>
  <si>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</si>
  <si>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</si>
  <si>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</si>
  <si>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</si>
  <si>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</si>
  <si>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</si>
  <si>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</si>
  <si>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</si>
  <si>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</si>
  <si>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</si>
  <si>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</si>
  <si>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</si>
  <si>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</si>
  <si>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</si>
  <si>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</si>
  <si>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</si>
  <si>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</si>
  <si>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</si>
  <si>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</si>
  <si>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</si>
  <si>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</si>
  <si>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</si>
  <si>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</si>
  <si>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</si>
  <si>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</si>
  <si>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</si>
  <si>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</si>
  <si>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</si>
  <si>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</si>
  <si>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</si>
  <si>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</si>
  <si>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</si>
  <si>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</si>
  <si>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</si>
  <si>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</si>
  <si>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</si>
  <si>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</si>
  <si>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</si>
  <si>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</si>
  <si>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</si>
  <si>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</si>
  <si>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</si>
  <si>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</si>
  <si>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</si>
  <si>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</si>
  <si>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</si>
  <si>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</si>
  <si>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</si>
  <si>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</si>
  <si>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</si>
  <si>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</si>
  <si>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</si>
  <si>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</si>
  <si>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</si>
  <si>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</si>
  <si>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</si>
  <si>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</si>
  <si>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</si>
  <si>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</si>
  <si>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</si>
  <si>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</si>
  <si>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</si>
  <si>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</si>
  <si>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</si>
  <si>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</si>
  <si>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</si>
  <si>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</si>
  <si>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</si>
  <si>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</si>
  <si>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</si>
  <si>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</si>
  <si>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</si>
  <si>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</si>
  <si>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</si>
  <si>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</si>
  <si>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</si>
  <si>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</si>
  <si>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</si>
  <si>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</si>
  <si>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</si>
  <si>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</si>
  <si>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</si>
  <si>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</si>
  <si>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</si>
  <si>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</si>
  <si>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</si>
  <si>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</si>
  <si>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</si>
  <si>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</si>
  <si>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</si>
  <si>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</si>
  <si>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</si>
  <si>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</si>
  <si>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</si>
  <si>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</si>
  <si>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</si>
  <si>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</si>
  <si>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</si>
  <si>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</si>
  <si>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</si>
  <si>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</si>
  <si>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</si>
  <si>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</si>
  <si>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</si>
  <si>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</si>
  <si>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</si>
  <si>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</si>
  <si>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</si>
  <si>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</si>
  <si>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</si>
  <si>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</si>
  <si>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</si>
  <si>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</si>
  <si>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</si>
  <si>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</si>
  <si>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</si>
  <si>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</si>
  <si>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</si>
  <si>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</si>
  <si>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</si>
  <si>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</si>
  <si>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</si>
  <si>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</si>
  <si>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</si>
  <si>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</si>
  <si>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</si>
  <si>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</si>
  <si>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</si>
  <si>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</si>
  <si>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</si>
  <si>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</si>
  <si>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</si>
  <si>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</si>
  <si>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</si>
  <si>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</si>
  <si>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</si>
  <si>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</si>
  <si>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</si>
  <si>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</si>
  <si>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</si>
  <si>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</si>
  <si>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</si>
  <si>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</si>
  <si>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</si>
  <si>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</si>
  <si>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</si>
  <si>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</si>
  <si>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</si>
  <si>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</si>
  <si>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</si>
  <si>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</si>
  <si>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</si>
  <si>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</si>
  <si>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</si>
  <si>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</si>
  <si>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</si>
  <si>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</si>
  <si>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</si>
  <si>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</si>
  <si>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</si>
  <si>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</si>
  <si>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</si>
  <si>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</si>
  <si>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</si>
  <si>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</si>
  <si>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</si>
  <si>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</si>
  <si>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</si>
  <si>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</si>
  <si>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</si>
  <si>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</si>
  <si>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</si>
  <si>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</si>
  <si>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</si>
  <si>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</si>
  <si>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</si>
  <si>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</si>
  <si>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</si>
  <si>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</si>
  <si>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</si>
  <si>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</si>
  <si>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</si>
  <si>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</si>
  <si>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</si>
  <si>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</si>
  <si>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</si>
  <si>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</si>
  <si>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</si>
  <si>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</si>
  <si>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</si>
  <si>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</si>
  <si>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</si>
  <si>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</si>
  <si>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</si>
  <si>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</si>
  <si>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</si>
  <si>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</si>
  <si>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</si>
  <si>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</si>
  <si>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</si>
  <si>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</si>
  <si>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</si>
  <si>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</si>
  <si>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</si>
  <si>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</si>
  <si>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</si>
  <si>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</si>
  <si>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</si>
  <si>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</si>
  <si>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</si>
  <si>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</si>
  <si>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</si>
  <si>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</si>
  <si>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</si>
  <si>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</si>
  <si>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</si>
  <si>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</si>
  <si>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</si>
  <si>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</si>
  <si>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</si>
  <si>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</si>
  <si>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</si>
  <si>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</si>
  <si>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</si>
  <si>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</si>
  <si>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</si>
  <si>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</si>
  <si>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</si>
  <si>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</si>
  <si>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</si>
  <si>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</si>
  <si>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</si>
  <si>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</si>
  <si>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</si>
  <si>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</si>
  <si>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</si>
  <si>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</si>
  <si>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</si>
  <si>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</si>
  <si>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</si>
  <si>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</si>
  <si>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</si>
  <si>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</si>
  <si>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</si>
  <si>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</si>
  <si>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</si>
  <si>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</si>
  <si>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</si>
  <si>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</si>
  <si>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</si>
  <si>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</si>
  <si>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</si>
  <si>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</si>
  <si>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</si>
  <si>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</si>
  <si>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</si>
  <si>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</si>
  <si>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</si>
  <si>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</si>
  <si>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</si>
  <si>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</si>
  <si>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</si>
  <si>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</si>
  <si>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</si>
  <si>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</si>
  <si>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</si>
  <si>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</si>
  <si>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</si>
  <si>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</si>
  <si>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</si>
  <si>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</si>
  <si>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</si>
  <si>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</si>
  <si>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</si>
  <si>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</si>
  <si>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</si>
  <si>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</si>
  <si>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</si>
  <si>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</si>
  <si>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</si>
  <si>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</si>
  <si>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</si>
  <si>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</si>
  <si>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</si>
  <si>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</si>
  <si>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</si>
  <si>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</si>
  <si>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</si>
  <si>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</si>
  <si>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</si>
  <si>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</si>
  <si>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</si>
  <si>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</si>
  <si>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</si>
  <si>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</si>
  <si>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</si>
  <si>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</si>
  <si>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</si>
  <si>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</si>
  <si>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</si>
  <si>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</si>
  <si>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</si>
  <si>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</si>
  <si>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</si>
  <si>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</si>
  <si>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</si>
  <si>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</si>
  <si>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</si>
  <si>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</si>
  <si>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</si>
  <si>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</si>
  <si>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</si>
  <si>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</si>
  <si>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</si>
  <si>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</si>
  <si>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</si>
  <si>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</si>
  <si>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</si>
  <si>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</si>
  <si>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</si>
  <si>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</si>
  <si>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</si>
  <si>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</si>
  <si>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</si>
  <si>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</si>
  <si>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</si>
  <si>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</si>
  <si>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</si>
  <si>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</si>
  <si>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</si>
  <si>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</si>
  <si>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</si>
  <si>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</si>
  <si>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</si>
  <si>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</si>
  <si>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</si>
  <si>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</si>
  <si>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</si>
  <si>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</si>
  <si>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</si>
  <si>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</si>
  <si>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</si>
  <si>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</si>
  <si>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</si>
  <si>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</si>
  <si>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</si>
  <si>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</si>
  <si>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</si>
  <si>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</si>
  <si>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</si>
  <si>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</si>
  <si>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</si>
  <si>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</si>
  <si>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</si>
  <si>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</si>
  <si>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</si>
  <si>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</si>
  <si>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</si>
  <si>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</si>
  <si>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</si>
  <si>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</si>
  <si>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</si>
  <si>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</si>
  <si>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</si>
  <si>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</si>
  <si>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</si>
  <si>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</si>
  <si>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</si>
  <si>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</si>
  <si>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</si>
  <si>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</si>
  <si>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</si>
  <si>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</si>
  <si>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</si>
  <si>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</si>
  <si>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</si>
  <si>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</si>
  <si>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</si>
  <si>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</si>
  <si>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</si>
  <si>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</si>
  <si>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</si>
  <si>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</si>
  <si>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</si>
  <si>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</si>
  <si>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</si>
  <si>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</si>
  <si>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</si>
  <si>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</si>
  <si>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</si>
  <si>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</si>
  <si>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</si>
  <si>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</si>
  <si>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</si>
  <si>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</si>
  <si>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</si>
  <si>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</si>
  <si>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</si>
  <si>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</si>
  <si>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</si>
  <si>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</si>
  <si>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</si>
  <si>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</si>
  <si>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</si>
  <si>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</si>
  <si>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</si>
  <si>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</si>
  <si>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</si>
  <si>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</si>
  <si>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</si>
  <si>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</si>
  <si>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</si>
  <si>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</si>
  <si>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</si>
  <si>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</si>
  <si>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</si>
  <si>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</si>
  <si>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</si>
  <si>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</si>
  <si>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</si>
  <si>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</si>
  <si>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</si>
  <si>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</si>
  <si>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</si>
  <si>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</si>
  <si>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</si>
  <si>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</si>
  <si>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</si>
  <si>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</si>
  <si>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</si>
  <si>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</si>
  <si>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</si>
  <si>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</si>
  <si>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</si>
  <si>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</si>
  <si>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</si>
  <si>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</si>
  <si>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</si>
  <si>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</si>
  <si>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</si>
  <si>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</si>
  <si>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</si>
  <si>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</si>
  <si>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</si>
  <si>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</si>
  <si>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</si>
  <si>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</si>
  <si>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</si>
  <si>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</si>
  <si>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</si>
  <si>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</si>
  <si>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</si>
  <si>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</si>
  <si>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</si>
  <si>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</si>
  <si>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</si>
  <si>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</si>
  <si>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</si>
  <si>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</si>
  <si>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</si>
  <si>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</si>
  <si>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</si>
  <si>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</si>
  <si>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</si>
  <si>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</si>
  <si>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</si>
  <si>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</si>
  <si>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</si>
  <si>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</si>
  <si>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</si>
  <si>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</si>
  <si>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</si>
  <si>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</si>
  <si>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</si>
  <si>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</si>
  <si>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</si>
  <si>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</si>
  <si>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</si>
  <si>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</si>
  <si>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</si>
  <si>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</si>
  <si>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</si>
  <si>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</si>
  <si>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</si>
  <si>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</si>
  <si>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</si>
  <si>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</si>
  <si>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</si>
  <si>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</si>
  <si>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</si>
  <si>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</si>
  <si>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</si>
  <si>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</si>
  <si>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</si>
  <si>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</si>
  <si>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</si>
  <si>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</si>
  <si>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</si>
  <si>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</si>
  <si>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</si>
  <si>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</si>
  <si>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</si>
  <si>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</si>
  <si>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</si>
  <si>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</si>
  <si>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</si>
  <si>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</si>
  <si>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</si>
  <si>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</si>
  <si>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</si>
  <si>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</si>
  <si>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</si>
  <si>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</si>
  <si>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</si>
  <si>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</si>
  <si>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</si>
  <si>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</si>
  <si>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</si>
  <si>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</si>
  <si>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</si>
  <si>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</si>
  <si>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</si>
  <si>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</si>
  <si>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</si>
  <si>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</si>
  <si>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</si>
  <si>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</si>
  <si>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</si>
  <si>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</si>
  <si>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</si>
  <si>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</si>
  <si>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</si>
  <si>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</si>
  <si>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</si>
  <si>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</si>
  <si>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</si>
  <si>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</si>
  <si>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</si>
  <si>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</si>
  <si>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</si>
  <si>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</si>
  <si>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</si>
  <si>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</si>
  <si>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</si>
  <si>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</si>
  <si>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</si>
  <si>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</si>
  <si>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</si>
  <si>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</si>
  <si>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</si>
  <si>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</si>
  <si>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</si>
  <si>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</si>
  <si>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</si>
  <si>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</si>
  <si>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</si>
  <si>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</si>
  <si>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</si>
  <si>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</si>
  <si>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</si>
  <si>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</si>
  <si>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</si>
  <si>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</si>
  <si>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</si>
  <si>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</si>
  <si>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</si>
  <si>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</si>
  <si>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</si>
  <si>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</si>
  <si>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</si>
  <si>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</si>
  <si>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</si>
  <si>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</si>
  <si>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</si>
  <si>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</si>
  <si>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</si>
  <si>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</si>
  <si>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</si>
  <si>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</si>
  <si>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</si>
  <si>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</si>
  <si>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</si>
  <si>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</si>
  <si>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</si>
  <si>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</si>
  <si>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</si>
  <si>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</si>
  <si>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</si>
  <si>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</si>
  <si>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</si>
  <si>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</si>
  <si>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</si>
  <si>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</si>
  <si>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</si>
  <si>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</si>
  <si>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</si>
  <si>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</si>
  <si>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</si>
  <si>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</si>
  <si>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</si>
  <si>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</si>
  <si>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</si>
  <si>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</si>
  <si>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</si>
  <si>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</si>
  <si>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</si>
  <si>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</si>
  <si>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</si>
  <si>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</si>
  <si>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</si>
  <si>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</si>
  <si>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</si>
  <si>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</si>
  <si>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</si>
  <si>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</si>
  <si>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</si>
  <si>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</si>
  <si>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</si>
  <si>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</si>
  <si>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</si>
  <si>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</si>
  <si>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</si>
  <si>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</si>
  <si>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</si>
  <si>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</si>
  <si>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</si>
  <si>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</si>
  <si>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</si>
  <si>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</si>
  <si>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</si>
  <si>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</si>
  <si>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</si>
  <si>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</si>
  <si>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</si>
  <si>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</si>
  <si>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</si>
  <si>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</si>
  <si>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</si>
  <si>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</si>
  <si>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</si>
  <si>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</si>
  <si>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</si>
  <si>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</si>
  <si>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</si>
  <si>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</si>
  <si>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</si>
  <si>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</si>
  <si>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</si>
  <si>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</si>
  <si>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</si>
  <si>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</si>
  <si>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</si>
  <si>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</si>
  <si>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</si>
  <si>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</si>
  <si>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</si>
  <si>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</si>
  <si>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</si>
  <si>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</si>
  <si>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</si>
  <si>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</si>
  <si>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</si>
  <si>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</si>
  <si>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</si>
  <si>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</si>
  <si>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</si>
  <si>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</si>
  <si>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</si>
  <si>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</si>
  <si>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</si>
  <si>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</si>
  <si>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</si>
  <si>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</si>
  <si>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</si>
  <si>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</si>
  <si>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</si>
  <si>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</si>
  <si>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</si>
  <si>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</si>
  <si>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</si>
  <si>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</si>
  <si>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</si>
  <si>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</si>
  <si>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</si>
  <si>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</si>
  <si>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</si>
  <si>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</si>
  <si>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</si>
  <si>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</si>
  <si>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</si>
  <si>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</si>
  <si>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</si>
  <si>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</si>
  <si>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</si>
  <si>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</si>
  <si>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</si>
  <si>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</si>
  <si>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</si>
  <si>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</si>
  <si>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</si>
  <si>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</si>
  <si>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</si>
  <si>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</si>
  <si>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</si>
  <si>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</si>
  <si>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</si>
  <si>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</si>
  <si>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</si>
  <si>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</si>
  <si>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</si>
  <si>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</si>
  <si>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</si>
  <si>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</si>
  <si>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</si>
  <si>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</si>
  <si>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</si>
  <si>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</si>
  <si>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</si>
  <si>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</si>
  <si>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</si>
  <si>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</si>
  <si>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</si>
  <si>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</si>
  <si>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</si>
  <si>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</si>
  <si>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</si>
  <si>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</si>
  <si>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</si>
  <si>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</si>
  <si>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</si>
  <si>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</si>
  <si>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</si>
  <si>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</si>
  <si>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</si>
  <si>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</si>
  <si>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</si>
  <si>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</si>
  <si>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</si>
  <si>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</si>
  <si>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</si>
  <si>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</si>
  <si>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</si>
  <si>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</si>
  <si>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</si>
  <si>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</si>
  <si>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</si>
  <si>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</si>
  <si>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</si>
  <si>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</si>
  <si>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</si>
  <si>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</si>
  <si>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</si>
  <si>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</si>
  <si>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</si>
  <si>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</si>
  <si>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</si>
  <si>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</si>
  <si>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</si>
  <si>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</si>
  <si>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</si>
  <si>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</si>
  <si>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</si>
  <si>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</si>
  <si>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</si>
  <si>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</si>
  <si>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</si>
  <si>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</si>
  <si>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</si>
  <si>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</si>
  <si>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</si>
  <si>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</si>
  <si>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</si>
  <si>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</si>
  <si>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</si>
  <si>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</si>
  <si>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</si>
  <si>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</si>
  <si>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</si>
  <si>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</si>
  <si>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</si>
  <si>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</si>
  <si>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</si>
  <si>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</si>
  <si>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</si>
  <si>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</si>
  <si>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</si>
  <si>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</si>
  <si>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</si>
  <si>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</si>
  <si>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</si>
  <si>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</si>
  <si>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</si>
  <si>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</si>
  <si>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</si>
  <si>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</si>
  <si>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</si>
  <si>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</si>
  <si>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</si>
  <si>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</si>
  <si>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</si>
  <si>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</si>
  <si>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</si>
  <si>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</si>
  <si>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</si>
  <si>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</si>
  <si>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</si>
  <si>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</si>
  <si>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</si>
  <si>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</si>
  <si>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</si>
  <si>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</si>
  <si>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</si>
  <si>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</si>
  <si>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</si>
  <si>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</si>
  <si>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</si>
  <si>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</si>
  <si>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</si>
  <si>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</si>
  <si>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</si>
  <si>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</si>
  <si>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</si>
  <si>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</si>
  <si>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</si>
  <si>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</si>
  <si>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</si>
  <si>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</si>
  <si>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</si>
  <si>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</si>
  <si>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</si>
  <si>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</si>
  <si>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</si>
  <si>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</si>
  <si>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</si>
  <si>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</si>
  <si>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</si>
  <si>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</si>
  <si>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</si>
  <si>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</si>
  <si>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</si>
  <si>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</si>
  <si>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</si>
  <si>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</si>
  <si>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</si>
  <si>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</si>
  <si>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</si>
  <si>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</si>
  <si>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</si>
  <si>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</si>
  <si>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</si>
  <si>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</si>
  <si>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</si>
  <si>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</si>
  <si>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</si>
  <si>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</si>
  <si>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</si>
  <si>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</si>
  <si>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</si>
  <si>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</si>
  <si>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</si>
  <si>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</si>
  <si>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</si>
  <si>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</si>
  <si>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</si>
  <si>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</si>
  <si>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</si>
  <si>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</si>
  <si>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</si>
  <si>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</si>
  <si>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</si>
  <si>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</si>
  <si>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</si>
  <si>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</si>
  <si>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</si>
  <si>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</si>
  <si>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</si>
  <si>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</si>
  <si>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</si>
  <si>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</si>
  <si>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</si>
  <si>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</si>
  <si>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</si>
  <si>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</si>
  <si>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</si>
  <si>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</si>
  <si>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</si>
  <si>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</si>
  <si>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</si>
  <si>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</si>
  <si>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</si>
  <si>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</si>
  <si>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</si>
  <si>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</si>
  <si>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</si>
  <si>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</si>
  <si>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</si>
  <si>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</si>
  <si>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</si>
  <si>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</si>
  <si>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</si>
  <si>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</si>
  <si>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</si>
  <si>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</si>
  <si>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</si>
  <si>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</si>
  <si>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</si>
  <si>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</si>
  <si>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</si>
  <si>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</si>
  <si>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</si>
  <si>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</si>
  <si>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</si>
  <si>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</si>
  <si>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</si>
  <si>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</si>
  <si>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</si>
  <si>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</si>
  <si>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</si>
  <si>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</si>
  <si>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</si>
  <si>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</si>
  <si>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</si>
  <si>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</si>
  <si>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</si>
  <si>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</si>
  <si>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</si>
  <si>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</si>
  <si>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</si>
  <si>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</si>
  <si>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</si>
  <si>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</si>
  <si>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</si>
  <si>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</si>
  <si>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</si>
  <si>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</si>
  <si>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</si>
  <si>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</si>
  <si>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</si>
  <si>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</si>
  <si>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</si>
  <si>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</si>
  <si>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</si>
  <si>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</si>
  <si>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</si>
  <si>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</si>
  <si>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</si>
  <si>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</si>
  <si>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</si>
  <si>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</si>
  <si>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</si>
  <si>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</si>
  <si>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</si>
  <si>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</si>
  <si>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</si>
  <si>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</si>
  <si>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</si>
  <si>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</si>
  <si>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</si>
  <si>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</si>
  <si>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</si>
  <si>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</si>
  <si>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</si>
  <si>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</si>
  <si>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</si>
  <si>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</si>
  <si>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</si>
  <si>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</si>
  <si>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</si>
  <si>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</si>
  <si>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</si>
  <si>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</si>
  <si>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</si>
  <si>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</si>
  <si>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</si>
  <si>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</si>
  <si>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</si>
  <si>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</si>
  <si>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</si>
  <si>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</si>
  <si>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</si>
  <si>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</si>
  <si>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</si>
  <si>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</si>
  <si>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</si>
  <si>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</si>
  <si>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</si>
  <si>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</si>
  <si>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</si>
  <si>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</si>
  <si>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</si>
  <si>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</si>
  <si>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</si>
  <si>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</si>
  <si>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</si>
  <si>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</si>
  <si>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</si>
  <si>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</si>
  <si>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</si>
  <si>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</si>
  <si>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</si>
  <si>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</si>
  <si>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</si>
  <si>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</si>
  <si>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</si>
  <si>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</si>
  <si>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</si>
  <si>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</si>
  <si>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</si>
  <si>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</si>
  <si>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</si>
  <si>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</si>
  <si>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</si>
  <si>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</si>
  <si>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</si>
  <si>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</si>
  <si>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</si>
  <si>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</si>
  <si>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</si>
  <si>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</si>
  <si>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</si>
  <si>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</si>
  <si>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</si>
  <si>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</si>
  <si>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</si>
  <si>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</si>
  <si>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</si>
  <si>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</si>
  <si>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</si>
  <si>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</si>
  <si>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</si>
  <si>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</si>
  <si>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</si>
  <si>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</si>
  <si>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</si>
  <si>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</si>
  <si>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</si>
  <si>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</si>
  <si>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</si>
  <si>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</si>
  <si>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</si>
  <si>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</si>
  <si>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</si>
  <si>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</si>
  <si>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</si>
  <si>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</si>
  <si>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</si>
  <si>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</si>
  <si>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</si>
  <si>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</si>
  <si>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</si>
  <si>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</si>
  <si>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</si>
  <si>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</si>
  <si>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</si>
  <si>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</si>
  <si>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</si>
  <si>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</si>
  <si>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</si>
  <si>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</si>
  <si>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</si>
  <si>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</si>
  <si>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</si>
  <si>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</si>
  <si>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</si>
  <si>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</si>
  <si>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</si>
  <si>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</si>
  <si>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</si>
  <si>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</si>
  <si>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</si>
  <si>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</si>
  <si>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</si>
  <si>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</si>
  <si>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</si>
  <si>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</si>
  <si>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</si>
  <si>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</si>
  <si>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</si>
  <si>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</si>
  <si>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</si>
  <si>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</si>
  <si>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</si>
  <si>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</si>
  <si>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</si>
  <si>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</si>
  <si>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</si>
  <si>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</si>
  <si>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</si>
  <si>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</si>
  <si>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</si>
  <si>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</si>
  <si>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</si>
  <si>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</si>
  <si>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</si>
  <si>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</si>
  <si>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</si>
  <si>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</si>
  <si>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</si>
  <si>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</si>
  <si>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</si>
  <si>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</si>
  <si>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</si>
  <si>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</si>
  <si>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</si>
  <si>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</si>
  <si>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</si>
  <si>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</si>
  <si>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</si>
  <si>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</si>
  <si>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</si>
  <si>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</si>
  <si>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</si>
  <si>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</si>
  <si>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</si>
  <si>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</si>
  <si>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</si>
  <si>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</si>
  <si>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</si>
  <si>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</si>
  <si>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</si>
  <si>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</si>
  <si>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</si>
  <si>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</si>
  <si>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</si>
  <si>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</si>
  <si>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</si>
  <si>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</si>
  <si>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</si>
  <si>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</si>
  <si>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</si>
  <si>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</si>
  <si>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</si>
  <si>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</si>
  <si>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</si>
  <si>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</si>
  <si>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</si>
  <si>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</si>
  <si>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</si>
  <si>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</si>
  <si>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</si>
  <si>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</si>
  <si>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</si>
  <si>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</si>
  <si>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</si>
  <si>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</si>
  <si>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</si>
  <si>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</si>
  <si>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</si>
  <si>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</si>
  <si>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</si>
  <si>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</si>
  <si>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</si>
  <si>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</si>
  <si>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</si>
  <si>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</si>
  <si>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</si>
  <si>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</si>
  <si>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</si>
  <si>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</si>
  <si>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</si>
  <si>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</si>
  <si>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</si>
  <si>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</si>
  <si>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</si>
  <si>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</si>
  <si>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</si>
  <si>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</si>
  <si>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</si>
  <si>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</si>
  <si>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</si>
  <si>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</si>
  <si>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</si>
  <si>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</si>
  <si>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</si>
  <si>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</si>
  <si>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</si>
  <si>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</si>
  <si>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</si>
  <si>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</si>
  <si>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</si>
  <si>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</si>
  <si>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</si>
  <si>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</si>
  <si>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</si>
  <si>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</si>
  <si>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</si>
  <si>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</si>
  <si>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</si>
  <si>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</si>
  <si>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</si>
  <si>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</si>
  <si>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</si>
  <si>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</si>
  <si>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</si>
  <si>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</si>
  <si>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</si>
  <si>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</si>
  <si>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</si>
  <si>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</si>
  <si>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</si>
  <si>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</si>
  <si>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</si>
  <si>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</si>
  <si>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</si>
  <si>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</si>
  <si>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</si>
  <si>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</si>
  <si>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</si>
  <si>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</si>
  <si>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</si>
  <si>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</si>
  <si>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</si>
  <si>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</si>
  <si>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</si>
  <si>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</si>
  <si>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</si>
  <si>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</si>
  <si>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</si>
  <si>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</si>
  <si>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</si>
  <si>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</si>
  <si>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</si>
  <si>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</si>
  <si>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</si>
  <si>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</si>
  <si>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</si>
  <si>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</si>
  <si>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</si>
  <si>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</si>
  <si>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</si>
  <si>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</si>
  <si>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</si>
  <si>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</si>
  <si>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</si>
  <si>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</si>
  <si>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</si>
  <si>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</si>
  <si>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</si>
  <si>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</si>
  <si>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</si>
  <si>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</si>
  <si>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</si>
  <si>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</si>
  <si>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</si>
  <si>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</si>
  <si>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</si>
  <si>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</si>
  <si>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</si>
  <si>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</si>
  <si>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</si>
  <si>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</si>
  <si>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</si>
  <si>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</si>
  <si>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</si>
  <si>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</si>
  <si>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</si>
  <si>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</si>
  <si>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</si>
  <si>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</si>
  <si>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</si>
  <si>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</si>
  <si>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</si>
  <si>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</si>
  <si>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</si>
  <si>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</si>
  <si>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</si>
  <si>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</si>
  <si>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</si>
  <si>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</si>
  <si>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</si>
  <si>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</si>
  <si>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</si>
  <si>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</si>
  <si>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</si>
  <si>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</si>
  <si>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</si>
  <si>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</si>
  <si>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</si>
  <si>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</si>
  <si>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</si>
  <si>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</si>
  <si>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</si>
  <si>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</si>
  <si>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</si>
  <si>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</si>
  <si>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</si>
  <si>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</si>
  <si>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</si>
  <si>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</si>
  <si>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</si>
  <si>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</si>
  <si>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</si>
  <si>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</si>
  <si>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</si>
  <si>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</si>
  <si>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</si>
  <si>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</si>
  <si>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</si>
  <si>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</si>
  <si>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</si>
  <si>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</si>
  <si>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</si>
  <si>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</si>
  <si>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</si>
  <si>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</si>
  <si>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</si>
  <si>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</si>
  <si>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</si>
  <si>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</si>
  <si>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</si>
  <si>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</si>
  <si>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</si>
  <si>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</si>
  <si>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</si>
  <si>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</si>
  <si>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</si>
  <si>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</si>
  <si>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</si>
  <si>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</si>
  <si>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</si>
  <si>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</si>
  <si>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</si>
  <si>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</si>
  <si>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</si>
  <si>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</si>
  <si>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</si>
  <si>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</si>
  <si>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</si>
  <si>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</si>
  <si>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</si>
  <si>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</si>
  <si>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</si>
  <si>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</si>
  <si>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</si>
  <si>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</si>
  <si>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</si>
  <si>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</si>
  <si>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</si>
  <si>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</si>
  <si>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</si>
  <si>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</si>
  <si>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</si>
  <si>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</si>
  <si>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</si>
  <si>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</si>
  <si>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</si>
  <si>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</si>
  <si>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</si>
  <si>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</si>
  <si>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</si>
  <si>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</si>
  <si>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</si>
  <si>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</si>
  <si>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</si>
  <si>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</si>
  <si>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</si>
  <si>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</si>
  <si>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</si>
  <si>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</si>
  <si>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</si>
  <si>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</si>
  <si>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</si>
  <si>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</si>
  <si>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</si>
  <si>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</si>
  <si>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PEMBANGUNAN JARINGAN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</si>
  <si>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</si>
  <si>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</si>
  <si>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</si>
  <si>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</si>
  <si>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</si>
  <si>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</si>
  <si>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</si>
  <si>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</si>
  <si>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</si>
  <si>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</si>
  <si>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</si>
  <si>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</si>
  <si>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</si>
  <si>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</si>
  <si>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</si>
  <si>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</si>
  <si>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</si>
  <si>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</si>
  <si>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</si>
  <si>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</si>
  <si>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</si>
  <si>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</si>
  <si>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</si>
  <si>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</si>
  <si>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</si>
  <si>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</si>
  <si>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</si>
  <si>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</si>
  <si>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</si>
  <si>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</si>
  <si>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</si>
  <si>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</si>
  <si>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</si>
  <si>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</si>
  <si>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</si>
  <si>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</si>
  <si>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</si>
  <si>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</si>
  <si>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</si>
  <si>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</si>
  <si>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</si>
  <si>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</si>
  <si>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</si>
  <si>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</si>
  <si>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</si>
  <si>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</si>
  <si>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</si>
  <si>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</si>
  <si>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</si>
  <si>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</si>
  <si>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</si>
  <si>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</si>
  <si>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</si>
  <si>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</si>
  <si>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</si>
  <si>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</si>
  <si>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</si>
  <si>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</si>
  <si>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</si>
  <si>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</si>
  <si>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</si>
  <si>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</si>
  <si>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</si>
  <si>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</si>
  <si>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</si>
  <si>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</si>
  <si>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</si>
  <si>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</si>
  <si>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</si>
  <si>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</si>
  <si>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</si>
  <si>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</si>
  <si>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</si>
  <si>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</si>
  <si>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</si>
  <si>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</si>
  <si>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</si>
  <si>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</si>
  <si>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</si>
  <si>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</si>
  <si>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</si>
  <si>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</si>
  <si>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</si>
  <si>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</si>
  <si>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</si>
  <si>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</si>
  <si>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</si>
  <si>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</si>
  <si>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</si>
  <si>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</si>
  <si>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</si>
  <si>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</si>
  <si>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</si>
  <si>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</si>
  <si>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PEMASANGAN KONDUKTOR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</si>
  <si>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</si>
  <si>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</si>
  <si>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</si>
  <si>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</si>
  <si>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</si>
  <si>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</si>
  <si>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</si>
  <si>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</si>
  <si>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</si>
  <si>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</si>
  <si>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</si>
  <si>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</si>
  <si>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</si>
  <si>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</si>
  <si>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</si>
  <si>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</si>
  <si>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</si>
  <si>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</si>
  <si>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</si>
  <si>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</si>
  <si>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</si>
  <si>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</si>
  <si>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</si>
  <si>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</si>
  <si>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</si>
  <si>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</si>
  <si>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</si>
  <si>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</si>
  <si>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</si>
  <si>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</si>
  <si>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</si>
  <si>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</si>
  <si>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</si>
  <si>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</si>
  <si>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</si>
  <si>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</si>
  <si>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</si>
  <si>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</si>
  <si>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</si>
  <si>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</si>
  <si>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</si>
  <si>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</si>
  <si>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</si>
  <si>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</si>
  <si>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</si>
  <si>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</si>
  <si>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</si>
  <si>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</si>
  <si>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</si>
  <si>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</si>
  <si>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</si>
  <si>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</si>
  <si>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</si>
  <si>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</si>
  <si>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</si>
  <si>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</si>
  <si>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</si>
  <si>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</si>
  <si>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</si>
  <si>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</si>
  <si>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Daya 11.000 VA</t>
  </si>
  <si>
    <t>APP 11 KVA</t>
  </si>
  <si>
    <t xml:space="preserve">KOORDINAT : </t>
  </si>
  <si>
    <t>R3</t>
  </si>
  <si>
    <t>ASFURIAH</t>
  </si>
  <si>
    <t>NGEPREH SAYUNG</t>
  </si>
  <si>
    <t>Demak, 20 Oktober 2023</t>
  </si>
  <si>
    <t>MANAGER ULP</t>
  </si>
  <si>
    <t>AHMAD SUHENDRO</t>
  </si>
  <si>
    <t>Staff teknik</t>
  </si>
  <si>
    <t>TL Teknik</t>
  </si>
  <si>
    <t>Manager ULP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</si>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</sst>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8" fillId="0" borderId="0" applyFont="0" applyFill="0" applyBorder="0" applyAlignment="0" applyProtection="0"/>
    <xf numFmtId="41" fontId="170" fillId="0" borderId="0" applyFont="0" applyFill="0" applyBorder="0" applyAlignment="0" applyProtection="0"/>
    <xf numFmtId="0" fontId="17" fillId="0" borderId="0"/>
  </cellStyleXfs>
  <cellXfs count="705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28" xfId="1451" applyFont="1" applyBorder="1"/>
    <xf numFmtId="0" fontId="117" fillId="0" borderId="37" xfId="1451" applyFont="1" applyBorder="1"/>
    <xf numFmtId="0" fontId="112" fillId="0" borderId="37" xfId="1451" applyFont="1" applyBorder="1" applyAlignment="1">
      <alignment vertical="center"/>
    </xf>
    <xf numFmtId="0" fontId="117" fillId="0" borderId="34" xfId="1451" applyFont="1" applyBorder="1"/>
    <xf numFmtId="0" fontId="117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11" fillId="33" borderId="0" xfId="0" applyFont="1" applyFill="1" applyAlignment="1">
      <alignment horizontal="center"/>
    </xf>
    <xf numFmtId="0" fontId="111" fillId="33" borderId="26" xfId="0" applyFont="1" applyFill="1" applyBorder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/>
    </xf>
    <xf numFmtId="0" fontId="88" fillId="33" borderId="68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5" fillId="33" borderId="69" xfId="0" applyFont="1" applyFill="1" applyBorder="1" applyAlignment="1">
      <alignment horizontal="center" vertical="center"/>
    </xf>
    <xf numFmtId="49" fontId="111" fillId="33" borderId="7" xfId="0" applyNumberFormat="1" applyFont="1" applyFill="1" applyBorder="1" applyAlignment="1">
      <alignment horizontal="center" vertical="top" wrapText="1"/>
    </xf>
    <xf numFmtId="49" fontId="111" fillId="33" borderId="41" xfId="0" applyNumberFormat="1" applyFont="1" applyFill="1" applyBorder="1" applyAlignment="1">
      <alignment horizontal="center" vertical="top" wrapText="1"/>
    </xf>
    <xf numFmtId="0" fontId="115" fillId="33" borderId="7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6" fillId="33" borderId="71" xfId="0" applyFont="1" applyFill="1" applyBorder="1" applyAlignment="1">
      <alignment horizontal="center" vertical="top" wrapText="1"/>
    </xf>
    <xf numFmtId="0" fontId="116" fillId="33" borderId="72" xfId="0" applyFont="1" applyFill="1" applyBorder="1" applyAlignment="1">
      <alignment horizontal="center" vertical="top" wrapText="1"/>
    </xf>
    <xf numFmtId="0" fontId="111" fillId="33" borderId="0" xfId="0" applyFont="1" applyFill="1" applyAlignment="1">
      <alignment vertical="top" wrapText="1"/>
    </xf>
    <xf numFmtId="0" fontId="111" fillId="33" borderId="37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1" fillId="33" borderId="43" xfId="0" applyFont="1" applyFill="1" applyBorder="1" applyAlignment="1">
      <alignment vertical="top" wrapText="1"/>
    </xf>
    <xf numFmtId="0" fontId="111" fillId="33" borderId="44" xfId="0" applyFont="1" applyFill="1" applyBorder="1" applyAlignment="1">
      <alignment vertical="top" wrapText="1"/>
    </xf>
    <xf numFmtId="0" fontId="111" fillId="33" borderId="45" xfId="0" applyFont="1" applyFill="1" applyBorder="1" applyAlignment="1">
      <alignment vertical="top" wrapText="1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1" fillId="33" borderId="39" xfId="0" applyFont="1" applyFill="1" applyBorder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42" xfId="0" applyFont="1" applyFill="1" applyBorder="1" applyAlignment="1">
      <alignment horizontal="center" vertical="center" wrapText="1"/>
    </xf>
    <xf numFmtId="0" fontId="116" fillId="33" borderId="34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43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4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53" fillId="0" borderId="21" xfId="1615" applyFont="1" applyBorder="1" applyAlignment="1">
      <alignment horizontal="center" vertic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8" fillId="0" borderId="21" xfId="1614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left"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37" fontId="146" fillId="0" borderId="0" xfId="1614" applyNumberFormat="1" applyFont="1" applyAlignment="1">
      <alignment horizontal="center"/>
    </xf>
    <xf numFmtId="37" fontId="148" fillId="0" borderId="0" xfId="1614" applyNumberFormat="1" applyFont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0" xfId="1614" applyNumberFormat="1" applyFont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45" fillId="0" borderId="0" xfId="1614" applyFont="1" applyAlignment="1">
      <alignment horizontal="center" vertic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83" xfId="2670" applyFont="1" applyFill="1" applyBorder="1" applyAlignment="1">
      <alignment horizontal="left" vertical="center"/>
    </xf>
    <xf numFmtId="0" fontId="156" fillId="39" borderId="84" xfId="2670" applyFont="1" applyFill="1" applyBorder="1" applyAlignment="1">
      <alignment horizontal="center" vertical="center"/>
    </xf>
    <xf numFmtId="0" fontId="156" fillId="39" borderId="86" xfId="2670" applyFont="1" applyFill="1" applyBorder="1" applyAlignment="1">
      <alignment horizontal="left" vertical="center"/>
    </xf>
    <xf numFmtId="0" fontId="156" fillId="39" borderId="82" xfId="2670" applyFont="1" applyFill="1" applyBorder="1" applyAlignment="1">
      <alignment horizontal="center" vertical="center"/>
    </xf>
    <xf numFmtId="0" fontId="156" fillId="39" borderId="88" xfId="2670" applyFont="1" applyFill="1" applyBorder="1" applyAlignment="1">
      <alignment horizontal="left" vertical="center"/>
    </xf>
    <xf numFmtId="0" fontId="156" fillId="39" borderId="89" xfId="2670" applyFont="1" applyFill="1" applyBorder="1" applyAlignment="1">
      <alignment horizontal="center" vertical="center"/>
    </xf>
    <xf numFmtId="167" fontId="137" fillId="40" borderId="85" xfId="2672" applyFont="1" applyFill="1" applyBorder="1" applyAlignment="1" applyProtection="1">
      <alignment horizontal="right" vertical="center" wrapText="1"/>
      <protection locked="0"/>
    </xf>
    <xf numFmtId="167" fontId="137" fillId="40" borderId="87" xfId="2672" applyFont="1" applyFill="1" applyBorder="1" applyAlignment="1" applyProtection="1">
      <alignment horizontal="right" vertical="center"/>
      <protection locked="0"/>
    </xf>
    <xf numFmtId="169" fontId="137" fillId="40" borderId="87" xfId="2672" applyNumberFormat="1" applyFont="1" applyFill="1" applyBorder="1" applyAlignment="1" applyProtection="1">
      <alignment horizontal="right" vertical="center"/>
      <protection locked="0"/>
    </xf>
    <xf numFmtId="169" fontId="137" fillId="40" borderId="90" xfId="2672" applyNumberFormat="1" applyFont="1" applyFill="1" applyBorder="1" applyAlignment="1" applyProtection="1">
      <alignment horizontal="right" vertical="center"/>
      <protection locked="0"/>
    </xf>
    <xf numFmtId="0" fontId="117" fillId="0" borderId="0" xfId="1451" applyFont="1"/>
    <xf numFmtId="0" fontId="118" fillId="0" borderId="0" xfId="1451" applyFont="1" applyAlignment="1">
      <alignment vertical="center"/>
    </xf>
    <xf numFmtId="0" fontId="144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2" fillId="0" borderId="0" xfId="1451" applyFont="1" applyAlignment="1">
      <alignment vertical="center"/>
    </xf>
    <xf numFmtId="0" fontId="112" fillId="0" borderId="0" xfId="1451" applyFont="1" applyAlignment="1">
      <alignment horizontal="center" vertical="center"/>
    </xf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119" fillId="35" borderId="0" xfId="1451" applyFont="1" applyFill="1" applyAlignment="1">
      <alignment vertical="center"/>
    </xf>
    <xf numFmtId="0" fontId="122" fillId="0" borderId="19" xfId="1451" applyFont="1" applyBorder="1" applyAlignment="1">
      <alignment horizontal="center"/>
    </xf>
    <xf numFmtId="0" fontId="122" fillId="0" borderId="19" xfId="1451" applyFont="1" applyBorder="1"/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2" xfId="2673" applyFont="1" applyBorder="1" applyAlignment="1">
      <alignment horizontal="center" vertical="center" wrapText="1"/>
    </xf>
    <xf numFmtId="0" fontId="160" fillId="0" borderId="0" xfId="2673" applyFont="1" applyAlignment="1">
      <alignment horizontal="center" vertical="center" wrapText="1"/>
    </xf>
    <xf numFmtId="0" fontId="161" fillId="0" borderId="0" xfId="2673" applyFont="1" applyAlignment="1">
      <alignment vertical="center" wrapText="1"/>
    </xf>
    <xf numFmtId="0" fontId="162" fillId="0" borderId="0" xfId="2673" applyFont="1" applyAlignment="1">
      <alignment vertical="center" wrapText="1"/>
    </xf>
    <xf numFmtId="0" fontId="143" fillId="35" borderId="94" xfId="2673" applyFont="1" applyFill="1" applyBorder="1" applyAlignment="1">
      <alignment vertical="center" wrapText="1"/>
    </xf>
    <xf numFmtId="0" fontId="143" fillId="43" borderId="94" xfId="2673" applyFont="1" applyFill="1" applyBorder="1" applyAlignment="1">
      <alignment vertical="center" wrapText="1"/>
    </xf>
    <xf numFmtId="0" fontId="159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2" fontId="167" fillId="0" borderId="0" xfId="2673" applyNumberFormat="1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98" xfId="2673" applyFont="1" applyFill="1" applyBorder="1" applyAlignment="1">
      <alignment vertical="center" wrapText="1"/>
    </xf>
    <xf numFmtId="0" fontId="102" fillId="0" borderId="64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0" fontId="88" fillId="33" borderId="60" xfId="0" applyFont="1" applyFill="1" applyBorder="1" applyAlignment="1">
      <alignment horizontal="left" vertical="center"/>
    </xf>
    <xf numFmtId="0" fontId="88" fillId="33" borderId="61" xfId="0" applyFont="1" applyFill="1" applyBorder="1" applyAlignment="1">
      <alignment horizontal="left" vertical="center"/>
    </xf>
    <xf numFmtId="49" fontId="88" fillId="33" borderId="60" xfId="0" applyNumberFormat="1" applyFont="1" applyFill="1" applyBorder="1" applyAlignment="1">
      <alignment horizontal="left" vertical="center" wrapText="1"/>
    </xf>
    <xf numFmtId="49" fontId="88" fillId="33" borderId="61" xfId="0" applyNumberFormat="1" applyFont="1" applyFill="1" applyBorder="1" applyAlignment="1">
      <alignment horizontal="left" vertical="center"/>
    </xf>
    <xf numFmtId="41" fontId="149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0" fontId="112" fillId="33" borderId="0" xfId="0" applyFont="1" applyFill="1" applyAlignment="1">
      <alignment horizontal="left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1" fillId="0" borderId="69" xfId="1450" applyFont="1" applyBorder="1" applyAlignment="1">
      <alignment horizontal="center" vertical="center"/>
    </xf>
    <xf numFmtId="0" fontId="171" fillId="0" borderId="99" xfId="1450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7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60" fillId="42" borderId="91" xfId="2673" applyFont="1" applyFill="1" applyBorder="1" applyAlignment="1">
      <alignment horizontal="center" vertical="center" wrapText="1"/>
    </xf>
    <xf numFmtId="0" fontId="160" fillId="42" borderId="92" xfId="2673" applyFont="1" applyFill="1" applyBorder="1" applyAlignment="1">
      <alignment horizontal="center" vertical="center" wrapText="1"/>
    </xf>
    <xf numFmtId="0" fontId="160" fillId="42" borderId="93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2" xfId="2673" applyNumberFormat="1" applyFont="1" applyFill="1" applyBorder="1" applyAlignment="1">
      <alignment horizontal="center" vertical="center" wrapText="1"/>
    </xf>
    <xf numFmtId="2" fontId="131" fillId="43" borderId="95" xfId="2673" applyNumberFormat="1" applyFont="1" applyFill="1" applyBorder="1" applyAlignment="1">
      <alignment horizontal="center" vertical="center" wrapText="1"/>
    </xf>
    <xf numFmtId="0" fontId="163" fillId="0" borderId="50" xfId="2673" applyFont="1" applyBorder="1" applyAlignment="1">
      <alignment horizontal="center" vertical="center" wrapText="1"/>
    </xf>
    <xf numFmtId="0" fontId="163" fillId="0" borderId="58" xfId="2673" applyFont="1" applyBorder="1" applyAlignment="1">
      <alignment horizontal="center" vertical="center" wrapText="1"/>
    </xf>
    <xf numFmtId="0" fontId="163" fillId="44" borderId="3" xfId="2673" applyFont="1" applyFill="1" applyBorder="1" applyAlignment="1">
      <alignment horizontal="center" vertical="center" wrapText="1"/>
    </xf>
    <xf numFmtId="0" fontId="163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9" fontId="131" fillId="35" borderId="65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4" fillId="0" borderId="9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97" xfId="2673" applyBorder="1" applyAlignment="1">
      <alignment horizontal="center" vertical="center" wrapText="1"/>
    </xf>
    <xf numFmtId="9" fontId="167" fillId="0" borderId="0" xfId="2675" applyFont="1" applyFill="1" applyBorder="1" applyAlignment="1">
      <alignment horizontal="center" vertical="center" wrapText="1"/>
    </xf>
    <xf numFmtId="0" fontId="164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2" xfId="2673" applyNumberFormat="1" applyFont="1" applyFill="1" applyBorder="1" applyAlignment="1">
      <alignment horizontal="center" vertical="center" wrapText="1"/>
    </xf>
    <xf numFmtId="2" fontId="131" fillId="35" borderId="95" xfId="2673" applyNumberFormat="1" applyFont="1" applyFill="1" applyBorder="1" applyAlignment="1">
      <alignment horizontal="center" vertical="center" wrapText="1"/>
    </xf>
    <xf numFmtId="0" fontId="160" fillId="41" borderId="91" xfId="2673" applyFont="1" applyFill="1" applyBorder="1" applyAlignment="1">
      <alignment horizontal="center" vertical="center" wrapText="1"/>
    </xf>
    <xf numFmtId="0" fontId="160" fillId="41" borderId="92" xfId="2673" applyFont="1" applyFill="1" applyBorder="1" applyAlignment="1">
      <alignment horizontal="center" vertical="center" wrapText="1"/>
    </xf>
    <xf numFmtId="0" fontId="160" fillId="41" borderId="93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9" fontId="131" fillId="0" borderId="65" xfId="2675" applyFont="1" applyFill="1" applyBorder="1" applyAlignment="1">
      <alignment horizontal="center" vertical="center" wrapText="1"/>
    </xf>
    <xf numFmtId="0" fontId="5" fillId="34" borderId="77" xfId="2670" applyFill="1" applyBorder="1" applyAlignment="1">
      <alignment horizontal="center" vertical="center"/>
    </xf>
    <xf numFmtId="0" fontId="135" fillId="0" borderId="7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9" fillId="0" borderId="26" xfId="1614" applyFont="1" applyBorder="1" applyAlignment="1">
      <alignment horizontal="left" vertical="center" wrapText="1"/>
    </xf>
    <xf numFmtId="0" fontId="169" fillId="0" borderId="36" xfId="1614" applyFont="1" applyBorder="1" applyAlignment="1">
      <alignment horizontal="left" vertical="center" wrapText="1"/>
    </xf>
    <xf numFmtId="0" fontId="169" fillId="0" borderId="48" xfId="1614" applyFont="1" applyBorder="1" applyAlignment="1">
      <alignment horizontal="left" vertical="center" wrapText="1"/>
    </xf>
    <xf numFmtId="0" fontId="169" fillId="0" borderId="28" xfId="1614" applyFont="1" applyBorder="1" applyAlignment="1">
      <alignment horizontal="left" vertical="center" wrapText="1"/>
    </xf>
    <xf numFmtId="0" fontId="169" fillId="0" borderId="0" xfId="1614" applyFont="1" applyAlignment="1">
      <alignment horizontal="left" vertical="center" wrapText="1"/>
    </xf>
    <xf numFmtId="0" fontId="169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52" fillId="35" borderId="3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5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 vertical="center" wrapText="1"/>
    </xf>
    <xf numFmtId="0" fontId="111" fillId="33" borderId="37" xfId="0" applyFont="1" applyFill="1" applyBorder="1" applyAlignment="1">
      <alignment horizontal="center" vertical="center" wrapText="1"/>
    </xf>
    <xf numFmtId="0" fontId="111" fillId="33" borderId="44" xfId="0" applyFont="1" applyFill="1" applyBorder="1" applyAlignment="1">
      <alignment horizontal="center" vertical="center" wrapText="1"/>
    </xf>
    <xf numFmtId="0" fontId="111" fillId="33" borderId="45" xfId="0" applyFont="1" applyFill="1" applyBorder="1" applyAlignment="1">
      <alignment horizontal="center" vertical="center" wrapText="1"/>
    </xf>
    <xf numFmtId="15" fontId="111" fillId="33" borderId="3" xfId="0" applyNumberFormat="1" applyFont="1" applyFill="1" applyBorder="1" applyAlignment="1">
      <alignment horizontal="center"/>
    </xf>
    <xf numFmtId="0" fontId="88" fillId="33" borderId="59" xfId="0" applyFont="1" applyFill="1" applyBorder="1" applyAlignment="1">
      <alignment horizontal="center" vertical="center"/>
    </xf>
    <xf numFmtId="0" fontId="88" fillId="33" borderId="40" xfId="0" applyFont="1" applyFill="1" applyBorder="1" applyAlignment="1">
      <alignment horizontal="center" vertical="center"/>
    </xf>
    <xf numFmtId="0" fontId="116" fillId="33" borderId="75" xfId="0" applyFont="1" applyFill="1" applyBorder="1" applyAlignment="1">
      <alignment horizontal="center" vertical="center" wrapText="1"/>
    </xf>
    <xf numFmtId="0" fontId="116" fillId="33" borderId="76" xfId="0" applyFont="1" applyFill="1" applyBorder="1" applyAlignment="1">
      <alignment horizontal="center" vertical="center" wrapText="1"/>
    </xf>
    <xf numFmtId="0" fontId="111" fillId="33" borderId="7" xfId="0" applyFont="1" applyFill="1" applyBorder="1" applyAlignment="1">
      <alignment horizontal="center"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2" fillId="33" borderId="18" xfId="0" applyFont="1" applyFill="1" applyBorder="1" applyAlignment="1">
      <alignment horizontal="left" vertical="top" wrapText="1"/>
    </xf>
    <xf numFmtId="0" fontId="112" fillId="33" borderId="0" xfId="0" applyFont="1" applyFill="1" applyAlignment="1">
      <alignment horizontal="left" vertical="top" wrapText="1"/>
    </xf>
    <xf numFmtId="0" fontId="88" fillId="33" borderId="80" xfId="0" applyFont="1" applyFill="1" applyBorder="1" applyAlignment="1">
      <alignment horizontal="center" vertical="center"/>
    </xf>
    <xf numFmtId="0" fontId="88" fillId="33" borderId="81" xfId="0" applyFont="1" applyFill="1" applyBorder="1" applyAlignment="1">
      <alignment horizontal="center" vertical="center"/>
    </xf>
    <xf numFmtId="49" fontId="111" fillId="33" borderId="7" xfId="0" applyNumberFormat="1" applyFont="1" applyFill="1" applyBorder="1" applyAlignment="1">
      <alignment horizontal="center" vertical="center"/>
    </xf>
    <xf numFmtId="49" fontId="111" fillId="33" borderId="41" xfId="0" applyNumberFormat="1" applyFont="1" applyFill="1" applyBorder="1" applyAlignment="1">
      <alignment horizontal="center" vertical="center"/>
    </xf>
    <xf numFmtId="0" fontId="115" fillId="33" borderId="73" xfId="0" applyFont="1" applyFill="1" applyBorder="1" applyAlignment="1">
      <alignment horizontal="center" vertical="center"/>
    </xf>
    <xf numFmtId="0" fontId="115" fillId="33" borderId="74" xfId="0" applyFont="1" applyFill="1" applyBorder="1" applyAlignment="1">
      <alignment horizontal="center" vertical="center"/>
    </xf>
    <xf numFmtId="49" fontId="111" fillId="33" borderId="7" xfId="0" applyNumberFormat="1" applyFont="1" applyFill="1" applyBorder="1" applyAlignment="1">
      <alignment horizontal="center" vertical="top" wrapText="1"/>
    </xf>
    <xf numFmtId="49" fontId="111" fillId="33" borderId="41" xfId="0" applyNumberFormat="1" applyFont="1" applyFill="1" applyBorder="1" applyAlignment="1">
      <alignment horizontal="center" vertical="top" wrapText="1"/>
    </xf>
    <xf numFmtId="49" fontId="111" fillId="33" borderId="50" xfId="0" applyNumberFormat="1" applyFont="1" applyFill="1" applyBorder="1" applyAlignment="1">
      <alignment horizontal="center" vertical="center"/>
    </xf>
    <xf numFmtId="0" fontId="88" fillId="33" borderId="60" xfId="0" applyFont="1" applyFill="1" applyBorder="1" applyAlignment="1">
      <alignment horizontal="left" vertical="center"/>
    </xf>
    <xf numFmtId="0" fontId="88" fillId="33" borderId="61" xfId="0" applyFont="1" applyFill="1" applyBorder="1" applyAlignment="1">
      <alignment horizontal="left" vertical="center"/>
    </xf>
    <xf numFmtId="0" fontId="88" fillId="33" borderId="79" xfId="0" applyFont="1" applyFill="1" applyBorder="1" applyAlignment="1">
      <alignment horizontal="left" vertical="center"/>
    </xf>
    <xf numFmtId="0" fontId="129" fillId="33" borderId="60" xfId="0" applyFont="1" applyFill="1" applyBorder="1" applyAlignment="1">
      <alignment horizontal="left" vertical="center"/>
    </xf>
    <xf numFmtId="0" fontId="129" fillId="33" borderId="61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horizontal="left" vertical="center"/>
    </xf>
    <xf numFmtId="49" fontId="111" fillId="33" borderId="41" xfId="0" applyNumberFormat="1" applyFont="1" applyFill="1" applyBorder="1" applyAlignment="1">
      <alignment horizontal="left" vertic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8" fillId="33" borderId="50" xfId="0" applyFont="1" applyFill="1" applyBorder="1" applyAlignment="1">
      <alignment horizontal="center" vertical="center"/>
    </xf>
    <xf numFmtId="0" fontId="128" fillId="33" borderId="7" xfId="0" applyFont="1" applyFill="1" applyBorder="1" applyAlignment="1">
      <alignment horizontal="center" vertical="center"/>
    </xf>
    <xf numFmtId="0" fontId="128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208" fontId="171" fillId="0" borderId="73" xfId="1450" applyNumberFormat="1" applyFont="1" applyBorder="1" applyAlignment="1">
      <alignment horizontal="left" vertical="center"/>
    </xf>
    <xf numFmtId="208" fontId="171" fillId="0" borderId="74" xfId="1450" applyNumberFormat="1" applyFont="1" applyBorder="1" applyAlignment="1">
      <alignment horizontal="left" vertical="center"/>
    </xf>
    <xf numFmtId="49" fontId="129" fillId="33" borderId="59" xfId="0" applyNumberFormat="1" applyFont="1" applyFill="1" applyBorder="1" applyAlignment="1">
      <alignment horizontal="left" vertical="center"/>
    </xf>
    <xf numFmtId="49" fontId="129" fillId="33" borderId="40" xfId="0" applyNumberFormat="1" applyFont="1" applyFill="1" applyBorder="1" applyAlignment="1">
      <alignment horizontal="left" vertic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27" fillId="35" borderId="55" xfId="0" applyFont="1" applyFill="1" applyBorder="1" applyAlignment="1">
      <alignment horizontal="center" vertical="center"/>
    </xf>
    <xf numFmtId="0" fontId="127" fillId="35" borderId="36" xfId="0" applyFont="1" applyFill="1" applyBorder="1" applyAlignment="1">
      <alignment horizontal="center" vertical="center"/>
    </xf>
    <xf numFmtId="0" fontId="127" fillId="35" borderId="48" xfId="0" applyFont="1" applyFill="1" applyBorder="1" applyAlignment="1">
      <alignment horizontal="center" vertical="center"/>
    </xf>
    <xf numFmtId="0" fontId="127" fillId="35" borderId="43" xfId="0" applyFont="1" applyFill="1" applyBorder="1" applyAlignment="1">
      <alignment horizontal="center" vertical="center"/>
    </xf>
    <xf numFmtId="0" fontId="127" fillId="35" borderId="44" xfId="0" applyFont="1" applyFill="1" applyBorder="1" applyAlignment="1">
      <alignment horizontal="center" vertical="center"/>
    </xf>
    <xf numFmtId="0" fontId="127" fillId="35" borderId="45" xfId="0" applyFont="1" applyFill="1" applyBorder="1" applyAlignment="1">
      <alignment horizontal="center" vertical="center"/>
    </xf>
    <xf numFmtId="0" fontId="119" fillId="35" borderId="26" xfId="1451" applyFont="1" applyFill="1" applyBorder="1" applyAlignment="1">
      <alignment horizontal="center" vertical="center"/>
    </xf>
    <xf numFmtId="0" fontId="119" fillId="35" borderId="36" xfId="1451" applyFont="1" applyFill="1" applyBorder="1" applyAlignment="1">
      <alignment horizontal="center" vertical="center"/>
    </xf>
    <xf numFmtId="0" fontId="119" fillId="35" borderId="48" xfId="1451" applyFont="1" applyFill="1" applyBorder="1" applyAlignment="1">
      <alignment horizontal="center" vertical="center"/>
    </xf>
    <xf numFmtId="0" fontId="119" fillId="35" borderId="28" xfId="1451" applyFont="1" applyFill="1" applyBorder="1" applyAlignment="1">
      <alignment horizontal="center" vertical="center"/>
    </xf>
    <xf numFmtId="0" fontId="119" fillId="35" borderId="0" xfId="1451" applyFont="1" applyFill="1" applyAlignment="1">
      <alignment horizontal="center" vertical="center"/>
    </xf>
    <xf numFmtId="0" fontId="119" fillId="35" borderId="37" xfId="1451" applyFont="1" applyFill="1" applyBorder="1" applyAlignment="1">
      <alignment horizontal="center" vertical="center"/>
    </xf>
    <xf numFmtId="0" fontId="119" fillId="35" borderId="34" xfId="1451" applyFont="1" applyFill="1" applyBorder="1" applyAlignment="1">
      <alignment horizontal="center" vertical="center"/>
    </xf>
    <xf numFmtId="0" fontId="119" fillId="35" borderId="19" xfId="1451" applyFont="1" applyFill="1" applyBorder="1" applyAlignment="1">
      <alignment horizontal="center" vertical="center"/>
    </xf>
    <xf numFmtId="0" fontId="119" fillId="35" borderId="31" xfId="1451" applyFont="1" applyFill="1" applyBorder="1" applyAlignment="1">
      <alignment horizontal="center" vertical="center"/>
    </xf>
    <xf numFmtId="0" fontId="157" fillId="0" borderId="0" xfId="1451" applyFont="1" applyAlignment="1">
      <alignment horizontal="left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0.32908965343808672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7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7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127527</xdr:colOff>
      <xdr:row>2</xdr:row>
      <xdr:rowOff>0</xdr:rowOff>
    </xdr:from>
    <xdr:to>
      <xdr:col>21</xdr:col>
      <xdr:colOff>220362</xdr:colOff>
      <xdr:row>4</xdr:row>
      <xdr:rowOff>144029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507FE7BE-6878-462C-A665-E4EDE69A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173698">
          <a:off x="6919266" y="331304"/>
          <a:ext cx="854835" cy="442203"/>
        </a:xfrm>
        <a:prstGeom prst="rect">
          <a:avLst/>
        </a:prstGeom>
      </xdr:spPr>
    </xdr:pic>
    <xdr:clientData/>
  </xdr:twoCellAnchor>
  <xdr:twoCellAnchor>
    <xdr:from>
      <xdr:col>26</xdr:col>
      <xdr:colOff>84703</xdr:colOff>
      <xdr:row>5</xdr:row>
      <xdr:rowOff>27587</xdr:rowOff>
    </xdr:from>
    <xdr:to>
      <xdr:col>29</xdr:col>
      <xdr:colOff>266987</xdr:colOff>
      <xdr:row>16</xdr:row>
      <xdr:rowOff>117034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C33D5536-8572-4F99-BD34-0D62FCDF376A}"/>
            </a:ext>
          </a:extLst>
        </xdr:cNvPr>
        <xdr:cNvGrpSpPr/>
      </xdr:nvGrpSpPr>
      <xdr:grpSpPr>
        <a:xfrm>
          <a:off x="9584855" y="806152"/>
          <a:ext cx="1383262" cy="1745969"/>
          <a:chOff x="9713886" y="808452"/>
          <a:chExt cx="1342558" cy="1766630"/>
        </a:xfrm>
      </xdr:grpSpPr>
      <xdr:grpSp>
        <xdr:nvGrpSpPr>
          <xdr:cNvPr id="130" name="Group 13">
            <a:extLst>
              <a:ext uri="{FF2B5EF4-FFF2-40B4-BE49-F238E27FC236}">
                <a16:creationId xmlns:a16="http://schemas.microsoft.com/office/drawing/2014/main" id="{9DB17A52-6D0E-471E-AEFF-6F194540C6A9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4" name="Oval 1">
              <a:extLst>
                <a:ext uri="{FF2B5EF4-FFF2-40B4-BE49-F238E27FC236}">
                  <a16:creationId xmlns:a16="http://schemas.microsoft.com/office/drawing/2014/main" id="{DBBAB723-CE89-445E-9D2F-43AA4901F58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5" name="Straight Connector 3">
              <a:extLst>
                <a:ext uri="{FF2B5EF4-FFF2-40B4-BE49-F238E27FC236}">
                  <a16:creationId xmlns:a16="http://schemas.microsoft.com/office/drawing/2014/main" id="{EECEA846-1352-4786-8271-C747075C465F}"/>
                </a:ext>
              </a:extLst>
            </xdr:cNvPr>
            <xdr:cNvCxnSpPr>
              <a:stCxn id="171" idx="1"/>
              <a:endCxn id="17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7">
              <a:extLst>
                <a:ext uri="{FF2B5EF4-FFF2-40B4-BE49-F238E27FC236}">
                  <a16:creationId xmlns:a16="http://schemas.microsoft.com/office/drawing/2014/main" id="{19AD7FBB-605E-4AC6-8A35-5864B52B0D79}"/>
                </a:ext>
              </a:extLst>
            </xdr:cNvPr>
            <xdr:cNvCxnSpPr>
              <a:stCxn id="171" idx="3"/>
              <a:endCxn id="17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1" name="Oval 140">
            <a:extLst>
              <a:ext uri="{FF2B5EF4-FFF2-40B4-BE49-F238E27FC236}">
                <a16:creationId xmlns:a16="http://schemas.microsoft.com/office/drawing/2014/main" id="{36A5D971-BD58-49BE-88D9-094BD95FE15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14">
            <a:extLst>
              <a:ext uri="{FF2B5EF4-FFF2-40B4-BE49-F238E27FC236}">
                <a16:creationId xmlns:a16="http://schemas.microsoft.com/office/drawing/2014/main" id="{37A44265-746F-40CC-AC3C-C0AF742559E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1" name="Oval 210">
              <a:extLst>
                <a:ext uri="{FF2B5EF4-FFF2-40B4-BE49-F238E27FC236}">
                  <a16:creationId xmlns:a16="http://schemas.microsoft.com/office/drawing/2014/main" id="{D16F9905-70DA-4F2A-851D-CA97D27C529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2" name="Straight Connector 211">
              <a:extLst>
                <a:ext uri="{FF2B5EF4-FFF2-40B4-BE49-F238E27FC236}">
                  <a16:creationId xmlns:a16="http://schemas.microsoft.com/office/drawing/2014/main" id="{B667BECF-C45C-4F02-877B-11973C79CBDC}"/>
                </a:ext>
              </a:extLst>
            </xdr:cNvPr>
            <xdr:cNvCxnSpPr>
              <a:stCxn id="211" idx="1"/>
              <a:endCxn id="21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" name="Straight Connector 212">
              <a:extLst>
                <a:ext uri="{FF2B5EF4-FFF2-40B4-BE49-F238E27FC236}">
                  <a16:creationId xmlns:a16="http://schemas.microsoft.com/office/drawing/2014/main" id="{FB8223E3-981C-4F6D-B930-0BBC2C8F5789}"/>
                </a:ext>
              </a:extLst>
            </xdr:cNvPr>
            <xdr:cNvCxnSpPr>
              <a:stCxn id="211" idx="3"/>
              <a:endCxn id="21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3" name="Oval 142">
            <a:extLst>
              <a:ext uri="{FF2B5EF4-FFF2-40B4-BE49-F238E27FC236}">
                <a16:creationId xmlns:a16="http://schemas.microsoft.com/office/drawing/2014/main" id="{4DCB702C-F9E4-4C3D-9A2E-196788387F56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54B16B4-1937-483D-8B75-ECDB517A83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C9DD45D9-E5FB-4754-BB22-13CC24096E4C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5CEDDC2C-5211-4343-BF7A-164B0E8A799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F1E09E66-E364-4DB6-8B7E-7F6FB132E49C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0C61A9B0-E2B7-47BE-B008-77815F465E4C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8C9F9463-27D6-4AE3-B862-C603466BA2CE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B44A0AEA-446D-4482-849C-088F4A7030B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74C38E3-C954-435C-BAF7-5F1169C04E87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DF2C2058-713A-44D9-BBB2-A11A77CA80A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969FBC77-1964-4615-96A1-FDAFE4D36C7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105A2A21-57F6-4D3E-8497-7BF3578556F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19F12A18-DCA3-493E-A6F0-80AB92213C4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50">
            <a:extLst>
              <a:ext uri="{FF2B5EF4-FFF2-40B4-BE49-F238E27FC236}">
                <a16:creationId xmlns:a16="http://schemas.microsoft.com/office/drawing/2014/main" id="{CCB71DB7-0BBA-4C68-A9C8-04C10A1CE4D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152152BE-7AD7-4697-AAC8-EE30720EEAC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52">
            <a:extLst>
              <a:ext uri="{FF2B5EF4-FFF2-40B4-BE49-F238E27FC236}">
                <a16:creationId xmlns:a16="http://schemas.microsoft.com/office/drawing/2014/main" id="{D6576A52-6D6F-46BF-91FF-E1EB2E2E0191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85F391AB-4095-47D2-8CDE-DA271247830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C3F8ECD9-F40D-47D0-8F1B-DFFB4CC6A103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5BC8C214-766B-4E29-A663-EB9A3FEC830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02135B16-7202-4737-8B80-E21997D4199A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67C1C4ED-9C1E-4AF7-99B5-8012FCDDE195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0638864E-DB5E-4493-8A47-4767A352AC3C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5D6A219-15EA-44EB-9745-5A944F4C666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1" name="Isosceles Triangle 180">
            <a:extLst>
              <a:ext uri="{FF2B5EF4-FFF2-40B4-BE49-F238E27FC236}">
                <a16:creationId xmlns:a16="http://schemas.microsoft.com/office/drawing/2014/main" id="{78705893-4EFD-4CFE-AD8B-26D8BD4E910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2" name="Isosceles Triangle 181">
            <a:extLst>
              <a:ext uri="{FF2B5EF4-FFF2-40B4-BE49-F238E27FC236}">
                <a16:creationId xmlns:a16="http://schemas.microsoft.com/office/drawing/2014/main" id="{2DE062EF-9F86-40C3-AA74-F92F6AD1907A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3" name="Group 73">
            <a:extLst>
              <a:ext uri="{FF2B5EF4-FFF2-40B4-BE49-F238E27FC236}">
                <a16:creationId xmlns:a16="http://schemas.microsoft.com/office/drawing/2014/main" id="{64586138-F073-47FC-B42E-03B11B672228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0AADDB58-2742-4481-8A75-C6FA6CF694E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0" name="Straight Connector 209">
              <a:extLst>
                <a:ext uri="{FF2B5EF4-FFF2-40B4-BE49-F238E27FC236}">
                  <a16:creationId xmlns:a16="http://schemas.microsoft.com/office/drawing/2014/main" id="{AAB7294D-01C1-4037-A97B-9E9977C253F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4" name="Group 74">
            <a:extLst>
              <a:ext uri="{FF2B5EF4-FFF2-40B4-BE49-F238E27FC236}">
                <a16:creationId xmlns:a16="http://schemas.microsoft.com/office/drawing/2014/main" id="{27D20936-7B90-4B5A-9A3A-19B16BDF11D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7" name="TextBox 206">
              <a:extLst>
                <a:ext uri="{FF2B5EF4-FFF2-40B4-BE49-F238E27FC236}">
                  <a16:creationId xmlns:a16="http://schemas.microsoft.com/office/drawing/2014/main" id="{912B6070-49A2-431E-B5CD-037BB10356D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6D578C6B-4CBA-45DA-8D66-6BE18FDD84B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" name="Group 89">
            <a:extLst>
              <a:ext uri="{FF2B5EF4-FFF2-40B4-BE49-F238E27FC236}">
                <a16:creationId xmlns:a16="http://schemas.microsoft.com/office/drawing/2014/main" id="{72AA2B44-1EC7-4EE7-B0E4-724A9D9DB714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ED6AF599-6F38-42DE-AE9C-640AD3809BE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4" name="Straight Connector 79">
              <a:extLst>
                <a:ext uri="{FF2B5EF4-FFF2-40B4-BE49-F238E27FC236}">
                  <a16:creationId xmlns:a16="http://schemas.microsoft.com/office/drawing/2014/main" id="{8140056D-0857-47EA-938A-8E68BC7A39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80">
              <a:extLst>
                <a:ext uri="{FF2B5EF4-FFF2-40B4-BE49-F238E27FC236}">
                  <a16:creationId xmlns:a16="http://schemas.microsoft.com/office/drawing/2014/main" id="{F4950445-3E97-4872-A390-C7B05852015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88">
              <a:extLst>
                <a:ext uri="{FF2B5EF4-FFF2-40B4-BE49-F238E27FC236}">
                  <a16:creationId xmlns:a16="http://schemas.microsoft.com/office/drawing/2014/main" id="{339E48A1-00DC-4B4D-BFD7-E100513B6CB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Group 90">
            <a:extLst>
              <a:ext uri="{FF2B5EF4-FFF2-40B4-BE49-F238E27FC236}">
                <a16:creationId xmlns:a16="http://schemas.microsoft.com/office/drawing/2014/main" id="{E08897BF-3163-4AFF-87D1-161783F25BF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99" name="Straight Connector 198">
              <a:extLst>
                <a:ext uri="{FF2B5EF4-FFF2-40B4-BE49-F238E27FC236}">
                  <a16:creationId xmlns:a16="http://schemas.microsoft.com/office/drawing/2014/main" id="{13A5B742-4832-4485-9ED0-EDF1E854EBD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0" name="Straight Connector 199">
              <a:extLst>
                <a:ext uri="{FF2B5EF4-FFF2-40B4-BE49-F238E27FC236}">
                  <a16:creationId xmlns:a16="http://schemas.microsoft.com/office/drawing/2014/main" id="{D76976A9-F4C3-4284-B520-AE7AD819BE0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200">
              <a:extLst>
                <a:ext uri="{FF2B5EF4-FFF2-40B4-BE49-F238E27FC236}">
                  <a16:creationId xmlns:a16="http://schemas.microsoft.com/office/drawing/2014/main" id="{1984B5B1-EA8F-4D5F-AEB8-1D66FCE9CBA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47D6A73B-2BFF-4E2A-A5C8-155A8AB43A4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4D33932A-6CB2-47DC-8C29-6EFF24C145A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745D1C17-B0F5-4A7B-B0E1-D9024E26029B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Arrow Connector 188">
            <a:extLst>
              <a:ext uri="{FF2B5EF4-FFF2-40B4-BE49-F238E27FC236}">
                <a16:creationId xmlns:a16="http://schemas.microsoft.com/office/drawing/2014/main" id="{7C7F7715-1FDE-48DE-B521-BB6870D96E0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Arrow Connector 189">
            <a:extLst>
              <a:ext uri="{FF2B5EF4-FFF2-40B4-BE49-F238E27FC236}">
                <a16:creationId xmlns:a16="http://schemas.microsoft.com/office/drawing/2014/main" id="{4AF68726-3162-46B4-BE1C-B585C78F6F2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1" name="Group 155">
            <a:extLst>
              <a:ext uri="{FF2B5EF4-FFF2-40B4-BE49-F238E27FC236}">
                <a16:creationId xmlns:a16="http://schemas.microsoft.com/office/drawing/2014/main" id="{E92050FF-1455-4C50-8BF7-C388FB94545A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96" name="Isosceles Triangle 195">
              <a:extLst>
                <a:ext uri="{FF2B5EF4-FFF2-40B4-BE49-F238E27FC236}">
                  <a16:creationId xmlns:a16="http://schemas.microsoft.com/office/drawing/2014/main" id="{EBA0687D-AF80-426A-A7C7-7C5AB9154AC9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7" name="Isosceles Triangle 196">
              <a:extLst>
                <a:ext uri="{FF2B5EF4-FFF2-40B4-BE49-F238E27FC236}">
                  <a16:creationId xmlns:a16="http://schemas.microsoft.com/office/drawing/2014/main" id="{CBA95FEA-A32E-4D76-933F-E8515C3E184D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8" name="Isosceles Triangle 197">
              <a:extLst>
                <a:ext uri="{FF2B5EF4-FFF2-40B4-BE49-F238E27FC236}">
                  <a16:creationId xmlns:a16="http://schemas.microsoft.com/office/drawing/2014/main" id="{BF04C106-547F-44DA-8F12-702C11836D4C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2" name="Group 134">
            <a:extLst>
              <a:ext uri="{FF2B5EF4-FFF2-40B4-BE49-F238E27FC236}">
                <a16:creationId xmlns:a16="http://schemas.microsoft.com/office/drawing/2014/main" id="{73A8B67A-53FF-4DDC-8EF6-81D8F9BA881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93" name="Isosceles Triangle 192">
              <a:extLst>
                <a:ext uri="{FF2B5EF4-FFF2-40B4-BE49-F238E27FC236}">
                  <a16:creationId xmlns:a16="http://schemas.microsoft.com/office/drawing/2014/main" id="{BB65D784-A068-4277-8509-CA127FD5F2E2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4" name="Isosceles Triangle 193">
              <a:extLst>
                <a:ext uri="{FF2B5EF4-FFF2-40B4-BE49-F238E27FC236}">
                  <a16:creationId xmlns:a16="http://schemas.microsoft.com/office/drawing/2014/main" id="{DD15FA13-C323-4824-A6BD-8B7877FC4992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5" name="Isosceles Triangle 194">
              <a:extLst>
                <a:ext uri="{FF2B5EF4-FFF2-40B4-BE49-F238E27FC236}">
                  <a16:creationId xmlns:a16="http://schemas.microsoft.com/office/drawing/2014/main" id="{6590BCA1-8C61-4476-AEEE-0F16958FB6B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372718</xdr:colOff>
      <xdr:row>11</xdr:row>
      <xdr:rowOff>33815</xdr:rowOff>
    </xdr:from>
    <xdr:to>
      <xdr:col>10</xdr:col>
      <xdr:colOff>14130</xdr:colOff>
      <xdr:row>33</xdr:row>
      <xdr:rowOff>101050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D2B7AB06-A0B0-46E1-8204-5906E39681B4}"/>
            </a:ext>
          </a:extLst>
        </xdr:cNvPr>
        <xdr:cNvCxnSpPr/>
      </xdr:nvCxnSpPr>
      <xdr:spPr>
        <a:xfrm>
          <a:off x="3354457" y="1706902"/>
          <a:ext cx="22412" cy="335543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18516</xdr:colOff>
      <xdr:row>14</xdr:row>
      <xdr:rowOff>38977</xdr:rowOff>
    </xdr:from>
    <xdr:to>
      <xdr:col>9</xdr:col>
      <xdr:colOff>137859</xdr:colOff>
      <xdr:row>18</xdr:row>
      <xdr:rowOff>113520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D58FADEC-2D8F-4CB9-B599-37D687F9400B}"/>
            </a:ext>
          </a:extLst>
        </xdr:cNvPr>
        <xdr:cNvSpPr txBox="1"/>
      </xdr:nvSpPr>
      <xdr:spPr>
        <a:xfrm>
          <a:off x="2237281" y="2235330"/>
          <a:ext cx="881343" cy="70207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ASFURIAH</a:t>
          </a:r>
          <a:endParaRPr lang="id-ID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86139</xdr:colOff>
      <xdr:row>20</xdr:row>
      <xdr:rowOff>68571</xdr:rowOff>
    </xdr:from>
    <xdr:to>
      <xdr:col>9</xdr:col>
      <xdr:colOff>215967</xdr:colOff>
      <xdr:row>21</xdr:row>
      <xdr:rowOff>40681</xdr:rowOff>
    </xdr:to>
    <xdr:grpSp>
      <xdr:nvGrpSpPr>
        <xdr:cNvPr id="221" name="Group 220">
          <a:extLst>
            <a:ext uri="{FF2B5EF4-FFF2-40B4-BE49-F238E27FC236}">
              <a16:creationId xmlns:a16="http://schemas.microsoft.com/office/drawing/2014/main" id="{C1B1B205-EC8E-4754-A0D1-E32E38BF7F11}"/>
            </a:ext>
          </a:extLst>
        </xdr:cNvPr>
        <xdr:cNvGrpSpPr/>
      </xdr:nvGrpSpPr>
      <xdr:grpSpPr>
        <a:xfrm>
          <a:off x="3067878" y="3100006"/>
          <a:ext cx="129828" cy="12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2" name="Oval 221">
            <a:extLst>
              <a:ext uri="{FF2B5EF4-FFF2-40B4-BE49-F238E27FC236}">
                <a16:creationId xmlns:a16="http://schemas.microsoft.com/office/drawing/2014/main" id="{293627A0-F362-4AB4-AC49-D41C457068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019F88A2-A25B-4C71-A332-1DA643023A6A}"/>
              </a:ext>
            </a:extLst>
          </xdr:cNvPr>
          <xdr:cNvCxnSpPr>
            <a:stCxn id="222" idx="1"/>
            <a:endCxn id="2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8CCCD940-501A-4275-8A70-3CD2250C4001}"/>
              </a:ext>
            </a:extLst>
          </xdr:cNvPr>
          <xdr:cNvCxnSpPr>
            <a:stCxn id="222" idx="3"/>
            <a:endCxn id="2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337443</xdr:colOff>
      <xdr:row>18</xdr:row>
      <xdr:rowOff>114466</xdr:rowOff>
    </xdr:from>
    <xdr:to>
      <xdr:col>9</xdr:col>
      <xdr:colOff>99319</xdr:colOff>
      <xdr:row>19</xdr:row>
      <xdr:rowOff>90934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8000B6C8-B98F-4011-8845-6B370386F28C}"/>
            </a:ext>
          </a:extLst>
        </xdr:cNvPr>
        <xdr:cNvSpPr txBox="1"/>
      </xdr:nvSpPr>
      <xdr:spPr>
        <a:xfrm flipH="1">
          <a:off x="2937208" y="2938348"/>
          <a:ext cx="142876" cy="133351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id-ID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151053</xdr:colOff>
      <xdr:row>21</xdr:row>
      <xdr:rowOff>40681</xdr:rowOff>
    </xdr:from>
    <xdr:to>
      <xdr:col>9</xdr:col>
      <xdr:colOff>157370</xdr:colOff>
      <xdr:row>32</xdr:row>
      <xdr:rowOff>140804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3D7E686C-41CD-40EB-9A82-71083C7C0B52}"/>
            </a:ext>
          </a:extLst>
        </xdr:cNvPr>
        <xdr:cNvCxnSpPr>
          <a:stCxn id="222" idx="4"/>
        </xdr:cNvCxnSpPr>
      </xdr:nvCxnSpPr>
      <xdr:spPr>
        <a:xfrm>
          <a:off x="3131818" y="3335210"/>
          <a:ext cx="6317" cy="1814623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2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20</v>
      </c>
      <c r="G14" s="41">
        <f ca="1">IF(ISERROR(OFFSET('HARGA SATUAN'!$I$6,MATCH(C14,'HARGA SATUAN'!$C$7:$C$1492,0),0)),"",OFFSET('HARGA SATUAN'!$I$6,MATCH(C14,'HARGA SATUAN'!$C$7:$C$1492,0),0))</f>
        <v>6600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SUMIFS(RAB!$F$14:$F$30,RAB!$C$14:$C$30,C714)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SUMIFS(RAB!$F$14:$F$30,RAB!$C$14:$C$30,C715)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SUMIFS(RAB!$F$14:$F$30,RAB!$C$14:$C$30,C716)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SUMIFS(RAB!$F$14:$F$30,RAB!$C$14:$C$30,C717)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SUMIFS(RAB!$F$14:$F$30,RAB!$C$14:$C$30,C718)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SUMIFS(RAB!$F$14:$F$30,RAB!$C$14:$C$30,C719)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SUMIFS(RAB!$F$14:$F$30,RAB!$C$14:$C$30,C720)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SUMIFS(RAB!$F$14:$F$30,RAB!$C$14:$C$30,C721)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SUMIFS(RAB!$F$14:$F$30,RAB!$C$14:$C$30,C722)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SUMIFS(RAB!$F$14:$F$30,RAB!$C$14:$C$30,C723)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SUMIFS(RAB!$F$14:$F$30,RAB!$C$14:$C$30,C724)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SUMIFS(RAB!$F$14:$F$30,RAB!$C$14:$C$30,C725)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SUMIFS(RAB!$F$14:$F$30,RAB!$C$14:$C$30,C726)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SUMIFS(RAB!$F$14:$F$30,RAB!$C$14:$C$30,C727)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SUMIFS(RAB!$F$14:$F$30,RAB!$C$14:$C$30,C728)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SUMIFS(RAB!$F$14:$F$30,RAB!$C$14:$C$30,C729)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SUMIFS(RAB!$F$14:$F$30,RAB!$C$14:$C$30,C730)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SUMIFS(RAB!$F$14:$F$30,RAB!$C$14:$C$30,C731)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SUMIFS(RAB!$F$14:$F$30,RAB!$C$14:$C$30,C732)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SUMIFS(RAB!$F$14:$F$30,RAB!$C$14:$C$30,C733)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SUMIFS(RAB!$F$14:$F$30,RAB!$C$14:$C$30,C734)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SUMIFS(RAB!$F$14:$F$30,RAB!$C$14:$C$30,C735)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SUMIFS(RAB!$F$14:$F$30,RAB!$C$14:$C$30,C736)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SUMIFS(RAB!$F$14:$F$30,RAB!$C$14:$C$30,C737)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SUMIFS(RAB!$F$14:$F$30,RAB!$C$14:$C$30,C738)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SUMIFS(RAB!$F$14:$F$30,RAB!$C$14:$C$30,C739)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SUMIFS(RAB!$F$14:$F$30,RAB!$C$14:$C$30,C740)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SUMIFS(RAB!$F$14:$F$30,RAB!$C$14:$C$30,C741)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SUMIFS(RAB!$F$14:$F$30,RAB!$C$14:$C$30,C742)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SUMIFS(RAB!$F$14:$F$30,RAB!$C$14:$C$30,C743)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SUMIFS(RAB!$F$14:$F$30,RAB!$C$14:$C$30,C744)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SUMIFS(RAB!$F$14:$F$30,RAB!$C$14:$C$30,C745)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SUMIFS(RAB!$F$14:$F$30,RAB!$C$14:$C$30,C746)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SUMIFS(RAB!$F$14:$F$30,RAB!$C$14:$C$30,C747)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SUMIFS(RAB!$F$14:$F$30,RAB!$C$14:$C$30,C748)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SUMIFS(RAB!$F$14:$F$30,RAB!$C$14:$C$30,C749)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SUMIFS(RAB!$F$14:$F$30,RAB!$C$14:$C$30,C750)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SUMIFS(RAB!$F$14:$F$30,RAB!$C$14:$C$30,C751)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SUMIFS(RAB!$F$14:$F$30,RAB!$C$14:$C$30,C752)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SUMIFS(RAB!$F$14:$F$30,RAB!$C$14:$C$30,C753)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SUMIFS(RAB!$F$14:$F$30,RAB!$C$14:$C$30,C754)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SUMIFS(RAB!$F$14:$F$30,RAB!$C$14:$C$30,C755)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SUMIFS(RAB!$F$14:$F$30,RAB!$C$14:$C$30,C756)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SUMIFS(RAB!$F$14:$F$30,RAB!$C$14:$C$30,C757)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SUMIFS(RAB!$F$14:$F$30,RAB!$C$14:$C$30,C758)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SUMIFS(RAB!$F$14:$F$30,RAB!$C$14:$C$30,C759)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SUMIFS(RAB!$F$14:$F$30,RAB!$C$14:$C$30,C760)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SUMIFS(RAB!$F$14:$F$30,RAB!$C$14:$C$30,C761)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SUMIFS(RAB!$F$14:$F$30,RAB!$C$14:$C$30,C762)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SUMIFS(RAB!$F$14:$F$30,RAB!$C$14:$C$30,C763)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SUMIFS(RAB!$F$14:$F$30,RAB!$C$14:$C$30,C764)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SUMIFS(RAB!$F$14:$F$30,RAB!$C$14:$C$30,C765)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SUMIFS(RAB!$F$14:$F$30,RAB!$C$14:$C$30,C766)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SUMIFS(RAB!$F$14:$F$30,RAB!$C$14:$C$30,C767)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SUMIFS(RAB!$F$14:$F$30,RAB!$C$14:$C$30,C768)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SUMIFS(RAB!$F$14:$F$30,RAB!$C$14:$C$30,C769)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SUMIFS(RAB!$F$14:$F$30,RAB!$C$14:$C$30,C770)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SUMIFS(RAB!$F$14:$F$30,RAB!$C$14:$C$30,C771)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SUMIFS(RAB!$F$14:$F$30,RAB!$C$14:$C$30,C772)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SUMIFS(RAB!$F$14:$F$30,RAB!$C$14:$C$30,C773)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SUMIFS(RAB!$F$14:$F$30,RAB!$C$14:$C$30,C774)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SUMIFS(RAB!$F$14:$F$30,RAB!$C$14:$C$30,C775)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SUMIFS(RAB!$F$14:$F$30,RAB!$C$14:$C$30,C776)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SUMIFS(RAB!$F$14:$F$30,RAB!$C$14:$C$30,C777)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SUMIFS(RAB!$F$14:$F$30,RAB!$C$14:$C$30,C778)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SUMIFS(RAB!$F$14:$F$30,RAB!$C$14:$C$30,C779)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SUMIFS(RAB!$F$14:$F$30,RAB!$C$14:$C$30,C780)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SUMIFS(RAB!$F$14:$F$30,RAB!$C$14:$C$30,C781)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SUMIFS(RAB!$F$14:$F$30,RAB!$C$14:$C$30,C782)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SUMIFS(RAB!$F$14:$F$30,RAB!$C$14:$C$30,C783)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SUMIFS(RAB!$F$14:$F$30,RAB!$C$14:$C$30,C784)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SUMIFS(RAB!$F$14:$F$30,RAB!$C$14:$C$30,C785)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SUMIFS(RAB!$F$14:$F$30,RAB!$C$14:$C$30,C786)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SUMIFS(RAB!$F$14:$F$30,RAB!$C$14:$C$30,C787)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SUMIFS(RAB!$F$14:$F$30,RAB!$C$14:$C$30,C788)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SUMIFS(RAB!$F$14:$F$30,RAB!$C$14:$C$30,C789)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SUMIFS(RAB!$F$14:$F$30,RAB!$C$14:$C$30,C790)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SUMIFS(RAB!$F$14:$F$30,RAB!$C$14:$C$30,C791)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SUMIFS(RAB!$F$14:$F$30,RAB!$C$14:$C$30,C792)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SUMIFS(RAB!$F$14:$F$30,RAB!$C$14:$C$30,C793)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SUMIFS(RAB!$F$14:$F$30,RAB!$C$14:$C$30,C794)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SUMIFS(RAB!$F$14:$F$30,RAB!$C$14:$C$30,C795)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SUMIFS(RAB!$F$14:$F$30,RAB!$C$14:$C$30,C796)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SUMIFS(RAB!$F$14:$F$30,RAB!$C$14:$C$30,C797)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SUMIFS(RAB!$F$14:$F$30,RAB!$C$14:$C$30,C798)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SUMIFS(RAB!$F$14:$F$30,RAB!$C$14:$C$30,C799)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SUMIFS(RAB!$F$14:$F$30,RAB!$C$14:$C$30,C800)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SUMIFS(RAB!$F$14:$F$30,RAB!$C$14:$C$30,C801)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SUMIFS(RAB!$F$14:$F$30,RAB!$C$14:$C$30,C802)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SUMIFS(RAB!$F$14:$F$30,RAB!$C$14:$C$30,C803)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SUMIFS(RAB!$F$14:$F$30,RAB!$C$14:$C$30,C804)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SUMIFS(RAB!$F$14:$F$30,RAB!$C$14:$C$30,C805)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SUMIFS(RAB!$F$14:$F$30,RAB!$C$14:$C$30,C806)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SUMIFS(RAB!$F$14:$F$30,RAB!$C$14:$C$30,C807)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SUMIFS(RAB!$F$14:$F$30,RAB!$C$14:$C$30,C808)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SUMIFS(RAB!$F$14:$F$30,RAB!$C$14:$C$30,C809)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SUMIFS(RAB!$F$14:$F$30,RAB!$C$14:$C$30,C810)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SUMIFS(RAB!$F$14:$F$30,RAB!$C$14:$C$30,C811)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SUMIFS(RAB!$F$14:$F$30,RAB!$C$14:$C$30,C812)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SUMIFS(RAB!$F$14:$F$30,RAB!$C$14:$C$30,C813)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SUMIFS(RAB!$F$14:$F$30,RAB!$C$14:$C$30,C814)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SUMIFS(RAB!$F$14:$F$30,RAB!$C$14:$C$30,C815)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SUMIFS(RAB!$F$14:$F$30,RAB!$C$14:$C$30,C816)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SUMIFS(RAB!$F$14:$F$30,RAB!$C$14:$C$30,C817)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SUMIFS(RAB!$F$14:$F$30,RAB!$C$14:$C$30,C818)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SUMIFS(RAB!$F$14:$F$30,RAB!$C$14:$C$30,C819)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SUMIFS(RAB!$F$14:$F$30,RAB!$C$14:$C$30,C820)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SUMIFS(RAB!$F$14:$F$30,RAB!$C$14:$C$30,C821)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SUMIFS(RAB!$F$14:$F$30,RAB!$C$14:$C$30,C822)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SUMIFS(RAB!$F$14:$F$30,RAB!$C$14:$C$30,C823)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SUMIFS(RAB!$F$14:$F$30,RAB!$C$14:$C$30,C824)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SUMIFS(RAB!$F$14:$F$30,RAB!$C$14:$C$30,C825)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SUMIFS(RAB!$F$14:$F$30,RAB!$C$14:$C$30,C826)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SUMIFS(RAB!$F$14:$F$30,RAB!$C$14:$C$30,C827)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SUMIFS(RAB!$F$14:$F$30,RAB!$C$14:$C$30,C828)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SUMIFS(RAB!$F$14:$F$30,RAB!$C$14:$C$30,C829)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SUMIFS(RAB!$F$14:$F$30,RAB!$C$14:$C$30,C830)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SUMIFS(RAB!$F$14:$F$30,RAB!$C$14:$C$30,C831)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SUMIFS(RAB!$F$14:$F$30,RAB!$C$14:$C$30,C832)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SUMIFS(RAB!$F$14:$F$30,RAB!$C$14:$C$30,C833)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SUMIFS(RAB!$F$14:$F$30,RAB!$C$14:$C$30,C834)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SUMIFS(RAB!$F$14:$F$30,RAB!$C$14:$C$30,C835)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SUMIFS(RAB!$F$14:$F$30,RAB!$C$14:$C$30,C836)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SUMIFS(RAB!$F$14:$F$30,RAB!$C$14:$C$30,C837)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SUMIFS(RAB!$F$14:$F$30,RAB!$C$14:$C$30,C838)</f>
        <v>20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SUMIFS(RAB!$F$14:$F$30,RAB!$C$14:$C$30,C839)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SUMIFS(RAB!$F$14:$F$30,RAB!$C$14:$C$30,C840)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SUMIFS(RAB!$F$14:$F$30,RAB!$C$14:$C$30,C841)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SUMIFS(RAB!$F$14:$F$30,RAB!$C$14:$C$30,C842)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SUMIFS(RAB!$F$14:$F$30,RAB!$C$14:$C$30,C843)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SUMIFS(RAB!$F$14:$F$30,RAB!$C$14:$C$30,C844)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SUMIFS(RAB!$F$14:$F$30,RAB!$C$14:$C$30,C845)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SUMIFS(RAB!$F$14:$F$30,RAB!$C$14:$C$30,C846)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SUMIFS(RAB!$F$14:$F$30,RAB!$C$14:$C$30,C847)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SUMIFS(RAB!$F$14:$F$30,RAB!$C$14:$C$30,C848)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SUMIFS(RAB!$F$14:$F$30,RAB!$C$14:$C$30,C849)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SUMIFS(RAB!$F$14:$F$30,RAB!$C$14:$C$30,C850)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SUMIFS(RAB!$F$14:$F$30,RAB!$C$14:$C$30,C851)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SUMIFS(RAB!$F$14:$F$30,RAB!$C$14:$C$30,C852)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SUMIFS(RAB!$F$14:$F$30,RAB!$C$14:$C$30,C853)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SUMIFS(RAB!$F$14:$F$30,RAB!$C$14:$C$30,C854)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SUMIFS(RAB!$F$14:$F$30,RAB!$C$14:$C$30,C855)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SUMIFS(RAB!$F$14:$F$30,RAB!$C$14:$C$30,C856)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SUMIFS(RAB!$F$14:$F$30,RAB!$C$14:$C$30,C857)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SUMIFS(RAB!$F$14:$F$30,RAB!$C$14:$C$30,C858)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SUMIFS(RAB!$F$14:$F$30,RAB!$C$14:$C$30,C859)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SUMIFS(RAB!$F$14:$F$30,RAB!$C$14:$C$30,C860)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SUMIFS(RAB!$F$14:$F$30,RAB!$C$14:$C$30,C861)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SUMIFS(RAB!$F$14:$F$30,RAB!$C$14:$C$30,C862)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SUMIFS(RAB!$F$14:$F$30,RAB!$C$14:$C$30,C863)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SUMIFS(RAB!$F$14:$F$30,RAB!$C$14:$C$30,C864)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SUMIFS(RAB!$F$14:$F$30,RAB!$C$14:$C$30,C865)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SUMIFS(RAB!$F$14:$F$30,RAB!$C$14:$C$30,C866)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SUMIFS(RAB!$F$14:$F$30,RAB!$C$14:$C$30,C867)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SUMIFS(RAB!$F$14:$F$30,RAB!$C$14:$C$30,C868)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SUMIFS(RAB!$F$14:$F$30,RAB!$C$14:$C$30,C869)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SUMIFS(RAB!$F$14:$F$30,RAB!$C$14:$C$30,C870)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SUMIFS(RAB!$F$14:$F$30,RAB!$C$14:$C$30,C871)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SUMIFS(RAB!$F$14:$F$30,RAB!$C$14:$C$30,C872)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SUMIFS(RAB!$F$14:$F$30,RAB!$C$14:$C$30,C873)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SUMIFS(RAB!$F$14:$F$30,RAB!$C$14:$C$30,C874)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SUMIFS(RAB!$F$14:$F$30,RAB!$C$14:$C$30,C875)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SUMIFS(RAB!$F$14:$F$30,RAB!$C$14:$C$30,C876)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SUMIFS(RAB!$F$14:$F$30,RAB!$C$14:$C$30,C877)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SUMIFS(RAB!$F$14:$F$30,RAB!$C$14:$C$30,C878)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SUMIFS(RAB!$F$14:$F$30,RAB!$C$14:$C$30,C879)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SUMIFS(RAB!$F$14:$F$30,RAB!$C$14:$C$30,C880)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SUMIFS(RAB!$F$14:$F$30,RAB!$C$14:$C$30,C881)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SUMIFS(RAB!$F$14:$F$30,RAB!$C$14:$C$30,C882)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SUMIFS(RAB!$F$14:$F$30,RAB!$C$14:$C$30,C883)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SUMIFS(RAB!$F$14:$F$30,RAB!$C$14:$C$30,C884)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SUMIFS(RAB!$F$14:$F$30,RAB!$C$14:$C$30,C885)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SUMIFS(RAB!$F$14:$F$30,RAB!$C$14:$C$30,C886)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SUMIFS(RAB!$F$14:$F$30,RAB!$C$14:$C$30,C887)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SUMIFS(RAB!$F$14:$F$30,RAB!$C$14:$C$30,C888)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SUMIFS(RAB!$F$14:$F$30,RAB!$C$14:$C$30,C889)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SUMIFS(RAB!$F$14:$F$30,RAB!$C$14:$C$30,C890)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SUMIFS(RAB!$F$14:$F$30,RAB!$C$14:$C$30,C891)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SUMIFS(RAB!$F$14:$F$30,RAB!$C$14:$C$30,C892)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SUMIFS(RAB!$F$14:$F$30,RAB!$C$14:$C$30,C893)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SUMIFS(RAB!$F$14:$F$30,RAB!$C$14:$C$30,C894)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SUMIFS(RAB!$F$14:$F$30,RAB!$C$14:$C$30,C895)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SUMIFS(RAB!$F$14:$F$30,RAB!$C$14:$C$30,C896)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SUMIFS(RAB!$F$14:$F$30,RAB!$C$14:$C$30,C897)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SUMIFS(RAB!$F$14:$F$30,RAB!$C$14:$C$30,C898)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SUMIFS(RAB!$F$14:$F$30,RAB!$C$14:$C$30,C899)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SUMIFS(RAB!$F$14:$F$30,RAB!$C$14:$C$30,C900)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SUMIFS(RAB!$F$14:$F$30,RAB!$C$14:$C$30,C901)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SUMIFS(RAB!$F$14:$F$30,RAB!$C$14:$C$30,C902)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SUMIFS(RAB!$F$14:$F$30,RAB!$C$14:$C$30,C903)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SUMIFS(RAB!$F$14:$F$30,RAB!$C$14:$C$30,C904)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SUMIFS(RAB!$F$14:$F$30,RAB!$C$14:$C$30,C905)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SUMIFS(RAB!$F$14:$F$30,RAB!$C$14:$C$30,C906)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SUMIFS(RAB!$F$14:$F$30,RAB!$C$14:$C$30,C907)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SUMIFS(RAB!$F$14:$F$30,RAB!$C$14:$C$30,C908)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SUMIFS(RAB!$F$14:$F$30,RAB!$C$14:$C$30,C909)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SUMIFS(RAB!$F$14:$F$30,RAB!$C$14:$C$30,C910)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SUMIFS(RAB!$F$14:$F$30,RAB!$C$14:$C$30,C911)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SUMIFS(RAB!$F$14:$F$30,RAB!$C$14:$C$30,C912)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SUMIFS(RAB!$F$14:$F$30,RAB!$C$14:$C$30,C913)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SUMIFS(RAB!$F$14:$F$30,RAB!$C$14:$C$30,C914)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SUMIFS(RAB!$F$14:$F$30,RAB!$C$14:$C$30,C915)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SUMIFS(RAB!$F$14:$F$30,RAB!$C$14:$C$30,C916)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SUMIFS(RAB!$F$14:$F$30,RAB!$C$14:$C$30,C917)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SUMIFS(RAB!$F$14:$F$30,RAB!$C$14:$C$30,C918)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SUMIFS(RAB!$F$14:$F$30,RAB!$C$14:$C$30,C919)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SUMIFS(RAB!$F$14:$F$30,RAB!$C$14:$C$30,C920)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SUMIFS(RAB!$F$14:$F$30,RAB!$C$14:$C$30,C921)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SUMIFS(RAB!$F$14:$F$30,RAB!$C$14:$C$30,C922)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SUMIFS(RAB!$F$14:$F$30,RAB!$C$14:$C$30,C923)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SUMIFS(RAB!$F$14:$F$30,RAB!$C$14:$C$30,C924)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SUMIFS(RAB!$F$14:$F$30,RAB!$C$14:$C$30,C925)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SUMIFS(RAB!$F$14:$F$30,RAB!$C$14:$C$30,C926)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SUMIFS(RAB!$F$14:$F$30,RAB!$C$14:$C$30,C927)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SUMIFS(RAB!$F$14:$F$30,RAB!$C$14:$C$30,C928)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SUMIFS(RAB!$F$14:$F$30,RAB!$C$14:$C$30,C929)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SUMIFS(RAB!$F$14:$F$30,RAB!$C$14:$C$30,C930)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SUMIFS(RAB!$F$14:$F$30,RAB!$C$14:$C$30,C931)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SUMIFS(RAB!$F$14:$F$30,RAB!$C$14:$C$30,C932)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SUMIFS(RAB!$F$14:$F$30,RAB!$C$14:$C$30,C933)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SUMIFS(RAB!$F$14:$F$30,RAB!$C$14:$C$30,C934)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SUMIFS(RAB!$F$14:$F$30,RAB!$C$14:$C$30,C935)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SUMIFS(RAB!$F$14:$F$30,RAB!$C$14:$C$30,C936)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SUMIFS(RAB!$F$14:$F$30,RAB!$C$14:$C$30,C937)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SUMIFS(RAB!$F$14:$F$30,RAB!$C$14:$C$30,C938)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SUMIFS(RAB!$F$14:$F$30,RAB!$C$14:$C$30,C939)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SUMIFS(RAB!$F$14:$F$30,RAB!$C$14:$C$30,C940)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SUMIFS(RAB!$F$14:$F$30,RAB!$C$14:$C$30,C941)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SUMIFS(RAB!$F$14:$F$30,RAB!$C$14:$C$30,C942)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SUMIFS(RAB!$F$14:$F$30,RAB!$C$14:$C$30,C943)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SUMIFS(RAB!$F$14:$F$30,RAB!$C$14:$C$30,C944)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SUMIFS(RAB!$F$14:$F$30,RAB!$C$14:$C$30,C945)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SUMIFS(RAB!$F$14:$F$30,RAB!$C$14:$C$30,C946)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SUMIFS(RAB!$F$14:$F$30,RAB!$C$14:$C$30,C947)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SUMIFS(RAB!$F$14:$F$30,RAB!$C$14:$C$30,C948)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SUMIFS(RAB!$F$14:$F$30,RAB!$C$14:$C$30,C949)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SUMIFS(RAB!$F$14:$F$30,RAB!$C$14:$C$30,C950)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SUMIFS(RAB!$F$14:$F$30,RAB!$C$14:$C$30,C951)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SUMIFS(RAB!$F$14:$F$30,RAB!$C$14:$C$30,C952)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SUMIFS(RAB!$F$14:$F$30,RAB!$C$14:$C$30,C953)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SUMIFS(RAB!$F$14:$F$30,RAB!$C$14:$C$30,C954)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SUMIFS(RAB!$F$14:$F$30,RAB!$C$14:$C$30,C955)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SUMIFS(RAB!$F$14:$F$30,RAB!$C$14:$C$30,C956)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SUMIFS(RAB!$F$14:$F$30,RAB!$C$14:$C$30,C957)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SUMIFS(RAB!$F$14:$F$30,RAB!$C$14:$C$30,C958)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SUMIFS(RAB!$F$14:$F$30,RAB!$C$14:$C$30,C959)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SUMIFS(RAB!$F$14:$F$30,RAB!$C$14:$C$30,C960)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SUMIFS(RAB!$F$14:$F$30,RAB!$C$14:$C$30,C961)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SUMIFS(RAB!$F$14:$F$30,RAB!$C$14:$C$30,C962)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SUMIFS(RAB!$F$14:$F$30,RAB!$C$14:$C$30,C963)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SUMIFS(RAB!$F$14:$F$30,RAB!$C$14:$C$30,C964)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SUMIFS(RAB!$F$14:$F$30,RAB!$C$14:$C$30,C965)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SUMIFS(RAB!$F$14:$F$30,RAB!$C$14:$C$30,C966)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SUMIFS(RAB!$F$14:$F$30,RAB!$C$14:$C$30,C967)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SUMIFS(RAB!$F$14:$F$30,RAB!$C$14:$C$30,C968)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SUMIFS(RAB!$F$14:$F$30,RAB!$C$14:$C$30,C969)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SUMIFS(RAB!$F$14:$F$30,RAB!$C$14:$C$30,C970)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SUMIFS(RAB!$F$14:$F$30,RAB!$C$14:$C$30,C971)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SUMIFS(RAB!$F$14:$F$30,RAB!$C$14:$C$30,C972)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SUMIFS(RAB!$F$14:$F$30,RAB!$C$14:$C$30,C973)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SUMIFS(RAB!$F$14:$F$30,RAB!$C$14:$C$30,C974)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SUMIFS(RAB!$F$14:$F$30,RAB!$C$14:$C$30,C975)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SUMIFS(RAB!$F$14:$F$30,RAB!$C$14:$C$30,C976)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SUMIFS(RAB!$F$14:$F$30,RAB!$C$14:$C$30,C977)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SUMIFS(RAB!$F$14:$F$30,RAB!$C$14:$C$30,C978)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SUMIFS(RAB!$F$14:$F$30,RAB!$C$14:$C$30,C979)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SUMIFS(RAB!$F$14:$F$30,RAB!$C$14:$C$30,C980)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SUMIFS(RAB!$F$14:$F$30,RAB!$C$14:$C$30,C981)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SUMIFS(RAB!$F$14:$F$30,RAB!$C$14:$C$30,C982)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SUMIFS(RAB!$F$14:$F$30,RAB!$C$14:$C$30,C983)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SUMIFS(RAB!$F$14:$F$30,RAB!$C$14:$C$30,C984)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SUMIFS(RAB!$F$14:$F$30,RAB!$C$14:$C$30,C985)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SUMIFS(RAB!$F$14:$F$30,RAB!$C$14:$C$30,C986)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SUMIFS(RAB!$F$14:$F$30,RAB!$C$14:$C$30,C987)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SUMIFS(RAB!$F$14:$F$30,RAB!$C$14:$C$30,C988)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SUMIFS(RAB!$F$14:$F$30,RAB!$C$14:$C$30,C989)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SUMIFS(RAB!$F$14:$F$30,RAB!$C$14:$C$30,C990)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SUMIFS(RAB!$F$14:$F$30,RAB!$C$14:$C$30,C991)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SUMIFS(RAB!$F$14:$F$30,RAB!$C$14:$C$30,C992)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SUMIFS(RAB!$F$14:$F$30,RAB!$C$14:$C$30,C993)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SUMIFS(RAB!$F$14:$F$30,RAB!$C$14:$C$30,C994)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SUMIFS(RAB!$F$14:$F$30,RAB!$C$14:$C$30,C995)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SUMIFS(RAB!$F$14:$F$30,RAB!$C$14:$C$30,C996)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SUMIFS(RAB!$F$14:$F$30,RAB!$C$14:$C$30,C997)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SUMIFS(RAB!$F$14:$F$30,RAB!$C$14:$C$30,C998)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SUMIFS(RAB!$F$14:$F$30,RAB!$C$14:$C$30,C999)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SUMIFS(RAB!$F$14:$F$30,RAB!$C$14:$C$30,C1000)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SUMIFS(RAB!$F$14:$F$30,RAB!$C$14:$C$30,C1001)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SUMIFS(RAB!$F$14:$F$30,RAB!$C$14:$C$30,C1002)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SUMIFS(RAB!$F$14:$F$30,RAB!$C$14:$C$30,C1003)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SUMIFS(RAB!$F$14:$F$30,RAB!$C$14:$C$30,C1004)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SUMIFS(RAB!$F$14:$F$30,RAB!$C$14:$C$30,C1005)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SUMIFS(RAB!$F$14:$F$30,RAB!$C$14:$C$30,C1006)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SUMIFS(RAB!$F$14:$F$30,RAB!$C$14:$C$30,C1007)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SUMIFS(RAB!$F$14:$F$30,RAB!$C$14:$C$30,C1008)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SUMIFS(RAB!$F$14:$F$30,RAB!$C$14:$C$30,C1009)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SUMIFS(RAB!$F$14:$F$30,RAB!$C$14:$C$30,C1010)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SUMIFS(RAB!$F$14:$F$30,RAB!$C$14:$C$30,C1011)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SUMIFS(RAB!$F$14:$F$30,RAB!$C$14:$C$30,C1012)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SUMIFS(RAB!$F$14:$F$30,RAB!$C$14:$C$30,C1013)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SUMIFS(RAB!$F$14:$F$30,RAB!$C$14:$C$30,C1014)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SUMIFS(RAB!$F$14:$F$30,RAB!$C$14:$C$30,C1015)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SUMIFS(RAB!$F$14:$F$30,RAB!$C$14:$C$30,C1016)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SUMIFS(RAB!$F$14:$F$30,RAB!$C$14:$C$30,C1017)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SUMIFS(RAB!$F$14:$F$30,RAB!$C$14:$C$30,C1018)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SUMIFS(RAB!$F$14:$F$30,RAB!$C$14:$C$30,C1019)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SUMIFS(RAB!$F$14:$F$30,RAB!$C$14:$C$30,C1020)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SUMIFS(RAB!$F$14:$F$30,RAB!$C$14:$C$30,C1021)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SUMIFS(RAB!$F$14:$F$30,RAB!$C$14:$C$30,C1022)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SUMIFS(RAB!$F$14:$F$30,RAB!$C$14:$C$30,C1023)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SUMIFS(RAB!$F$14:$F$30,RAB!$C$14:$C$30,C1024)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SUMIFS(RAB!$F$14:$F$30,RAB!$C$14:$C$30,C1025)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SUMIFS(RAB!$F$14:$F$30,RAB!$C$14:$C$30,C1026)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SUMIFS(RAB!$F$14:$F$30,RAB!$C$14:$C$30,C1027)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SUMIFS(RAB!$F$14:$F$30,RAB!$C$14:$C$30,C1028)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SUMIFS(RAB!$F$14:$F$30,RAB!$C$14:$C$30,C1029)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SUMIFS(RAB!$F$14:$F$30,RAB!$C$14:$C$30,C1030)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SUMIFS(RAB!$F$14:$F$30,RAB!$C$14:$C$30,C1031)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SUMIFS(RAB!$F$14:$F$30,RAB!$C$14:$C$30,C1032)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SUMIFS(RAB!$F$14:$F$30,RAB!$C$14:$C$30,C1033)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SUMIFS(RAB!$F$14:$F$30,RAB!$C$14:$C$30,C1034)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SUMIFS(RAB!$F$14:$F$30,RAB!$C$14:$C$30,C1035)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SUMIFS(RAB!$F$14:$F$30,RAB!$C$14:$C$30,C1036)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SUMIFS(RAB!$F$14:$F$30,RAB!$C$14:$C$30,C1037)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SUMIFS(RAB!$F$14:$F$30,RAB!$C$14:$C$30,C1038)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SUMIFS(RAB!$F$14:$F$30,RAB!$C$14:$C$30,C1039)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SUMIFS(RAB!$F$14:$F$30,RAB!$C$14:$C$30,C1040)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SUMIFS(RAB!$F$14:$F$30,RAB!$C$14:$C$30,C1041)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SUMIFS(RAB!$F$14:$F$30,RAB!$C$14:$C$30,C1042)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SUMIFS(RAB!$F$14:$F$30,RAB!$C$14:$C$30,C1043)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SUMIFS(RAB!$F$14:$F$30,RAB!$C$14:$C$30,C1044)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SUMIFS(RAB!$F$14:$F$30,RAB!$C$14:$C$30,C1045)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SUMIFS(RAB!$F$14:$F$30,RAB!$C$14:$C$30,C1046)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SUMIFS(RAB!$F$14:$F$30,RAB!$C$14:$C$30,C1047)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SUMIFS(RAB!$F$14:$F$30,RAB!$C$14:$C$30,C1048)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SUMIFS(RAB!$F$14:$F$30,RAB!$C$14:$C$30,C1049)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SUMIFS(RAB!$F$14:$F$30,RAB!$C$14:$C$30,C1050)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SUMIFS(RAB!$F$14:$F$30,RAB!$C$14:$C$30,C1051)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SUMIFS(RAB!$F$14:$F$30,RAB!$C$14:$C$30,C1052)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SUMIFS(RAB!$F$14:$F$30,RAB!$C$14:$C$30,C1053)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SUMIFS(RAB!$F$14:$F$30,RAB!$C$14:$C$30,C1054)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SUMIFS(RAB!$F$14:$F$30,RAB!$C$14:$C$30,C1055)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SUMIFS(RAB!$F$14:$F$30,RAB!$C$14:$C$30,C1056)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SUMIFS(RAB!$F$14:$F$30,RAB!$C$14:$C$30,C1057)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SUMIFS(RAB!$F$14:$F$30,RAB!$C$14:$C$30,C1058)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SUMIFS(RAB!$F$14:$F$30,RAB!$C$14:$C$30,C1059)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SUMIFS(RAB!$F$14:$F$30,RAB!$C$14:$C$30,C1060)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SUMIFS(RAB!$F$14:$F$30,RAB!$C$14:$C$30,C1061)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SUMIFS(RAB!$F$14:$F$30,RAB!$C$14:$C$30,C1062)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SUMIFS(RAB!$F$14:$F$30,RAB!$C$14:$C$30,C1063)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SUMIFS(RAB!$F$14:$F$30,RAB!$C$14:$C$30,C1064)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SUMIFS(RAB!$F$14:$F$30,RAB!$C$14:$C$30,C1065)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SUMIFS(RAB!$F$14:$F$30,RAB!$C$14:$C$30,C1066)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SUMIFS(RAB!$F$14:$F$30,RAB!$C$14:$C$30,C1067)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SUMIFS(RAB!$F$14:$F$30,RAB!$C$14:$C$30,C1068)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SUMIFS(RAB!$F$14:$F$30,RAB!$C$14:$C$30,C1069)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SUMIFS(RAB!$F$14:$F$30,RAB!$C$14:$C$30,C1070)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SUMIFS(RAB!$F$14:$F$30,RAB!$C$14:$C$30,C1071)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SUMIFS(RAB!$F$14:$F$30,RAB!$C$14:$C$30,C1072)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SUMIFS(RAB!$F$14:$F$30,RAB!$C$14:$C$30,C1073)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SUMIFS(RAB!$F$14:$F$30,RAB!$C$14:$C$30,C1074)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SUMIFS(RAB!$F$14:$F$30,RAB!$C$14:$C$30,C1075)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SUMIFS(RAB!$F$14:$F$30,RAB!$C$14:$C$30,C1076)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SUMIFS(RAB!$F$14:$F$30,RAB!$C$14:$C$30,C1077)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SUMIFS(RAB!$F$14:$F$30,RAB!$C$14:$C$30,C1078)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SUMIFS(RAB!$F$14:$F$30,RAB!$C$14:$C$30,C1079)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SUMIFS(RAB!$F$14:$F$30,RAB!$C$14:$C$30,C1080)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SUMIFS(RAB!$F$14:$F$30,RAB!$C$14:$C$30,C1081)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SUMIFS(RAB!$F$14:$F$30,RAB!$C$14:$C$30,C1082)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SUMIFS(RAB!$F$14:$F$30,RAB!$C$14:$C$30,C1083)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SUMIFS(RAB!$F$14:$F$30,RAB!$C$14:$C$30,C1084)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SUMIFS(RAB!$F$14:$F$30,RAB!$C$14:$C$30,C1085)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SUMIFS(RAB!$F$14:$F$30,RAB!$C$14:$C$30,C1086)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SUMIFS(RAB!$F$14:$F$30,RAB!$C$14:$C$30,C1087)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SUMIFS(RAB!$F$14:$F$30,RAB!$C$14:$C$30,C1088)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SUMIFS(RAB!$F$14:$F$30,RAB!$C$14:$C$30,C1089)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SUMIFS(RAB!$F$14:$F$30,RAB!$C$14:$C$30,C1090)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SUMIFS(RAB!$F$14:$F$30,RAB!$C$14:$C$30,C1091)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SUMIFS(RAB!$F$14:$F$30,RAB!$C$14:$C$30,C1092)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SUMIFS(RAB!$F$14:$F$30,RAB!$C$14:$C$30,C1093)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SUMIFS(RAB!$F$14:$F$30,RAB!$C$14:$C$30,C1094)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SUMIFS(RAB!$F$14:$F$30,RAB!$C$14:$C$30,C1095)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SUMIFS(RAB!$F$14:$F$30,RAB!$C$14:$C$30,C1096)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SUMIFS(RAB!$F$14:$F$30,RAB!$C$14:$C$30,C1097)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SUMIFS(RAB!$F$14:$F$30,RAB!$C$14:$C$30,C1098)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SUMIFS(RAB!$F$14:$F$30,RAB!$C$14:$C$30,C1099)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SUMIFS(RAB!$F$14:$F$30,RAB!$C$14:$C$30,C1100)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SUMIFS(RAB!$F$14:$F$30,RAB!$C$14:$C$30,C1101)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SUMIFS(RAB!$F$14:$F$30,RAB!$C$14:$C$30,C1102)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SUMIFS(RAB!$F$14:$F$30,RAB!$C$14:$C$30,C1103)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SUMIFS(RAB!$F$14:$F$30,RAB!$C$14:$C$30,C1104)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SUMIFS(RAB!$F$14:$F$30,RAB!$C$14:$C$30,C1105)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SUMIFS(RAB!$F$14:$F$30,RAB!$C$14:$C$30,C1106)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SUMIFS(RAB!$F$14:$F$30,RAB!$C$14:$C$30,C1107)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SUMIFS(RAB!$F$14:$F$30,RAB!$C$14:$C$30,C1108)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SUMIFS(RAB!$F$14:$F$30,RAB!$C$14:$C$30,C1109)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SUMIFS(RAB!$F$14:$F$30,RAB!$C$14:$C$30,C1110)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SUMIFS(RAB!$F$14:$F$30,RAB!$C$14:$C$30,C1111)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SUMIFS(RAB!$F$14:$F$30,RAB!$C$14:$C$30,C1112)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SUMIFS(RAB!$F$14:$F$30,RAB!$C$14:$C$30,C1113)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SUMIFS(RAB!$F$14:$F$30,RAB!$C$14:$C$30,C1114)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SUMIFS(RAB!$F$14:$F$30,RAB!$C$14:$C$30,C1115)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SUMIFS(RAB!$F$14:$F$30,RAB!$C$14:$C$30,C1116)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SUMIFS(RAB!$F$14:$F$30,RAB!$C$14:$C$30,C1117)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SUMIFS(RAB!$F$14:$F$30,RAB!$C$14:$C$30,C1118)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SUMIFS(RAB!$F$14:$F$30,RAB!$C$14:$C$30,C1119)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SUMIFS(RAB!$F$14:$F$30,RAB!$C$14:$C$30,C1120)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SUMIFS(RAB!$F$14:$F$30,RAB!$C$14:$C$30,C1121)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SUMIFS(RAB!$F$14:$F$30,RAB!$C$14:$C$30,C1122)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SUMIFS(RAB!$F$14:$F$30,RAB!$C$14:$C$30,C1123)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SUMIFS(RAB!$F$14:$F$30,RAB!$C$14:$C$30,C1124)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SUMIFS(RAB!$F$14:$F$30,RAB!$C$14:$C$30,C1125)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SUMIFS(RAB!$F$14:$F$30,RAB!$C$14:$C$30,C1126)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SUMIFS(RAB!$F$14:$F$30,RAB!$C$14:$C$30,C1127)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SUMIFS(RAB!$F$14:$F$30,RAB!$C$14:$C$30,C1128)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SUMIFS(RAB!$F$14:$F$30,RAB!$C$14:$C$30,C1129)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SUMIFS(RAB!$F$14:$F$30,RAB!$C$14:$C$30,C1130)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SUMIFS(RAB!$F$14:$F$30,RAB!$C$14:$C$30,C1131)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SUMIFS(RAB!$F$14:$F$30,RAB!$C$14:$C$30,C1132)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SUMIFS(RAB!$F$14:$F$30,RAB!$C$14:$C$30,C1133)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SUMIFS(RAB!$F$14:$F$30,RAB!$C$14:$C$30,C1134)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SUMIFS(RAB!$F$14:$F$30,RAB!$C$14:$C$30,C1135)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SUMIFS(RAB!$F$14:$F$30,RAB!$C$14:$C$30,C1136)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SUMIFS(RAB!$F$14:$F$30,RAB!$C$14:$C$30,C1137)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SUMIFS(RAB!$F$14:$F$30,RAB!$C$14:$C$30,C1138)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SUMIFS(RAB!$F$14:$F$30,RAB!$C$14:$C$30,C1139)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SUMIFS(RAB!$F$14:$F$30,RAB!$C$14:$C$30,C1140)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SUMIFS(RAB!$F$14:$F$30,RAB!$C$14:$C$30,C1141)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SUMIFS(RAB!$F$14:$F$30,RAB!$C$14:$C$30,C1142)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SUMIFS(RAB!$F$14:$F$30,RAB!$C$14:$C$30,C1143)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SUMIFS(RAB!$F$14:$F$30,RAB!$C$14:$C$30,C1144)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SUMIFS(RAB!$F$14:$F$30,RAB!$C$14:$C$30,C1145)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SUMIFS(RAB!$F$14:$F$30,RAB!$C$14:$C$30,C1146)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SUMIFS(RAB!$F$14:$F$30,RAB!$C$14:$C$30,C1147)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SUMIFS(RAB!$F$14:$F$30,RAB!$C$14:$C$30,C1148)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SUMIFS(RAB!$F$14:$F$30,RAB!$C$14:$C$30,C1149)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SUMIFS(RAB!$F$14:$F$30,RAB!$C$14:$C$30,C1150)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SUMIFS(RAB!$F$14:$F$30,RAB!$C$14:$C$30,C1151)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SUMIFS(RAB!$F$14:$F$30,RAB!$C$14:$C$30,C1152)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SUMIFS(RAB!$F$14:$F$30,RAB!$C$14:$C$30,C1153)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SUMIFS(RAB!$F$14:$F$30,RAB!$C$14:$C$30,C1154)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SUMIFS(RAB!$F$14:$F$30,RAB!$C$14:$C$30,C1155)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SUMIFS(RAB!$F$14:$F$30,RAB!$C$14:$C$30,C1156)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SUMIFS(RAB!$F$14:$F$30,RAB!$C$14:$C$30,C1157)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SUMIFS(RAB!$F$14:$F$30,RAB!$C$14:$C$30,C1158)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SUMIFS(RAB!$F$14:$F$30,RAB!$C$14:$C$30,C1159)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SUMIFS(RAB!$F$14:$F$30,RAB!$C$14:$C$30,C1160)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SUMIFS(RAB!$F$14:$F$30,RAB!$C$14:$C$30,C1161)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SUMIFS(RAB!$F$14:$F$30,RAB!$C$14:$C$30,C1162)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SUMIFS(RAB!$F$14:$F$30,RAB!$C$14:$C$30,C1163)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SUMIFS(RAB!$F$14:$F$30,RAB!$C$14:$C$30,C1164)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SUMIFS(RAB!$F$14:$F$30,RAB!$C$14:$C$30,C1165)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SUMIFS(RAB!$F$14:$F$30,RAB!$C$14:$C$30,C1166)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SUMIFS(RAB!$F$14:$F$30,RAB!$C$14:$C$30,C1167)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SUMIFS(RAB!$F$14:$F$30,RAB!$C$14:$C$30,C1168)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SUMIFS(RAB!$F$14:$F$30,RAB!$C$14:$C$30,C1169)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SUMIFS(RAB!$F$14:$F$30,RAB!$C$14:$C$30,C1170)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SUMIFS(RAB!$F$14:$F$30,RAB!$C$14:$C$30,C1171)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SUMIFS(RAB!$F$14:$F$30,RAB!$C$14:$C$30,C1172)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SUMIFS(RAB!$F$14:$F$30,RAB!$C$14:$C$30,C1173)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SUMIFS(RAB!$F$14:$F$30,RAB!$C$14:$C$30,C1174)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SUMIFS(RAB!$F$14:$F$30,RAB!$C$14:$C$30,C1175)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SUMIFS(RAB!$F$14:$F$30,RAB!$C$14:$C$30,C1176)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SUMIFS(RAB!$F$14:$F$30,RAB!$C$14:$C$30,C1177)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SUMIFS(RAB!$F$14:$F$30,RAB!$C$14:$C$30,C1178)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SUMIFS(RAB!$F$14:$F$30,RAB!$C$14:$C$30,C1179)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SUMIFS(RAB!$F$14:$F$30,RAB!$C$14:$C$30,C1180)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SUMIFS(RAB!$F$14:$F$30,RAB!$C$14:$C$30,C1181)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SUMIFS(RAB!$F$14:$F$30,RAB!$C$14:$C$30,C1182)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SUMIFS(RAB!$F$14:$F$30,RAB!$C$14:$C$30,C1183)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SUMIFS(RAB!$F$14:$F$30,RAB!$C$14:$C$30,C1184)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SUMIFS(RAB!$F$14:$F$30,RAB!$C$14:$C$30,C1185)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SUMIFS(RAB!$F$14:$F$30,RAB!$C$14:$C$30,C1186)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SUMIFS(RAB!$F$14:$F$30,RAB!$C$14:$C$30,C1187)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SUMIFS(RAB!$F$14:$F$30,RAB!$C$14:$C$30,C1188)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SUMIFS(RAB!$F$14:$F$30,RAB!$C$14:$C$30,C1189)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SUMIFS(RAB!$F$14:$F$30,RAB!$C$14:$C$30,C1190)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SUMIFS(RAB!$F$14:$F$30,RAB!$C$14:$C$30,C1191)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SUMIFS(RAB!$F$14:$F$30,RAB!$C$14:$C$30,C1192)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SUMIFS(RAB!$F$14:$F$30,RAB!$C$14:$C$30,C1193)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SUMIFS(RAB!$F$14:$F$30,RAB!$C$14:$C$30,C1194)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SUMIFS(RAB!$F$14:$F$30,RAB!$C$14:$C$30,C1195)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SUMIFS(RAB!$F$14:$F$30,RAB!$C$14:$C$30,C1196)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SUMIFS(RAB!$F$14:$F$30,RAB!$C$14:$C$30,C1197)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SUMIFS(RAB!$F$14:$F$30,RAB!$C$14:$C$30,C1198)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SUMIFS(RAB!$F$14:$F$30,RAB!$C$14:$C$30,C1199)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SUMIFS(RAB!$F$14:$F$30,RAB!$C$14:$C$30,C1200)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SUMIFS(RAB!$F$14:$F$30,RAB!$C$14:$C$30,C1201)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SUMIFS(RAB!$F$14:$F$30,RAB!$C$14:$C$30,C1202)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SUMIFS(RAB!$F$14:$F$30,RAB!$C$14:$C$30,C1203)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SUMIFS(RAB!$F$14:$F$30,RAB!$C$14:$C$30,C1204)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SUMIFS(RAB!$F$14:$F$30,RAB!$C$14:$C$30,C1205)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SUMIFS(RAB!$F$14:$F$30,RAB!$C$14:$C$30,C1206)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SUMIFS(RAB!$F$14:$F$30,RAB!$C$14:$C$30,C1207)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SUMIFS(RAB!$F$14:$F$30,RAB!$C$14:$C$30,C1208)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SUMIFS(RAB!$F$14:$F$30,RAB!$C$14:$C$30,C1209)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SUMIFS(RAB!$F$14:$F$30,RAB!$C$14:$C$30,C1210)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SUMIFS(RAB!$F$14:$F$30,RAB!$C$14:$C$30,C1211)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SUMIFS(RAB!$F$14:$F$30,RAB!$C$14:$C$30,C1212)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SUMIFS(RAB!$F$14:$F$30,RAB!$C$14:$C$30,C1213)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SUMIFS(RAB!$F$14:$F$30,RAB!$C$14:$C$30,C1214)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SUMIFS(RAB!$F$14:$F$30,RAB!$C$14:$C$30,C1215)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SUMIFS(RAB!$F$14:$F$30,RAB!$C$14:$C$30,C1216)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SUMIFS(RAB!$F$14:$F$30,RAB!$C$14:$C$30,C1217)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SUMIFS(RAB!$F$14:$F$30,RAB!$C$14:$C$30,C1218)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SUMIFS(RAB!$F$14:$F$30,RAB!$C$14:$C$30,C1219)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SUMIFS(RAB!$F$14:$F$30,RAB!$C$14:$C$30,C1220)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SUMIFS(RAB!$F$14:$F$30,RAB!$C$14:$C$30,C1221)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SUMIFS(RAB!$F$14:$F$30,RAB!$C$14:$C$30,C1222)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SUMIFS(RAB!$F$14:$F$30,RAB!$C$14:$C$30,C1223)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SUMIFS(RAB!$F$14:$F$30,RAB!$C$14:$C$30,C1224)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SUMIFS(RAB!$F$14:$F$30,RAB!$C$14:$C$30,C1225)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SUMIFS(RAB!$F$14:$F$30,RAB!$C$14:$C$30,C1226)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SUMIFS(RAB!$F$14:$F$30,RAB!$C$14:$C$30,C1227)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SUMIFS(RAB!$F$14:$F$30,RAB!$C$14:$C$30,C1228)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SUMIFS(RAB!$F$14:$F$30,RAB!$C$14:$C$30,C1229)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SUMIFS(RAB!$F$14:$F$30,RAB!$C$14:$C$30,C1230)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SUMIFS(RAB!$F$14:$F$30,RAB!$C$14:$C$30,C1231)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SUMIFS(RAB!$F$14:$F$30,RAB!$C$14:$C$30,C1232)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SUMIFS(RAB!$F$14:$F$30,RAB!$C$14:$C$30,C1233)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SUMIFS(RAB!$F$14:$F$30,RAB!$C$14:$C$30,C1234)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SUMIFS(RAB!$F$14:$F$30,RAB!$C$14:$C$30,C1235)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SUMIFS(RAB!$F$14:$F$30,RAB!$C$14:$C$30,C1236)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SUMIFS(RAB!$F$14:$F$30,RAB!$C$14:$C$30,C1237)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SUMIFS(RAB!$F$14:$F$30,RAB!$C$14:$C$30,C1238)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SUMIFS(RAB!$F$14:$F$30,RAB!$C$14:$C$30,C1239)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SUMIFS(RAB!$F$14:$F$30,RAB!$C$14:$C$30,C1240)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SUMIFS(RAB!$F$14:$F$30,RAB!$C$14:$C$30,C1241)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SUMIFS(RAB!$F$14:$F$30,RAB!$C$14:$C$30,C1242)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SUMIFS(RAB!$F$14:$F$30,RAB!$C$14:$C$30,C1243)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SUMIFS(RAB!$F$14:$F$30,RAB!$C$14:$C$30,C1244)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SUMIFS(RAB!$F$14:$F$30,RAB!$C$14:$C$30,C1245)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SUMIFS(RAB!$F$14:$F$30,RAB!$C$14:$C$30,C1246)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SUMIFS(RAB!$F$14:$F$30,RAB!$C$14:$C$30,C1247)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SUMIFS(RAB!$F$14:$F$30,RAB!$C$14:$C$30,C1248)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SUMIFS(RAB!$F$14:$F$30,RAB!$C$14:$C$30,C1249)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SUMIFS(RAB!$F$14:$F$30,RAB!$C$14:$C$30,C1250)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SUMIFS(RAB!$F$14:$F$30,RAB!$C$14:$C$30,C1251)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SUMIFS(RAB!$F$14:$F$30,RAB!$C$14:$C$30,C1252)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SUMIFS(RAB!$F$14:$F$30,RAB!$C$14:$C$30,C1253)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SUMIFS(RAB!$F$14:$F$30,RAB!$C$14:$C$30,C1254)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SUMIFS(RAB!$F$14:$F$30,RAB!$C$14:$C$30,C1255)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SUMIFS(RAB!$F$14:$F$30,RAB!$C$14:$C$30,C1256)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SUMIFS(RAB!$F$14:$F$30,RAB!$C$14:$C$30,C1257)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SUMIFS(RAB!$F$14:$F$30,RAB!$C$14:$C$30,C1258)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SUMIFS(RAB!$F$14:$F$30,RAB!$C$14:$C$30,C1259)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SUMIFS(RAB!$F$14:$F$30,RAB!$C$14:$C$30,C1260)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SUMIFS(RAB!$F$14:$F$30,RAB!$C$14:$C$30,C1261)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SUMIFS(RAB!$F$14:$F$30,RAB!$C$14:$C$30,C1262)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SUMIFS(RAB!$F$14:$F$30,RAB!$C$14:$C$30,C1263)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SUMIFS(RAB!$F$14:$F$30,RAB!$C$14:$C$30,C1264)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SUMIFS(RAB!$F$14:$F$30,RAB!$C$14:$C$30,C1265)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SUMIFS(RAB!$F$14:$F$30,RAB!$C$14:$C$30,C1266)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SUMIFS(RAB!$F$14:$F$30,RAB!$C$14:$C$30,C1267)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SUMIFS(RAB!$F$14:$F$30,RAB!$C$14:$C$30,C1268)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SUMIFS(RAB!$F$14:$F$30,RAB!$C$14:$C$30,C1269)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SUMIFS(RAB!$F$14:$F$30,RAB!$C$14:$C$30,C1270)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SUMIFS(RAB!$F$14:$F$30,RAB!$C$14:$C$30,C1271)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SUMIFS(RAB!$F$14:$F$30,RAB!$C$14:$C$30,C1272)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SUMIFS(RAB!$F$14:$F$30,RAB!$C$14:$C$30,C1273)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SUMIFS(RAB!$F$14:$F$30,RAB!$C$14:$C$30,C1274)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SUMIFS(RAB!$F$14:$F$30,RAB!$C$14:$C$30,C1275)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SUMIFS(RAB!$F$14:$F$30,RAB!$C$14:$C$30,C1276)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SUMIFS(RAB!$F$14:$F$30,RAB!$C$14:$C$30,C1277)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SUMIFS(RAB!$F$14:$F$30,RAB!$C$14:$C$30,C1278)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SUMIFS(RAB!$F$14:$F$30,RAB!$C$14:$C$30,C1279)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SUMIFS(RAB!$F$14:$F$30,RAB!$C$14:$C$30,C1280)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SUMIFS(RAB!$F$14:$F$30,RAB!$C$14:$C$30,C1281)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SUMIFS(RAB!$F$14:$F$30,RAB!$C$14:$C$30,C1282)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SUMIFS(RAB!$F$14:$F$30,RAB!$C$14:$C$30,C1283)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SUMIFS(RAB!$F$14:$F$30,RAB!$C$14:$C$30,C1284)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SUMIFS(RAB!$F$14:$F$30,RAB!$C$14:$C$30,C1285)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SUMIFS(RAB!$F$14:$F$30,RAB!$C$14:$C$30,C1286)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SUMIFS(RAB!$F$14:$F$30,RAB!$C$14:$C$30,C1287)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SUMIFS(RAB!$F$14:$F$30,RAB!$C$14:$C$30,C1288)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SUMIFS(RAB!$F$14:$F$30,RAB!$C$14:$C$30,C1289)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SUMIFS(RAB!$F$14:$F$30,RAB!$C$14:$C$30,C1290)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SUMIFS(RAB!$F$14:$F$30,RAB!$C$14:$C$30,C1291)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SUMIFS(RAB!$F$14:$F$30,RAB!$C$14:$C$30,C1292)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SUMIFS(RAB!$F$14:$F$30,RAB!$C$14:$C$30,C1293)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SUMIFS(RAB!$F$14:$F$30,RAB!$C$14:$C$30,C1294)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SUMIFS(RAB!$F$14:$F$30,RAB!$C$14:$C$30,C1295)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SUMIFS(RAB!$F$14:$F$30,RAB!$C$14:$C$30,C1296)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SUMIFS(RAB!$F$14:$F$30,RAB!$C$14:$C$30,C1297)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SUMIFS(RAB!$F$14:$F$30,RAB!$C$14:$C$30,C1298)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SUMIFS(RAB!$F$14:$F$30,RAB!$C$14:$C$30,C1299)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SUMIFS(RAB!$F$14:$F$30,RAB!$C$14:$C$30,C1300)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SUMIFS(RAB!$F$14:$F$30,RAB!$C$14:$C$30,C1301)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SUMIFS(RAB!$F$14:$F$30,RAB!$C$14:$C$30,C1302)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SUMIFS(RAB!$F$14:$F$30,RAB!$C$14:$C$30,C1303)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SUMIFS(RAB!$F$14:$F$30,RAB!$C$14:$C$30,C1304)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SUMIFS(RAB!$F$14:$F$30,RAB!$C$14:$C$30,C1305)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SUMIFS(RAB!$F$14:$F$30,RAB!$C$14:$C$30,C1306)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SUMIFS(RAB!$F$14:$F$30,RAB!$C$14:$C$30,C1307)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SUMIFS(RAB!$F$14:$F$30,RAB!$C$14:$C$30,C1308)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SUMIFS(RAB!$F$14:$F$30,RAB!$C$14:$C$30,C1309)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SUMIFS(RAB!$F$14:$F$30,RAB!$C$14:$C$30,C1310)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SUMIFS(RAB!$F$14:$F$30,RAB!$C$14:$C$30,C1311)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SUMIFS(RAB!$F$14:$F$30,RAB!$C$14:$C$30,C1312)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SUMIFS(RAB!$F$14:$F$30,RAB!$C$14:$C$30,C1313)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SUMIFS(RAB!$F$14:$F$30,RAB!$C$14:$C$30,C1314)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SUMIFS(RAB!$F$14:$F$30,RAB!$C$14:$C$30,C1315)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SUMIFS(RAB!$F$14:$F$30,RAB!$C$14:$C$30,C1316)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SUMIFS(RAB!$F$14:$F$30,RAB!$C$14:$C$30,C1317)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SUMIFS(RAB!$F$14:$F$30,RAB!$C$14:$C$30,C1318)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SUMIFS(RAB!$F$14:$F$30,RAB!$C$14:$C$30,C1319)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SUMIFS(RAB!$F$14:$F$30,RAB!$C$14:$C$30,C1320)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6" priority="5" operator="equal">
      <formula>0</formula>
    </cfRule>
  </conditionalFormatting>
  <conditionalFormatting sqref="A10:L65536">
    <cfRule type="cellIs" dxfId="45" priority="1" operator="equal">
      <formula>0</formula>
    </cfRule>
  </conditionalFormatting>
  <conditionalFormatting sqref="C12:C711">
    <cfRule type="cellIs" dxfId="44" priority="66" stopIfTrue="1" operator="equal">
      <formula>0</formula>
    </cfRule>
  </conditionalFormatting>
  <conditionalFormatting sqref="E712:E65536">
    <cfRule type="cellIs" dxfId="43" priority="16" stopIfTrue="1" operator="equal">
      <formula>0</formula>
    </cfRule>
  </conditionalFormatting>
  <conditionalFormatting sqref="G1:G11 E6:E11 E1:E3 H7 H10:H11 F10:F711 G712:G65536">
    <cfRule type="cellIs" dxfId="42" priority="69" stopIfTrue="1" operator="equal">
      <formula>0</formula>
    </cfRule>
  </conditionalFormatting>
  <conditionalFormatting sqref="G12:H711">
    <cfRule type="cellIs" dxfId="41" priority="12" stopIfTrue="1" operator="equal">
      <formula>0</formula>
    </cfRule>
  </conditionalFormatting>
  <conditionalFormatting sqref="I7:K7">
    <cfRule type="cellIs" dxfId="40" priority="4" stopIfTrue="1" operator="equal">
      <formula>0</formula>
    </cfRule>
  </conditionalFormatting>
  <conditionalFormatting sqref="I10:L711">
    <cfRule type="cellIs" dxfId="39" priority="2" stopIfTrue="1" operator="equal">
      <formula>0</formula>
    </cfRule>
  </conditionalFormatting>
  <conditionalFormatting sqref="L1:L6">
    <cfRule type="cellIs" dxfId="38" priority="10" operator="equal">
      <formula>0</formula>
    </cfRule>
  </conditionalFormatting>
  <conditionalFormatting sqref="M1:IV1048576 A8:G9">
    <cfRule type="cellIs" dxfId="3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ASFURIAH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NGEPREH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SUMIFS(RAB!$F$14:$F$30,RAB!$C$14:$C$30,'REKAP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SUMIFS(RAB!$F$14:$F$30,RAB!$C$14:$C$30,'REKAP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SUMIFS(RAB!$F$14:$F$30,RAB!$C$14:$C$30,'REKAP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SUMIFS(RAB!$F$14:$F$30,RAB!$C$14:$C$30,'REKAP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SUMIFS(RAB!$F$14:$F$30,RAB!$C$14:$C$30,'REKAP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SUMIFS(RAB!$F$14:$F$30,RAB!$C$14:$C$30,'REKAP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SUMIFS(RAB!$F$14:$F$30,RAB!$C$14:$C$30,'REKAP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SUMIFS(RAB!$F$14:$F$30,RAB!$C$14:$C$30,'REKAP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SUMIFS(RAB!$F$14:$F$30,RAB!$C$14:$C$30,'REKAP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SUMIFS(RAB!$F$14:$F$30,RAB!$C$14:$C$30,'REKAP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SUMIFS(RAB!$F$14:$F$30,RAB!$C$14:$C$30,'REKAP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SUMIFS(RAB!$F$14:$F$30,RAB!$C$14:$C$30,'REKAP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SUMIFS(RAB!$F$14:$F$30,RAB!$C$14:$C$30,'REKAP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SUMIFS(RAB!$F$14:$F$30,RAB!$C$14:$C$30,'REKAP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SUMIFS(RAB!$F$14:$F$30,RAB!$C$14:$C$30,'REKAP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SUMIFS(RAB!$F$14:$F$30,RAB!$C$14:$C$30,'REKAP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SUMIFS(RAB!$F$14:$F$30,RAB!$C$14:$C$30,'REKAP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SUMIFS(RAB!$F$14:$F$30,RAB!$C$14:$C$30,'REKAP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SUMIFS(RAB!$F$14:$F$30,RAB!$C$14:$C$30,'REKAP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SUMIFS(RAB!$F$14:$F$30,RAB!$C$14:$C$30,'REKAP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ASFURIAH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NGEPREH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20</v>
      </c>
      <c r="G18" s="41">
        <f ca="1">IF(ISERROR(OFFSET('HARGA SATUAN'!$I$6,MATCH(C18,'HARGA SATUAN'!$C$7:$C$1492,0),0)),"",OFFSET('HARGA SATUAN'!$I$6,MATCH(C18,'HARGA SATUAN'!$C$7:$C$1492,0),0))</f>
        <v>6600</v>
      </c>
      <c r="H18" s="42">
        <f t="shared" ca="1" si="1"/>
        <v>132000</v>
      </c>
      <c r="I18" s="42">
        <f t="shared" ca="1" si="2"/>
        <v>0</v>
      </c>
      <c r="J18" s="42">
        <f t="shared" ca="1" si="3"/>
        <v>0</v>
      </c>
      <c r="K18" s="43">
        <f t="shared" ca="1" si="0"/>
        <v>132000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1911750</v>
      </c>
      <c r="I168" s="55">
        <f ca="1">SUM(I14:I167)</f>
        <v>0</v>
      </c>
      <c r="J168" s="55">
        <f ca="1">SUM(J14:J167)</f>
        <v>0</v>
      </c>
      <c r="K168" s="55">
        <f ca="1">SUM(K14:K167)</f>
        <v>1911750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191175</v>
      </c>
      <c r="I169" s="60">
        <f ca="1">I168*0.1</f>
        <v>0</v>
      </c>
      <c r="J169" s="60">
        <f ca="1">J168*0.1</f>
        <v>0</v>
      </c>
      <c r="K169" s="60">
        <f ca="1">K168*0.1</f>
        <v>191175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2102925</v>
      </c>
      <c r="I170" s="78">
        <f ca="1">SUM(I168:I169)</f>
        <v>0</v>
      </c>
      <c r="J170" s="61">
        <f ca="1">SUM(J168:J169)</f>
        <v>0</v>
      </c>
      <c r="K170" s="61">
        <f ca="1">SUM(K168:K169)</f>
        <v>2102925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SUMIFS(RAB!$F$14:$F$30,RAB!$C$14:$C$30,C224)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SUMIFS(RAB!$F$14:$F$30,RAB!$C$14:$C$30,C225)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SUMIFS(RAB!$F$14:$F$30,RAB!$C$14:$C$30,C226)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SUMIFS(RAB!$F$14:$F$30,RAB!$C$14:$C$30,C227)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SUMIFS(RAB!$F$14:$F$30,RAB!$C$14:$C$30,C228)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SUMIFS(RAB!$F$14:$F$30,RAB!$C$14:$C$30,C229)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SUMIFS(RAB!$F$14:$F$30,RAB!$C$14:$C$30,C230)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SUMIFS(RAB!$F$14:$F$30,RAB!$C$14:$C$30,C231)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SUMIFS(RAB!$F$14:$F$30,RAB!$C$14:$C$30,C232)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SUMIFS(RAB!$F$14:$F$30,RAB!$C$14:$C$30,C233)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SUMIFS(RAB!$F$14:$F$30,RAB!$C$14:$C$30,C234)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SUMIFS(RAB!$F$14:$F$30,RAB!$C$14:$C$30,C235)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SUMIFS(RAB!$F$14:$F$30,RAB!$C$14:$C$30,C236)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SUMIFS(RAB!$F$14:$F$30,RAB!$C$14:$C$30,C237)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SUMIFS(RAB!$F$14:$F$30,RAB!$C$14:$C$30,C238)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SUMIFS(RAB!$F$14:$F$30,RAB!$C$14:$C$30,C239)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SUMIFS(RAB!$F$14:$F$30,RAB!$C$14:$C$30,C240)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SUMIFS(RAB!$F$14:$F$30,RAB!$C$14:$C$30,C241)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SUMIFS(RAB!$F$14:$F$30,RAB!$C$14:$C$30,C242)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SUMIFS(RAB!$F$14:$F$30,RAB!$C$14:$C$30,C243)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SUMIFS(RAB!$F$14:$F$30,RAB!$C$14:$C$30,C244)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SUMIFS(RAB!$F$14:$F$30,RAB!$C$14:$C$30,C245)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SUMIFS(RAB!$F$14:$F$30,RAB!$C$14:$C$30,C246)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SUMIFS(RAB!$F$14:$F$30,RAB!$C$14:$C$30,C247)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SUMIFS(RAB!$F$14:$F$30,RAB!$C$14:$C$30,C248)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SUMIFS(RAB!$F$14:$F$30,RAB!$C$14:$C$30,C249)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SUMIFS(RAB!$F$14:$F$30,RAB!$C$14:$C$30,C250)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SUMIFS(RAB!$F$14:$F$30,RAB!$C$14:$C$30,C251)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SUMIFS(RAB!$F$14:$F$30,RAB!$C$14:$C$30,C252)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SUMIFS(RAB!$F$14:$F$30,RAB!$C$14:$C$30,C253)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SUMIFS(RAB!$F$14:$F$30,RAB!$C$14:$C$30,C254)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SUMIFS(RAB!$F$14:$F$30,RAB!$C$14:$C$30,C255)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SUMIFS(RAB!$F$14:$F$30,RAB!$C$14:$C$30,C256)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SUMIFS(RAB!$F$14:$F$30,RAB!$C$14:$C$30,C257)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SUMIFS(RAB!$F$14:$F$30,RAB!$C$14:$C$30,C258)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SUMIFS(RAB!$F$14:$F$30,RAB!$C$14:$C$30,C259)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SUMIFS(RAB!$F$14:$F$30,RAB!$C$14:$C$30,C260)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SUMIFS(RAB!$F$14:$F$30,RAB!$C$14:$C$30,C261)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SUMIFS(RAB!$F$14:$F$30,RAB!$C$14:$C$30,C262)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SUMIFS(RAB!$F$14:$F$30,RAB!$C$14:$C$30,C263)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SUMIFS(RAB!$F$14:$F$30,RAB!$C$14:$C$30,C264)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SUMIFS(RAB!$F$14:$F$30,RAB!$C$14:$C$30,C265)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SUMIFS(RAB!$F$14:$F$30,RAB!$C$14:$C$30,C266)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SUMIFS(RAB!$F$14:$F$30,RAB!$C$14:$C$30,C267)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SUMIFS(RAB!$F$14:$F$30,RAB!$C$14:$C$30,C268)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SUMIFS(RAB!$F$14:$F$30,RAB!$C$14:$C$30,C269)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SUMIFS(RAB!$F$14:$F$30,RAB!$C$14:$C$30,C270)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SUMIFS(RAB!$F$14:$F$30,RAB!$C$14:$C$30,C271)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SUMIFS(RAB!$F$14:$F$30,RAB!$C$14:$C$30,C272)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SUMIFS(RAB!$F$14:$F$30,RAB!$C$14:$C$30,C273)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SUMIFS(RAB!$F$14:$F$30,RAB!$C$14:$C$30,C274)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SUMIFS(RAB!$F$14:$F$30,RAB!$C$14:$C$30,C275)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SUMIFS(RAB!$F$14:$F$30,RAB!$C$14:$C$30,C276)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SUMIFS(RAB!$F$14:$F$30,RAB!$C$14:$C$30,C277)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SUMIFS(RAB!$F$14:$F$30,RAB!$C$14:$C$30,C278)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SUMIFS(RAB!$F$14:$F$30,RAB!$C$14:$C$30,C279)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SUMIFS(RAB!$F$14:$F$30,RAB!$C$14:$C$30,C280)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SUMIFS(RAB!$F$14:$F$30,RAB!$C$14:$C$30,C281)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SUMIFS(RAB!$F$14:$F$30,RAB!$C$14:$C$30,C282)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SUMIFS(RAB!$F$14:$F$30,RAB!$C$14:$C$30,C283)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SUMIFS(RAB!$F$14:$F$30,RAB!$C$14:$C$30,C284)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SUMIFS(RAB!$F$14:$F$30,RAB!$C$14:$C$30,C285)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SUMIFS(RAB!$F$14:$F$30,RAB!$C$14:$C$30,C286)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SUMIFS(RAB!$F$14:$F$30,RAB!$C$14:$C$30,C287)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SUMIFS(RAB!$F$14:$F$30,RAB!$C$14:$C$30,C288)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SUMIFS(RAB!$F$14:$F$30,RAB!$C$14:$C$30,C289)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SUMIFS(RAB!$F$14:$F$30,RAB!$C$14:$C$30,C290)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SUMIFS(RAB!$F$14:$F$30,RAB!$C$14:$C$30,C291)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SUMIFS(RAB!$F$14:$F$30,RAB!$C$14:$C$30,C292)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SUMIFS(RAB!$F$14:$F$30,RAB!$C$14:$C$30,C293)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SUMIFS(RAB!$F$14:$F$30,RAB!$C$14:$C$30,C294)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SUMIFS(RAB!$F$14:$F$30,RAB!$C$14:$C$30,C295)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SUMIFS(RAB!$F$14:$F$30,RAB!$C$14:$C$30,C296)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SUMIFS(RAB!$F$14:$F$30,RAB!$C$14:$C$30,C297)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SUMIFS(RAB!$F$14:$F$30,RAB!$C$14:$C$30,C298)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SUMIFS(RAB!$F$14:$F$30,RAB!$C$14:$C$30,C299)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SUMIFS(RAB!$F$14:$F$30,RAB!$C$14:$C$30,C300)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SUMIFS(RAB!$F$14:$F$30,RAB!$C$14:$C$30,C301)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SUMIFS(RAB!$F$14:$F$30,RAB!$C$14:$C$30,C302)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SUMIFS(RAB!$F$14:$F$30,RAB!$C$14:$C$30,C303)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SUMIFS(RAB!$F$14:$F$30,RAB!$C$14:$C$30,C304)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SUMIFS(RAB!$F$14:$F$30,RAB!$C$14:$C$30,C305)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SUMIFS(RAB!$F$14:$F$30,RAB!$C$14:$C$30,C306)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SUMIFS(RAB!$F$14:$F$30,RAB!$C$14:$C$30,C307)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SUMIFS(RAB!$F$14:$F$30,RAB!$C$14:$C$30,C308)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SUMIFS(RAB!$F$14:$F$30,RAB!$C$14:$C$30,C309)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SUMIFS(RAB!$F$14:$F$30,RAB!$C$14:$C$30,C310)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SUMIFS(RAB!$F$14:$F$30,RAB!$C$14:$C$30,C311)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SUMIFS(RAB!$F$14:$F$30,RAB!$C$14:$C$30,C312)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SUMIFS(RAB!$F$14:$F$30,RAB!$C$14:$C$30,C313)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SUMIFS(RAB!$F$14:$F$30,RAB!$C$14:$C$30,C314)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SUMIFS(RAB!$F$14:$F$30,RAB!$C$14:$C$30,C315)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SUMIFS(RAB!$F$14:$F$30,RAB!$C$14:$C$30,C316)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SUMIFS(RAB!$F$14:$F$30,RAB!$C$14:$C$30,C317)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SUMIFS(RAB!$F$14:$F$30,RAB!$C$14:$C$30,C318)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SUMIFS(RAB!$F$14:$F$30,RAB!$C$14:$C$30,C319)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SUMIFS(RAB!$F$14:$F$30,RAB!$C$14:$C$30,C320)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SUMIFS(RAB!$F$14:$F$30,RAB!$C$14:$C$30,C321)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SUMIFS(RAB!$F$14:$F$30,RAB!$C$14:$C$30,C322)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SUMIFS(RAB!$F$14:$F$30,RAB!$C$14:$C$30,C323)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SUMIFS(RAB!$F$14:$F$30,RAB!$C$14:$C$30,C324)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SUMIFS(RAB!$F$14:$F$30,RAB!$C$14:$C$30,C325)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SUMIFS(RAB!$F$14:$F$30,RAB!$C$14:$C$30,C326)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SUMIFS(RAB!$F$14:$F$30,RAB!$C$14:$C$30,C327)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SUMIFS(RAB!$F$14:$F$30,RAB!$C$14:$C$30,C328)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SUMIFS(RAB!$F$14:$F$30,RAB!$C$14:$C$30,C329)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SUMIFS(RAB!$F$14:$F$30,RAB!$C$14:$C$30,C330)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SUMIFS(RAB!$F$14:$F$30,RAB!$C$14:$C$30,C331)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SUMIFS(RAB!$F$14:$F$30,RAB!$C$14:$C$30,C332)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SUMIFS(RAB!$F$14:$F$30,RAB!$C$14:$C$30,C333)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SUMIFS(RAB!$F$14:$F$30,RAB!$C$14:$C$30,C334)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SUMIFS(RAB!$F$14:$F$30,RAB!$C$14:$C$30,C335)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SUMIFS(RAB!$F$14:$F$30,RAB!$C$14:$C$30,C336)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SUMIFS(RAB!$F$14:$F$30,RAB!$C$14:$C$30,C337)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SUMIFS(RAB!$F$14:$F$30,RAB!$C$14:$C$30,C338)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SUMIFS(RAB!$F$14:$F$30,RAB!$C$14:$C$30,C339)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SUMIFS(RAB!$F$14:$F$30,RAB!$C$14:$C$30,C340)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SUMIFS(RAB!$F$14:$F$30,RAB!$C$14:$C$30,C341)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SUMIFS(RAB!$F$14:$F$30,RAB!$C$14:$C$30,C342)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SUMIFS(RAB!$F$14:$F$30,RAB!$C$14:$C$30,C343)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SUMIFS(RAB!$F$14:$F$30,RAB!$C$14:$C$30,C344)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SUMIFS(RAB!$F$14:$F$30,RAB!$C$14:$C$30,C345)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SUMIFS(RAB!$F$14:$F$30,RAB!$C$14:$C$30,C346)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SUMIFS(RAB!$F$14:$F$30,RAB!$C$14:$C$30,C347)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SUMIFS(RAB!$F$14:$F$30,RAB!$C$14:$C$30,C348)</f>
        <v>20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SUMIFS(RAB!$F$14:$F$30,RAB!$C$14:$C$30,C349)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SUMIFS(RAB!$F$14:$F$30,RAB!$C$14:$C$30,C350)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SUMIFS(RAB!$F$14:$F$30,RAB!$C$14:$C$30,C351)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SUMIFS(RAB!$F$14:$F$30,RAB!$C$14:$C$30,C352)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SUMIFS(RAB!$F$14:$F$30,RAB!$C$14:$C$30,C353)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SUMIFS(RAB!$F$14:$F$30,RAB!$C$14:$C$30,C354)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SUMIFS(RAB!$F$14:$F$30,RAB!$C$14:$C$30,C355)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SUMIFS(RAB!$F$14:$F$30,RAB!$C$14:$C$30,C356)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SUMIFS(RAB!$F$14:$F$30,RAB!$C$14:$C$30,C357)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SUMIFS(RAB!$F$14:$F$30,RAB!$C$14:$C$30,C358)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SUMIFS(RAB!$F$14:$F$30,RAB!$C$14:$C$30,C359)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SUMIFS(RAB!$F$14:$F$30,RAB!$C$14:$C$30,C360)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SUMIFS(RAB!$F$14:$F$30,RAB!$C$14:$C$30,C361)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SUMIFS(RAB!$F$14:$F$30,RAB!$C$14:$C$30,C362)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SUMIFS(RAB!$F$14:$F$30,RAB!$C$14:$C$30,C363)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SUMIFS(RAB!$F$14:$F$30,RAB!$C$14:$C$30,C364)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SUMIFS(RAB!$F$14:$F$30,RAB!$C$14:$C$30,C365)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SUMIFS(RAB!$F$14:$F$30,RAB!$C$14:$C$30,C366)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SUMIFS(RAB!$F$14:$F$30,RAB!$C$14:$C$30,C367)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SUMIFS(RAB!$F$14:$F$30,RAB!$C$14:$C$30,C368)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SUMIFS(RAB!$F$14:$F$30,RAB!$C$14:$C$30,C369)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SUMIFS(RAB!$F$14:$F$30,RAB!$C$14:$C$30,C370)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SUMIFS(RAB!$F$14:$F$30,RAB!$C$14:$C$30,C371)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SUMIFS(RAB!$F$14:$F$30,RAB!$C$14:$C$30,C372)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SUMIFS(RAB!$F$14:$F$30,RAB!$C$14:$C$30,C373)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4" priority="5" operator="equal">
      <formula>0</formula>
    </cfRule>
  </conditionalFormatting>
  <conditionalFormatting sqref="C16:C165">
    <cfRule type="cellIs" dxfId="33" priority="4" stopIfTrue="1" operator="equal">
      <formula>0</formula>
    </cfRule>
  </conditionalFormatting>
  <conditionalFormatting sqref="C16:E165">
    <cfRule type="cellIs" dxfId="32" priority="1" operator="equal">
      <formula>0</formula>
    </cfRule>
  </conditionalFormatting>
  <conditionalFormatting sqref="D224:F373">
    <cfRule type="cellIs" dxfId="31" priority="8" operator="equal">
      <formula>0</formula>
    </cfRule>
  </conditionalFormatting>
  <conditionalFormatting sqref="E1:E3 G1:G115 E6:E15 H12:I12 N13 F14:F15 H14:K115 E166:K166 G166:G223 E167:F167 H167:K167">
    <cfRule type="cellIs" dxfId="30" priority="43" stopIfTrue="1" operator="equal">
      <formula>0</formula>
    </cfRule>
  </conditionalFormatting>
  <conditionalFormatting sqref="E171:E65536">
    <cfRule type="cellIs" dxfId="29" priority="9" stopIfTrue="1" operator="equal">
      <formula>0</formula>
    </cfRule>
  </conditionalFormatting>
  <conditionalFormatting sqref="G224">
    <cfRule type="cellIs" dxfId="28" priority="10" operator="equal">
      <formula>0</formula>
    </cfRule>
  </conditionalFormatting>
  <conditionalFormatting sqref="G225:G65536">
    <cfRule type="cellIs" dxfId="27" priority="14" stopIfTrue="1" operator="equal">
      <formula>0</formula>
    </cfRule>
  </conditionalFormatting>
  <conditionalFormatting sqref="R14:T166 G116:K165">
    <cfRule type="cellIs" dxfId="2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9"/>
    </row>
    <row r="4" spans="4:4" ht="57" customHeight="1">
      <c r="D4" s="469">
        <v>3</v>
      </c>
    </row>
    <row r="5" spans="4:4" ht="57" customHeight="1">
      <c r="D5" s="46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4" activePane="bottomRight" state="frozen"/>
      <selection activeCell="D209" sqref="D209"/>
      <selection pane="topRight" activeCell="D209" sqref="D209"/>
      <selection pane="bottomLeft" activeCell="D209" sqref="D209"/>
      <selection pane="bottomRight" activeCell="C108" sqref="C10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1611</v>
      </c>
      <c r="G4" s="108" t="s">
        <v>1610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1610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1554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1555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1556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1557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1558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1559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1560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1561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1562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1563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1564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1565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1566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1567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1568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1463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1464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1569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1570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1571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1572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1573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1574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1575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1576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1577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1578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1579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1580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1581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1582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1583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1584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1585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1586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1587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1588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1589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1590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1591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1592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1593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1594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1595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1596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1597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1598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1599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1600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1601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1602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1603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1604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1605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1465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1466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1467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1468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1469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1470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1471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1472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1473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1474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1475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1476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1477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1478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1479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1480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1481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1482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1483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1484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1485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1486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1487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1488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1489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1490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1491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1492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1493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1494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1495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1496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1497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1498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1499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1500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1501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1502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1503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1504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1505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1506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1507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1508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1509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1510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1511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1512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1513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1514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1515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1516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1517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1518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1519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1520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1522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1521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1606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1607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1608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1523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1524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1525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1526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1527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1528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1529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1530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1609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8">
        <v>2740</v>
      </c>
      <c r="G1433" s="49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5" priority="138" operator="equal">
      <formula>0</formula>
    </cfRule>
  </conditionalFormatting>
  <conditionalFormatting sqref="B8:C135">
    <cfRule type="cellIs" dxfId="24" priority="51" operator="equal">
      <formula>0</formula>
    </cfRule>
  </conditionalFormatting>
  <conditionalFormatting sqref="B150:G1493">
    <cfRule type="cellIs" dxfId="23" priority="1" operator="equal">
      <formula>0</formula>
    </cfRule>
  </conditionalFormatting>
  <conditionalFormatting sqref="C143:G149">
    <cfRule type="cellIs" dxfId="22" priority="5" operator="equal">
      <formula>0</formula>
    </cfRule>
  </conditionalFormatting>
  <conditionalFormatting sqref="D9:G142">
    <cfRule type="cellIs" dxfId="21" priority="11" operator="equal">
      <formula>0</formula>
    </cfRule>
  </conditionalFormatting>
  <conditionalFormatting sqref="D1:IV5 A1:C7 D6:K6 H1455:IV1457 H1458:XFD1485 H1486:H1493 I1486:XFD1494 A1494:H1494 A1495:XFD65536">
    <cfRule type="cellIs" dxfId="20" priority="163" operator="equal">
      <formula>0</formula>
    </cfRule>
  </conditionalFormatting>
  <conditionalFormatting sqref="D7:IV8 C136:C142 B136:B149">
    <cfRule type="cellIs" dxfId="19" priority="62" operator="equal">
      <formula>0</formula>
    </cfRule>
  </conditionalFormatting>
  <conditionalFormatting sqref="H9:H1418">
    <cfRule type="cellIs" dxfId="18" priority="129" operator="equal">
      <formula>0</formula>
    </cfRule>
  </conditionalFormatting>
  <conditionalFormatting sqref="H1419:I1454">
    <cfRule type="cellIs" dxfId="17" priority="128" operator="equal">
      <formula>0</formula>
    </cfRule>
  </conditionalFormatting>
  <conditionalFormatting sqref="I108:I1418">
    <cfRule type="cellIs" dxfId="16" priority="125" operator="equal">
      <formula>0</formula>
    </cfRule>
  </conditionalFormatting>
  <conditionalFormatting sqref="J108:IV1454">
    <cfRule type="cellIs" dxfId="15" priority="139" operator="equal">
      <formula>0</formula>
    </cfRule>
  </conditionalFormatting>
  <conditionalFormatting sqref="M6:IV6">
    <cfRule type="cellIs" dxfId="1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N24" sqref="N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6" t="s">
        <v>1536</v>
      </c>
      <c r="C4" s="587"/>
      <c r="D4" s="587"/>
      <c r="E4" s="588"/>
      <c r="F4" s="451"/>
      <c r="G4" s="451"/>
      <c r="H4" s="452"/>
      <c r="I4" s="550" t="s">
        <v>1537</v>
      </c>
      <c r="J4" s="551"/>
      <c r="K4" s="551"/>
      <c r="L4" s="552"/>
    </row>
    <row r="5" spans="1:12" ht="34.5" customHeight="1">
      <c r="A5" s="204"/>
      <c r="B5" s="454" t="s">
        <v>1379</v>
      </c>
      <c r="C5" s="277" t="s">
        <v>9</v>
      </c>
      <c r="D5" s="582" t="str">
        <f>DATA!D14</f>
        <v>ASFURIAH</v>
      </c>
      <c r="E5" s="583"/>
      <c r="F5" s="208"/>
      <c r="G5" s="208"/>
      <c r="I5" s="455" t="s">
        <v>1379</v>
      </c>
      <c r="J5" s="277" t="s">
        <v>9</v>
      </c>
      <c r="K5" s="553" t="str">
        <f>D5</f>
        <v>ASFURIAH</v>
      </c>
      <c r="L5" s="554"/>
    </row>
    <row r="6" spans="1:12" ht="31.5" customHeight="1">
      <c r="A6" s="204"/>
      <c r="B6" s="454" t="s">
        <v>1533</v>
      </c>
      <c r="C6" s="277" t="s">
        <v>9</v>
      </c>
      <c r="D6" s="591">
        <f>DATA!D17*1000</f>
        <v>7700</v>
      </c>
      <c r="E6" s="592"/>
      <c r="F6" s="208"/>
      <c r="G6" s="208"/>
      <c r="I6" s="455" t="s">
        <v>1534</v>
      </c>
      <c r="J6" s="277" t="s">
        <v>9</v>
      </c>
      <c r="K6" s="555">
        <f>DATA!D20*1000</f>
        <v>11000</v>
      </c>
      <c r="L6" s="556"/>
    </row>
    <row r="7" spans="1:12" ht="30.75" customHeight="1">
      <c r="A7" s="204"/>
      <c r="B7" s="454" t="s">
        <v>1441</v>
      </c>
      <c r="C7" s="277" t="s">
        <v>9</v>
      </c>
      <c r="D7" s="589">
        <f>DATA!D18</f>
        <v>1</v>
      </c>
      <c r="E7" s="590"/>
      <c r="F7" s="453" t="s">
        <v>1453</v>
      </c>
      <c r="I7" s="455" t="s">
        <v>1441</v>
      </c>
      <c r="J7" s="277" t="s">
        <v>9</v>
      </c>
      <c r="K7" s="557">
        <f>DATA!D21</f>
        <v>1</v>
      </c>
      <c r="L7" s="558"/>
    </row>
    <row r="8" spans="1:12" ht="51" customHeight="1">
      <c r="A8" s="204"/>
      <c r="B8" s="454" t="s">
        <v>1442</v>
      </c>
      <c r="C8" s="277" t="s">
        <v>9</v>
      </c>
      <c r="D8" s="589">
        <f>DATA!D19</f>
        <v>220</v>
      </c>
      <c r="E8" s="590"/>
      <c r="F8" s="453" t="s">
        <v>1453</v>
      </c>
      <c r="G8" s="448">
        <v>220</v>
      </c>
      <c r="I8" s="455" t="s">
        <v>1442</v>
      </c>
      <c r="J8" s="277" t="s">
        <v>9</v>
      </c>
      <c r="K8" s="557">
        <f>DATA!D22</f>
        <v>220</v>
      </c>
      <c r="L8" s="558"/>
    </row>
    <row r="9" spans="1:12" ht="30" customHeight="1" thickBot="1">
      <c r="A9" s="204"/>
      <c r="B9" s="460" t="s">
        <v>1545</v>
      </c>
      <c r="C9" s="450" t="s">
        <v>9</v>
      </c>
      <c r="D9" s="584">
        <f>IF(D7=1,D6/(380/3^0.5),(D6/(380*3^0.5)))</f>
        <v>35.096818995474621</v>
      </c>
      <c r="E9" s="585"/>
      <c r="F9" s="207"/>
      <c r="G9" s="449">
        <v>380</v>
      </c>
      <c r="I9" s="461" t="s">
        <v>1545</v>
      </c>
      <c r="J9" s="450" t="s">
        <v>9</v>
      </c>
      <c r="K9" s="561">
        <f>IF(K7=1,K6/(380/3^0.5),(K6/(380*3^0.5)))</f>
        <v>50.138312850678027</v>
      </c>
      <c r="L9" s="562"/>
    </row>
    <row r="10" spans="1:12" ht="24.75" customHeight="1">
      <c r="B10" s="462"/>
      <c r="C10" s="459"/>
      <c r="D10" s="463"/>
      <c r="E10" s="463"/>
      <c r="F10" s="207"/>
      <c r="G10" s="449"/>
      <c r="I10" s="462"/>
      <c r="J10" s="459"/>
      <c r="K10" s="463"/>
      <c r="L10" s="463"/>
    </row>
    <row r="11" spans="1:12" ht="16.5" thickBot="1">
      <c r="B11" s="456" t="s">
        <v>1546</v>
      </c>
      <c r="I11" s="456" t="s">
        <v>1540</v>
      </c>
    </row>
    <row r="12" spans="1:12" ht="34.5" customHeight="1">
      <c r="A12" s="204"/>
      <c r="B12" s="484" t="s">
        <v>1538</v>
      </c>
      <c r="C12" s="478" t="s">
        <v>9</v>
      </c>
      <c r="D12" s="593"/>
      <c r="E12" s="594"/>
      <c r="F12" s="208"/>
      <c r="G12" s="208"/>
      <c r="I12" s="477" t="s">
        <v>1538</v>
      </c>
      <c r="J12" s="478" t="s">
        <v>9</v>
      </c>
      <c r="K12" s="593"/>
      <c r="L12" s="594"/>
    </row>
    <row r="13" spans="1:12" ht="31.5" customHeight="1">
      <c r="A13" s="204"/>
      <c r="B13" s="485" t="s">
        <v>1380</v>
      </c>
      <c r="C13" s="465" t="s">
        <v>9</v>
      </c>
      <c r="D13" s="559"/>
      <c r="E13" s="560"/>
      <c r="F13" s="208"/>
      <c r="G13" s="208"/>
      <c r="I13" s="479" t="s">
        <v>1380</v>
      </c>
      <c r="J13" s="465" t="s">
        <v>9</v>
      </c>
      <c r="K13" s="559"/>
      <c r="L13" s="560"/>
    </row>
    <row r="14" spans="1:12" ht="30.75" customHeight="1">
      <c r="A14" s="204"/>
      <c r="B14" s="485" t="s">
        <v>1539</v>
      </c>
      <c r="C14" s="465" t="s">
        <v>9</v>
      </c>
      <c r="D14" s="563">
        <v>50</v>
      </c>
      <c r="E14" s="564"/>
      <c r="F14" s="453" t="s">
        <v>1453</v>
      </c>
      <c r="G14" s="457">
        <v>50</v>
      </c>
      <c r="I14" s="479" t="s">
        <v>1539</v>
      </c>
      <c r="J14" s="465" t="s">
        <v>9</v>
      </c>
      <c r="K14" s="565">
        <v>50</v>
      </c>
      <c r="L14" s="566"/>
    </row>
    <row r="15" spans="1:12" ht="57" customHeight="1">
      <c r="A15" s="204"/>
      <c r="B15" s="485" t="s">
        <v>1441</v>
      </c>
      <c r="C15" s="465" t="s">
        <v>9</v>
      </c>
      <c r="D15" s="471">
        <v>1</v>
      </c>
      <c r="E15" s="480"/>
      <c r="F15" s="453" t="s">
        <v>1453</v>
      </c>
      <c r="G15" s="457">
        <v>100</v>
      </c>
      <c r="I15" s="479" t="s">
        <v>1441</v>
      </c>
      <c r="J15" s="465" t="s">
        <v>9</v>
      </c>
      <c r="K15" s="471">
        <v>1</v>
      </c>
      <c r="L15" s="480"/>
    </row>
    <row r="16" spans="1:12" ht="44.25" customHeight="1">
      <c r="A16" s="204"/>
      <c r="B16" s="485" t="s">
        <v>1549</v>
      </c>
      <c r="C16" s="465"/>
      <c r="D16" s="567">
        <v>75</v>
      </c>
      <c r="E16" s="568"/>
      <c r="F16" s="453"/>
      <c r="G16" s="457">
        <v>160</v>
      </c>
      <c r="I16" s="479" t="s">
        <v>1541</v>
      </c>
      <c r="J16" s="465" t="s">
        <v>9</v>
      </c>
      <c r="K16" s="571">
        <f>K9</f>
        <v>50.138312850678027</v>
      </c>
      <c r="L16" s="572"/>
    </row>
    <row r="17" spans="1:12" ht="34.5" customHeight="1">
      <c r="A17" s="204"/>
      <c r="B17" s="485" t="s">
        <v>1542</v>
      </c>
      <c r="C17" s="465" t="s">
        <v>9</v>
      </c>
      <c r="D17" s="569">
        <f>IF(D15=1,D14/(20/3^0.5),(D14/(20*3^0.5)))</f>
        <v>4.3301270189221928</v>
      </c>
      <c r="E17" s="570"/>
      <c r="F17" s="453" t="s">
        <v>1453</v>
      </c>
      <c r="G17" s="458">
        <v>200</v>
      </c>
      <c r="I17" s="479" t="s">
        <v>1542</v>
      </c>
      <c r="J17" s="465" t="s">
        <v>9</v>
      </c>
      <c r="K17" s="575">
        <f>IF(K15=1,K14/(20/3^0.5),(K14/(20*3^0.5)))</f>
        <v>4.3301270189221928</v>
      </c>
      <c r="L17" s="576"/>
    </row>
    <row r="18" spans="1:12" ht="34.5" customHeight="1">
      <c r="A18" s="204"/>
      <c r="B18" s="485" t="s">
        <v>1543</v>
      </c>
      <c r="C18" s="465" t="s">
        <v>9</v>
      </c>
      <c r="D18" s="569">
        <f>IF(D15=1,D14/(380/3^0.5),(D14/(380*3^0.5)))*1000</f>
        <v>227.90142204853646</v>
      </c>
      <c r="E18" s="570"/>
      <c r="F18" s="453" t="s">
        <v>1453</v>
      </c>
      <c r="G18" s="458">
        <v>250</v>
      </c>
      <c r="I18" s="479" t="s">
        <v>1543</v>
      </c>
      <c r="J18" s="465" t="s">
        <v>9</v>
      </c>
      <c r="K18" s="575">
        <f>IF(K15=1,K14/(380/3^0.5),(K14/(380*3^0.5)))*1000</f>
        <v>227.90142204853646</v>
      </c>
      <c r="L18" s="576"/>
    </row>
    <row r="19" spans="1:12" ht="30" customHeight="1">
      <c r="A19" s="204"/>
      <c r="B19" s="486" t="s">
        <v>1535</v>
      </c>
      <c r="C19" s="464" t="s">
        <v>9</v>
      </c>
      <c r="D19" s="569">
        <f>IF(D15=1,D14/(380/3^0.5),(D14/(380*3^0.5)))</f>
        <v>0.22790142204853647</v>
      </c>
      <c r="E19" s="570"/>
      <c r="F19" s="207"/>
      <c r="G19" s="449"/>
      <c r="I19" s="481" t="s">
        <v>1535</v>
      </c>
      <c r="J19" s="464" t="s">
        <v>9</v>
      </c>
      <c r="K19" s="575">
        <f>IF(K15=1,K14/(380/3^0.5),(K14/(380*3^0.5)))</f>
        <v>0.22790142204853647</v>
      </c>
      <c r="L19" s="576"/>
    </row>
    <row r="20" spans="1:12" ht="30" customHeight="1" thickBot="1">
      <c r="A20" s="204"/>
      <c r="B20" s="487" t="s">
        <v>1544</v>
      </c>
      <c r="C20" s="483" t="s">
        <v>9</v>
      </c>
      <c r="D20" s="595">
        <f>D16/D18</f>
        <v>0.32908965343808672</v>
      </c>
      <c r="E20" s="596"/>
      <c r="F20" s="207"/>
      <c r="G20" s="449"/>
      <c r="I20" s="482" t="s">
        <v>1535</v>
      </c>
      <c r="J20" s="483" t="s">
        <v>9</v>
      </c>
      <c r="K20" s="573">
        <f>K16/K18</f>
        <v>0.22000000000000003</v>
      </c>
      <c r="L20" s="574"/>
    </row>
    <row r="21" spans="1:12" ht="9.75" customHeight="1">
      <c r="A21" s="204"/>
      <c r="B21" s="472" t="s">
        <v>1544</v>
      </c>
      <c r="C21" s="473" t="s">
        <v>9</v>
      </c>
      <c r="D21" s="580">
        <v>1</v>
      </c>
      <c r="E21" s="580"/>
      <c r="F21" s="474"/>
      <c r="G21" s="475"/>
      <c r="H21" s="476"/>
      <c r="I21" s="472" t="s">
        <v>1535</v>
      </c>
      <c r="J21" s="473" t="s">
        <v>9</v>
      </c>
      <c r="K21" s="580">
        <v>1</v>
      </c>
      <c r="L21" s="580"/>
    </row>
    <row r="22" spans="1:12" ht="6.75" customHeight="1">
      <c r="B22" s="462"/>
      <c r="C22" s="459"/>
      <c r="D22" s="470"/>
      <c r="E22" s="470"/>
      <c r="F22" s="207"/>
      <c r="G22" s="449"/>
      <c r="J22" s="459"/>
      <c r="K22" s="470"/>
      <c r="L22" s="470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67"/>
    </row>
    <row r="27" spans="1:12">
      <c r="D27" s="46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8" zoomScaleNormal="100" workbookViewId="0">
      <selection activeCell="D29" sqref="D29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7"/>
      <c r="C1" s="597"/>
      <c r="D1" s="59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501">
        <v>1084.1250458865841</v>
      </c>
      <c r="F5" s="496" t="s">
        <v>1612</v>
      </c>
      <c r="K5" s="49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3.3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3197700</v>
      </c>
    </row>
    <row r="10" spans="2:11" ht="20.100000000000001" customHeight="1">
      <c r="B10" s="291" t="s">
        <v>1446</v>
      </c>
      <c r="C10" s="292" t="s">
        <v>9</v>
      </c>
      <c r="D10" s="298">
        <f ca="1">RAB!K36</f>
        <v>2569453.9507208336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51389.079014416675</v>
      </c>
    </row>
    <row r="12" spans="2:11" ht="9" customHeight="1">
      <c r="B12" s="598"/>
      <c r="C12" s="598"/>
      <c r="D12" s="598"/>
    </row>
    <row r="13" spans="2:11" ht="15.75" customHeight="1">
      <c r="B13" s="299"/>
      <c r="C13" s="299"/>
      <c r="D13" s="299"/>
    </row>
    <row r="14" spans="2:11" ht="33.75" customHeight="1">
      <c r="B14" s="424" t="s">
        <v>1379</v>
      </c>
      <c r="C14" s="425" t="s">
        <v>9</v>
      </c>
      <c r="D14" s="430" t="s">
        <v>1617</v>
      </c>
      <c r="E14" s="300" t="s">
        <v>1453</v>
      </c>
    </row>
    <row r="15" spans="2:11" ht="20.100000000000001" customHeight="1">
      <c r="B15" s="426" t="s">
        <v>1447</v>
      </c>
      <c r="C15" s="427" t="s">
        <v>9</v>
      </c>
      <c r="D15" s="431" t="s">
        <v>1616</v>
      </c>
      <c r="E15" s="300" t="s">
        <v>1453</v>
      </c>
    </row>
    <row r="16" spans="2:11" ht="20.100000000000001" customHeight="1">
      <c r="B16" s="426" t="s">
        <v>1448</v>
      </c>
      <c r="C16" s="427" t="s">
        <v>9</v>
      </c>
      <c r="D16" s="431" t="s">
        <v>1451</v>
      </c>
      <c r="E16" s="300" t="s">
        <v>1453</v>
      </c>
    </row>
    <row r="17" spans="2:5" ht="20.100000000000001" customHeight="1">
      <c r="B17" s="426" t="s">
        <v>1449</v>
      </c>
      <c r="C17" s="427" t="s">
        <v>9</v>
      </c>
      <c r="D17" s="432">
        <v>7.7</v>
      </c>
      <c r="E17" s="300" t="s">
        <v>1453</v>
      </c>
    </row>
    <row r="18" spans="2:5" ht="20.100000000000001" hidden="1" customHeight="1">
      <c r="B18" s="426" t="s">
        <v>1547</v>
      </c>
      <c r="C18" s="427"/>
      <c r="D18" s="432">
        <f>IF((D17&lt;=11),1,3)</f>
        <v>1</v>
      </c>
      <c r="E18" s="300"/>
    </row>
    <row r="19" spans="2:5" ht="20.100000000000001" hidden="1" customHeight="1">
      <c r="B19" s="426" t="s">
        <v>1548</v>
      </c>
      <c r="C19" s="427"/>
      <c r="D19" s="432">
        <f>IF((D17&lt;=11),220,380)</f>
        <v>220</v>
      </c>
      <c r="E19" s="300"/>
    </row>
    <row r="20" spans="2:5" ht="20.100000000000001" customHeight="1">
      <c r="B20" s="426" t="s">
        <v>1450</v>
      </c>
      <c r="C20" s="427" t="s">
        <v>9</v>
      </c>
      <c r="D20" s="432">
        <v>11</v>
      </c>
      <c r="E20" s="300" t="s">
        <v>1453</v>
      </c>
    </row>
    <row r="21" spans="2:5" ht="20.100000000000001" hidden="1" customHeight="1">
      <c r="B21" s="426" t="s">
        <v>1547</v>
      </c>
      <c r="C21" s="427"/>
      <c r="D21" s="432">
        <f>IF((D20&lt;=11),1,3)</f>
        <v>1</v>
      </c>
      <c r="E21" s="300"/>
    </row>
    <row r="22" spans="2:5" ht="20.100000000000001" hidden="1" customHeight="1">
      <c r="B22" s="426" t="s">
        <v>1548</v>
      </c>
      <c r="C22" s="427"/>
      <c r="D22" s="432">
        <f>IF((D20&lt;=11),220,380)</f>
        <v>220</v>
      </c>
      <c r="E22" s="300"/>
    </row>
    <row r="23" spans="2:5" ht="20.100000000000001" customHeight="1">
      <c r="B23" s="426" t="s">
        <v>1353</v>
      </c>
      <c r="C23" s="427" t="s">
        <v>9</v>
      </c>
      <c r="D23" s="431">
        <v>1444.7</v>
      </c>
      <c r="E23" s="300" t="s">
        <v>1453</v>
      </c>
    </row>
    <row r="24" spans="2:5" ht="20.100000000000001" customHeight="1">
      <c r="B24" s="426" t="s">
        <v>1354</v>
      </c>
      <c r="C24" s="427" t="s">
        <v>9</v>
      </c>
      <c r="D24" s="431">
        <v>1444.7</v>
      </c>
      <c r="E24" s="300" t="s">
        <v>1453</v>
      </c>
    </row>
    <row r="25" spans="2:5" ht="20.100000000000001" customHeight="1">
      <c r="B25" s="426" t="s">
        <v>1452</v>
      </c>
      <c r="C25" s="427" t="s">
        <v>9</v>
      </c>
      <c r="D25" s="432">
        <v>969</v>
      </c>
      <c r="E25" s="300" t="s">
        <v>1453</v>
      </c>
    </row>
    <row r="26" spans="2:5" ht="20.100000000000001" customHeight="1">
      <c r="B26" s="428" t="s">
        <v>1355</v>
      </c>
      <c r="C26" s="429" t="s">
        <v>9</v>
      </c>
      <c r="D26" s="43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C40" sqref="C40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ASFURIAH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9" t="s">
        <v>1349</v>
      </c>
      <c r="C5" s="599" t="s">
        <v>1358</v>
      </c>
      <c r="D5" s="604" t="s">
        <v>1359</v>
      </c>
      <c r="E5" s="604" t="s">
        <v>1360</v>
      </c>
      <c r="F5" s="599" t="s">
        <v>1361</v>
      </c>
      <c r="G5" s="599"/>
      <c r="H5" s="599"/>
      <c r="I5" s="599"/>
      <c r="J5" s="599"/>
      <c r="K5" s="599" t="s">
        <v>1362</v>
      </c>
      <c r="L5" s="599"/>
      <c r="M5" s="307"/>
      <c r="N5" s="602" t="s">
        <v>1363</v>
      </c>
      <c r="O5" s="604" t="s">
        <v>1364</v>
      </c>
      <c r="P5" s="604" t="s">
        <v>1365</v>
      </c>
      <c r="Q5" s="604" t="s">
        <v>1366</v>
      </c>
      <c r="R5" s="308"/>
      <c r="S5" s="309"/>
      <c r="T5" s="600" t="s">
        <v>1367</v>
      </c>
      <c r="U5" s="310"/>
    </row>
    <row r="6" spans="1:21" ht="20.100000000000001" customHeight="1">
      <c r="B6" s="599"/>
      <c r="C6" s="599"/>
      <c r="D6" s="599"/>
      <c r="E6" s="59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3"/>
      <c r="O6" s="599"/>
      <c r="P6" s="599"/>
      <c r="Q6" s="599"/>
      <c r="R6" s="308"/>
      <c r="S6" s="309"/>
      <c r="T6" s="599"/>
      <c r="U6" s="312"/>
    </row>
    <row r="7" spans="1:21" ht="20.100000000000001" customHeight="1">
      <c r="A7" s="313">
        <v>0</v>
      </c>
      <c r="B7" s="314">
        <v>2023</v>
      </c>
      <c r="C7" s="488">
        <f>DATA!D8*DATA!D26*2</f>
        <v>264</v>
      </c>
      <c r="D7" s="316">
        <f>C7*4/24</f>
        <v>44</v>
      </c>
      <c r="E7" s="316">
        <f>C7-D7</f>
        <v>220</v>
      </c>
      <c r="F7" s="317">
        <f ca="1">DATA!D10/1000000</f>
        <v>2.5694539507208338</v>
      </c>
      <c r="G7" s="318">
        <f ca="1">DATA!$D$11/1000000</f>
        <v>5.1389079014416673E-2</v>
      </c>
      <c r="H7" s="318">
        <f>C7*DATA!$D$5/1000000</f>
        <v>0.28620901211405819</v>
      </c>
      <c r="I7" s="318">
        <f>(C7*DATA!$D$5*DATA!$D$7)/1000000</f>
        <v>6.4397027725663089E-3</v>
      </c>
      <c r="J7" s="316">
        <f ca="1">SUM(F7:I7)</f>
        <v>2.9134917446218749</v>
      </c>
      <c r="K7" s="319">
        <f>DATA!D9/1000000</f>
        <v>3.1977000000000002</v>
      </c>
      <c r="L7" s="316">
        <f>((D7*DATA!$D$23)/1000000)+((E7*DATA!$D$24)/1000000)</f>
        <v>0.38140079999999998</v>
      </c>
      <c r="M7" s="316">
        <f>K7+L7</f>
        <v>3.5791008</v>
      </c>
      <c r="N7" s="316">
        <f ca="1">M7-J7</f>
        <v>0.66560905537812509</v>
      </c>
      <c r="O7" s="314">
        <v>1</v>
      </c>
      <c r="P7" s="316">
        <f ca="1">O7*N7</f>
        <v>0.66560905537812509</v>
      </c>
      <c r="Q7" s="316">
        <f ca="1">P7</f>
        <v>0.66560905537812509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1584</v>
      </c>
      <c r="D8" s="316">
        <f>C8*4/24</f>
        <v>264</v>
      </c>
      <c r="E8" s="316">
        <f t="shared" ref="E8:E32" si="0">C8-D8</f>
        <v>1320</v>
      </c>
      <c r="F8" s="314"/>
      <c r="G8" s="318">
        <f ca="1">DATA!$D$11/1000000</f>
        <v>5.1389079014416673E-2</v>
      </c>
      <c r="H8" s="318">
        <f>C8*DATA!$D$5/1000000</f>
        <v>1.7172540726843493</v>
      </c>
      <c r="I8" s="318">
        <f>(C8*DATA!$D$5*DATA!$D$7)/1000000</f>
        <v>3.8638216635397855E-2</v>
      </c>
      <c r="J8" s="316">
        <f t="shared" ref="J8:J32" ca="1" si="1">SUM(F8:I8)</f>
        <v>1.8072813683341638</v>
      </c>
      <c r="K8" s="321"/>
      <c r="L8" s="316">
        <f>((D8*DATA!$D$23)/1000000)+((E8*DATA!$D$24)/1000000)</f>
        <v>2.2884047999999999</v>
      </c>
      <c r="M8" s="316">
        <f t="shared" ref="M8:M32" si="2">K8+L8</f>
        <v>2.2884047999999999</v>
      </c>
      <c r="N8" s="316">
        <f ca="1">M8-J8</f>
        <v>0.48112343166583615</v>
      </c>
      <c r="O8" s="315">
        <f>1/(1+'[93]Asumsi I'!$C$3)^(KKF!A8)</f>
        <v>0.89285714285714279</v>
      </c>
      <c r="P8" s="316">
        <f ca="1">O8*N8</f>
        <v>0.42957449255878227</v>
      </c>
      <c r="Q8" s="316">
        <f ca="1">Q7+P8</f>
        <v>1.0951835479369074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1584</v>
      </c>
      <c r="D9" s="316">
        <f t="shared" ref="D9:D32" si="5">C9*4/24</f>
        <v>264</v>
      </c>
      <c r="E9" s="316">
        <f t="shared" si="0"/>
        <v>1320</v>
      </c>
      <c r="F9" s="314"/>
      <c r="G9" s="318">
        <f ca="1">DATA!$D$11/1000000</f>
        <v>5.1389079014416673E-2</v>
      </c>
      <c r="H9" s="318">
        <f>C9*DATA!$D$5/1000000</f>
        <v>1.7172540726843493</v>
      </c>
      <c r="I9" s="318">
        <f>(C9*DATA!$D$5*DATA!$D$7)/1000000</f>
        <v>3.8638216635397855E-2</v>
      </c>
      <c r="J9" s="316">
        <f t="shared" ca="1" si="1"/>
        <v>1.8072813683341638</v>
      </c>
      <c r="K9" s="316"/>
      <c r="L9" s="316">
        <f>((D9*DATA!$D$23)/1000000)+((E9*DATA!$D$24)/1000000)</f>
        <v>2.2884047999999999</v>
      </c>
      <c r="M9" s="316">
        <f t="shared" si="2"/>
        <v>2.2884047999999999</v>
      </c>
      <c r="N9" s="316">
        <f t="shared" ref="N9:N32" ca="1" si="6">M9-J9</f>
        <v>0.48112343166583615</v>
      </c>
      <c r="O9" s="322">
        <f>1/(1+'[93]Asumsi I'!$C$3)^(KKF!A9)</f>
        <v>0.79719387755102034</v>
      </c>
      <c r="P9" s="316">
        <f t="shared" ref="P9:P32" ca="1" si="7">O9*N9</f>
        <v>0.38354865407034128</v>
      </c>
      <c r="Q9" s="316">
        <f ca="1">Q8+P9</f>
        <v>1.4787322020072486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1584</v>
      </c>
      <c r="D10" s="316">
        <f t="shared" si="5"/>
        <v>264</v>
      </c>
      <c r="E10" s="316">
        <f t="shared" si="0"/>
        <v>1320</v>
      </c>
      <c r="F10" s="314"/>
      <c r="G10" s="318">
        <f ca="1">DATA!$D$11/1000000</f>
        <v>5.1389079014416673E-2</v>
      </c>
      <c r="H10" s="318">
        <f>C10*DATA!$D$5/1000000</f>
        <v>1.7172540726843493</v>
      </c>
      <c r="I10" s="318">
        <f>(C10*DATA!$D$5*DATA!$D$7)/1000000</f>
        <v>3.8638216635397855E-2</v>
      </c>
      <c r="J10" s="316">
        <f t="shared" ca="1" si="1"/>
        <v>1.8072813683341638</v>
      </c>
      <c r="K10" s="314"/>
      <c r="L10" s="316">
        <f>((D10*DATA!$D$23)/1000000)+((E10*DATA!$D$24)/1000000)</f>
        <v>2.2884047999999999</v>
      </c>
      <c r="M10" s="316">
        <f t="shared" si="2"/>
        <v>2.2884047999999999</v>
      </c>
      <c r="N10" s="316">
        <f t="shared" ca="1" si="6"/>
        <v>0.48112343166583615</v>
      </c>
      <c r="O10" s="315">
        <f>1/(1+'[93]Asumsi I'!$C$3)^(KKF!A10)</f>
        <v>0.71178024781341087</v>
      </c>
      <c r="P10" s="316">
        <f t="shared" ca="1" si="7"/>
        <v>0.3424541554199475</v>
      </c>
      <c r="Q10" s="316">
        <f t="shared" ref="Q10:Q30" ca="1" si="9">Q9+P10</f>
        <v>1.8211863574271963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1584</v>
      </c>
      <c r="D11" s="316">
        <f t="shared" si="5"/>
        <v>264</v>
      </c>
      <c r="E11" s="316">
        <f t="shared" si="0"/>
        <v>1320</v>
      </c>
      <c r="F11" s="314"/>
      <c r="G11" s="318">
        <f ca="1">DATA!$D$11/1000000</f>
        <v>5.1389079014416673E-2</v>
      </c>
      <c r="H11" s="318">
        <f>C11*DATA!$D$5/1000000</f>
        <v>1.7172540726843493</v>
      </c>
      <c r="I11" s="318">
        <f>(C11*DATA!$D$5*DATA!$D$7)/1000000</f>
        <v>3.8638216635397855E-2</v>
      </c>
      <c r="J11" s="316">
        <f t="shared" ca="1" si="1"/>
        <v>1.8072813683341638</v>
      </c>
      <c r="K11" s="314"/>
      <c r="L11" s="316">
        <f>((D11*DATA!$D$23)/1000000)+((E11*DATA!$D$24)/1000000)</f>
        <v>2.2884047999999999</v>
      </c>
      <c r="M11" s="316">
        <f t="shared" si="2"/>
        <v>2.2884047999999999</v>
      </c>
      <c r="N11" s="316">
        <f t="shared" ca="1" si="6"/>
        <v>0.48112343166583615</v>
      </c>
      <c r="O11" s="315">
        <f>1/(1+'[93]Asumsi I'!$C$3)^(KKF!A11)</f>
        <v>0.63551807840483121</v>
      </c>
      <c r="P11" s="316">
        <f t="shared" ca="1" si="7"/>
        <v>0.30576263876781029</v>
      </c>
      <c r="Q11" s="316">
        <f t="shared" ca="1" si="9"/>
        <v>2.1269489961950065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1584</v>
      </c>
      <c r="D12" s="316">
        <f t="shared" si="5"/>
        <v>264</v>
      </c>
      <c r="E12" s="316">
        <f t="shared" si="0"/>
        <v>1320</v>
      </c>
      <c r="F12" s="314"/>
      <c r="G12" s="318">
        <f ca="1">DATA!$D$11/1000000</f>
        <v>5.1389079014416673E-2</v>
      </c>
      <c r="H12" s="318">
        <f>C12*DATA!$D$5/1000000</f>
        <v>1.7172540726843493</v>
      </c>
      <c r="I12" s="318">
        <f>(C12*DATA!$D$5*DATA!$D$7)/1000000</f>
        <v>3.8638216635397855E-2</v>
      </c>
      <c r="J12" s="316">
        <f t="shared" ca="1" si="1"/>
        <v>1.8072813683341638</v>
      </c>
      <c r="K12" s="314"/>
      <c r="L12" s="316">
        <f>((D12*DATA!$D$23)/1000000)+((E12*DATA!$D$24)/1000000)</f>
        <v>2.2884047999999999</v>
      </c>
      <c r="M12" s="316">
        <f t="shared" si="2"/>
        <v>2.2884047999999999</v>
      </c>
      <c r="N12" s="316">
        <f t="shared" ca="1" si="6"/>
        <v>0.48112343166583615</v>
      </c>
      <c r="O12" s="315">
        <f>1/(1+'[93]Asumsi I'!$C$3)^(KKF!A12)</f>
        <v>0.56742685571859919</v>
      </c>
      <c r="P12" s="316">
        <f t="shared" ca="1" si="7"/>
        <v>0.27300235604268774</v>
      </c>
      <c r="Q12" s="316">
        <f t="shared" ca="1" si="9"/>
        <v>2.3999513522376943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1584</v>
      </c>
      <c r="D13" s="316">
        <f t="shared" si="5"/>
        <v>264</v>
      </c>
      <c r="E13" s="316">
        <f t="shared" si="0"/>
        <v>1320</v>
      </c>
      <c r="F13" s="314"/>
      <c r="G13" s="318">
        <f ca="1">DATA!$D$11/1000000</f>
        <v>5.1389079014416673E-2</v>
      </c>
      <c r="H13" s="318">
        <f>C13*DATA!$D$5/1000000</f>
        <v>1.7172540726843493</v>
      </c>
      <c r="I13" s="318">
        <f>(C13*DATA!$D$5*DATA!$D$7)/1000000</f>
        <v>3.8638216635397855E-2</v>
      </c>
      <c r="J13" s="316">
        <f t="shared" ca="1" si="1"/>
        <v>1.8072813683341638</v>
      </c>
      <c r="K13" s="314"/>
      <c r="L13" s="316">
        <f>((D13*DATA!$D$23)/1000000)+((E13*DATA!$D$24)/1000000)</f>
        <v>2.2884047999999999</v>
      </c>
      <c r="M13" s="316">
        <f t="shared" si="2"/>
        <v>2.2884047999999999</v>
      </c>
      <c r="N13" s="316">
        <f t="shared" ca="1" si="6"/>
        <v>0.48112343166583615</v>
      </c>
      <c r="O13" s="315">
        <f>1/(1+'[93]Asumsi I'!$C$3)^(KKF!A13)</f>
        <v>0.50663112117732068</v>
      </c>
      <c r="P13" s="316">
        <f t="shared" ca="1" si="7"/>
        <v>0.24375210360954261</v>
      </c>
      <c r="Q13" s="316">
        <f t="shared" ca="1" si="9"/>
        <v>2.6437034558472368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1584</v>
      </c>
      <c r="D14" s="316">
        <f t="shared" si="5"/>
        <v>264</v>
      </c>
      <c r="E14" s="316">
        <f t="shared" si="0"/>
        <v>1320</v>
      </c>
      <c r="F14" s="314"/>
      <c r="G14" s="318">
        <f ca="1">DATA!$D$11/1000000</f>
        <v>5.1389079014416673E-2</v>
      </c>
      <c r="H14" s="318">
        <f>C14*DATA!$D$5/1000000</f>
        <v>1.7172540726843493</v>
      </c>
      <c r="I14" s="318">
        <f>(C14*DATA!$D$5*DATA!$D$7)/1000000</f>
        <v>3.8638216635397855E-2</v>
      </c>
      <c r="J14" s="316">
        <f t="shared" ca="1" si="1"/>
        <v>1.8072813683341638</v>
      </c>
      <c r="K14" s="314"/>
      <c r="L14" s="316">
        <f>((D14*DATA!$D$23)/1000000)+((E14*DATA!$D$24)/1000000)</f>
        <v>2.2884047999999999</v>
      </c>
      <c r="M14" s="316">
        <f t="shared" si="2"/>
        <v>2.2884047999999999</v>
      </c>
      <c r="N14" s="316">
        <f t="shared" ca="1" si="6"/>
        <v>0.48112343166583615</v>
      </c>
      <c r="O14" s="315">
        <f>1/(1+'[93]Asumsi I'!$C$3)^(KKF!A14)</f>
        <v>0.45234921533689343</v>
      </c>
      <c r="P14" s="316">
        <f t="shared" ca="1" si="7"/>
        <v>0.21763580679423444</v>
      </c>
      <c r="Q14" s="316">
        <f t="shared" ca="1" si="9"/>
        <v>2.8613392626414713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1584</v>
      </c>
      <c r="D15" s="316">
        <f t="shared" si="5"/>
        <v>264</v>
      </c>
      <c r="E15" s="316">
        <f t="shared" si="0"/>
        <v>1320</v>
      </c>
      <c r="F15" s="314"/>
      <c r="G15" s="318">
        <f ca="1">DATA!$D$11/1000000</f>
        <v>5.1389079014416673E-2</v>
      </c>
      <c r="H15" s="318">
        <f>C15*DATA!$D$5/1000000</f>
        <v>1.7172540726843493</v>
      </c>
      <c r="I15" s="318">
        <f>(C15*DATA!$D$5*DATA!$D$7)/1000000</f>
        <v>3.8638216635397855E-2</v>
      </c>
      <c r="J15" s="316">
        <f t="shared" ca="1" si="1"/>
        <v>1.8072813683341638</v>
      </c>
      <c r="K15" s="314"/>
      <c r="L15" s="316">
        <f>((D15*DATA!$D$23)/1000000)+((E15*DATA!$D$24)/1000000)</f>
        <v>2.2884047999999999</v>
      </c>
      <c r="M15" s="316">
        <f t="shared" si="2"/>
        <v>2.2884047999999999</v>
      </c>
      <c r="N15" s="316">
        <f t="shared" ca="1" si="6"/>
        <v>0.48112343166583615</v>
      </c>
      <c r="O15" s="315">
        <f>1/(1+'[93]Asumsi I'!$C$3)^(KKF!A15)</f>
        <v>0.4038832279793691</v>
      </c>
      <c r="P15" s="316">
        <f t="shared" ca="1" si="7"/>
        <v>0.19431768463770932</v>
      </c>
      <c r="Q15" s="316">
        <f t="shared" ca="1" si="9"/>
        <v>3.0556569472791808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1584</v>
      </c>
      <c r="D16" s="316">
        <f t="shared" si="5"/>
        <v>264</v>
      </c>
      <c r="E16" s="316">
        <f t="shared" si="0"/>
        <v>1320</v>
      </c>
      <c r="F16" s="314"/>
      <c r="G16" s="318">
        <f ca="1">DATA!$D$11/1000000</f>
        <v>5.1389079014416673E-2</v>
      </c>
      <c r="H16" s="318">
        <f>C16*DATA!$D$5/1000000</f>
        <v>1.7172540726843493</v>
      </c>
      <c r="I16" s="318">
        <f>(C16*DATA!$D$5*DATA!$D$7)/1000000</f>
        <v>3.8638216635397855E-2</v>
      </c>
      <c r="J16" s="316">
        <f t="shared" ca="1" si="1"/>
        <v>1.8072813683341638</v>
      </c>
      <c r="K16" s="314"/>
      <c r="L16" s="316">
        <f>((D16*DATA!$D$23)/1000000)+((E16*DATA!$D$24)/1000000)</f>
        <v>2.2884047999999999</v>
      </c>
      <c r="M16" s="316">
        <f t="shared" si="2"/>
        <v>2.2884047999999999</v>
      </c>
      <c r="N16" s="316">
        <f t="shared" ca="1" si="6"/>
        <v>0.48112343166583615</v>
      </c>
      <c r="O16" s="315">
        <f>1/(1+'[93]Asumsi I'!$C$3)^(KKF!A16)</f>
        <v>0.36061002498157957</v>
      </c>
      <c r="P16" s="316">
        <f t="shared" ca="1" si="7"/>
        <v>0.17349793271224045</v>
      </c>
      <c r="Q16" s="316">
        <f t="shared" ca="1" si="9"/>
        <v>3.2291548799914214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1584</v>
      </c>
      <c r="D17" s="316">
        <f t="shared" si="5"/>
        <v>264</v>
      </c>
      <c r="E17" s="316">
        <f t="shared" si="0"/>
        <v>1320</v>
      </c>
      <c r="F17" s="314"/>
      <c r="G17" s="318">
        <f ca="1">DATA!$D$11/1000000</f>
        <v>5.1389079014416673E-2</v>
      </c>
      <c r="H17" s="318">
        <f>C17*DATA!$D$5/1000000</f>
        <v>1.7172540726843493</v>
      </c>
      <c r="I17" s="318">
        <f>(C17*DATA!$D$5*DATA!$D$7)/1000000</f>
        <v>3.8638216635397855E-2</v>
      </c>
      <c r="J17" s="316">
        <f t="shared" ca="1" si="1"/>
        <v>1.8072813683341638</v>
      </c>
      <c r="K17" s="314"/>
      <c r="L17" s="316">
        <f>((D17*DATA!$D$23)/1000000)+((E17*DATA!$D$24)/1000000)</f>
        <v>2.2884047999999999</v>
      </c>
      <c r="M17" s="316">
        <f t="shared" si="2"/>
        <v>2.2884047999999999</v>
      </c>
      <c r="N17" s="316">
        <f t="shared" ca="1" si="6"/>
        <v>0.48112343166583615</v>
      </c>
      <c r="O17" s="315">
        <f>1/(1+'[93]Asumsi I'!$C$3)^(KKF!A17)</f>
        <v>0.32197323659069599</v>
      </c>
      <c r="P17" s="316">
        <f t="shared" ca="1" si="7"/>
        <v>0.15490886849307181</v>
      </c>
      <c r="Q17" s="316">
        <f t="shared" ca="1" si="9"/>
        <v>3.3840637484844933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1584</v>
      </c>
      <c r="D18" s="316">
        <f t="shared" si="5"/>
        <v>264</v>
      </c>
      <c r="E18" s="316">
        <f t="shared" si="0"/>
        <v>1320</v>
      </c>
      <c r="F18" s="314"/>
      <c r="G18" s="318">
        <f ca="1">DATA!$D$11/1000000</f>
        <v>5.1389079014416673E-2</v>
      </c>
      <c r="H18" s="318">
        <f>C18*DATA!$D$5/1000000</f>
        <v>1.7172540726843493</v>
      </c>
      <c r="I18" s="318">
        <f>(C18*DATA!$D$5*DATA!$D$7)/1000000</f>
        <v>3.8638216635397855E-2</v>
      </c>
      <c r="J18" s="316">
        <f t="shared" ca="1" si="1"/>
        <v>1.8072813683341638</v>
      </c>
      <c r="K18" s="314"/>
      <c r="L18" s="316">
        <f>((D18*DATA!$D$23)/1000000)+((E18*DATA!$D$24)/1000000)</f>
        <v>2.2884047999999999</v>
      </c>
      <c r="M18" s="316">
        <f t="shared" si="2"/>
        <v>2.2884047999999999</v>
      </c>
      <c r="N18" s="316">
        <f t="shared" ca="1" si="6"/>
        <v>0.48112343166583615</v>
      </c>
      <c r="O18" s="315">
        <f>1/(1+'[93]Asumsi I'!$C$3)^(KKF!A18)</f>
        <v>0.28747610409883567</v>
      </c>
      <c r="P18" s="316">
        <f t="shared" ca="1" si="7"/>
        <v>0.13831148972595697</v>
      </c>
      <c r="Q18" s="316">
        <f t="shared" ca="1" si="9"/>
        <v>3.5223752382104503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1584</v>
      </c>
      <c r="D19" s="316">
        <f t="shared" si="5"/>
        <v>264</v>
      </c>
      <c r="E19" s="316">
        <f t="shared" si="0"/>
        <v>1320</v>
      </c>
      <c r="F19" s="314"/>
      <c r="G19" s="318">
        <f ca="1">DATA!$D$11/1000000</f>
        <v>5.1389079014416673E-2</v>
      </c>
      <c r="H19" s="318">
        <f>C19*DATA!$D$5/1000000</f>
        <v>1.7172540726843493</v>
      </c>
      <c r="I19" s="318">
        <f>(C19*DATA!$D$5*DATA!$D$7)/1000000</f>
        <v>3.8638216635397855E-2</v>
      </c>
      <c r="J19" s="316">
        <f t="shared" ca="1" si="1"/>
        <v>1.8072813683341638</v>
      </c>
      <c r="K19" s="314"/>
      <c r="L19" s="316">
        <f>((D19*DATA!$D$23)/1000000)+((E19*DATA!$D$24)/1000000)</f>
        <v>2.2884047999999999</v>
      </c>
      <c r="M19" s="316">
        <f t="shared" si="2"/>
        <v>2.2884047999999999</v>
      </c>
      <c r="N19" s="316">
        <f t="shared" ca="1" si="6"/>
        <v>0.48112343166583615</v>
      </c>
      <c r="O19" s="315">
        <f>1/(1+'[93]Asumsi I'!$C$3)^(KKF!A19)</f>
        <v>0.25667509294538904</v>
      </c>
      <c r="P19" s="316">
        <f t="shared" ca="1" si="7"/>
        <v>0.12349240154103303</v>
      </c>
      <c r="Q19" s="316">
        <f t="shared" ca="1" si="9"/>
        <v>3.6458676397514833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1584</v>
      </c>
      <c r="D20" s="316">
        <f t="shared" si="5"/>
        <v>264</v>
      </c>
      <c r="E20" s="316">
        <f t="shared" si="0"/>
        <v>1320</v>
      </c>
      <c r="F20" s="314"/>
      <c r="G20" s="318">
        <f ca="1">DATA!$D$11/1000000</f>
        <v>5.1389079014416673E-2</v>
      </c>
      <c r="H20" s="318">
        <f>C20*DATA!$D$5/1000000</f>
        <v>1.7172540726843493</v>
      </c>
      <c r="I20" s="318">
        <f>(C20*DATA!$D$5*DATA!$D$7)/1000000</f>
        <v>3.8638216635397855E-2</v>
      </c>
      <c r="J20" s="316">
        <f t="shared" ca="1" si="1"/>
        <v>1.8072813683341638</v>
      </c>
      <c r="K20" s="314"/>
      <c r="L20" s="316">
        <f>((D20*DATA!$D$23)/1000000)+((E20*DATA!$D$24)/1000000)</f>
        <v>2.2884047999999999</v>
      </c>
      <c r="M20" s="316">
        <f t="shared" si="2"/>
        <v>2.2884047999999999</v>
      </c>
      <c r="N20" s="316">
        <f t="shared" ca="1" si="6"/>
        <v>0.48112343166583615</v>
      </c>
      <c r="O20" s="315">
        <f>1/(1+'[93]Asumsi I'!$C$3)^(KKF!A20)</f>
        <v>0.22917419012981158</v>
      </c>
      <c r="P20" s="316">
        <f t="shared" ca="1" si="7"/>
        <v>0.11026107280449374</v>
      </c>
      <c r="Q20" s="316">
        <f t="shared" ca="1" si="9"/>
        <v>3.7561287125559772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1584</v>
      </c>
      <c r="D21" s="316">
        <f t="shared" si="5"/>
        <v>264</v>
      </c>
      <c r="E21" s="316">
        <f t="shared" si="0"/>
        <v>1320</v>
      </c>
      <c r="F21" s="314"/>
      <c r="G21" s="318">
        <f ca="1">DATA!$D$11/1000000</f>
        <v>5.1389079014416673E-2</v>
      </c>
      <c r="H21" s="318">
        <f>C21*DATA!$D$5/1000000</f>
        <v>1.7172540726843493</v>
      </c>
      <c r="I21" s="318">
        <f>(C21*DATA!$D$5*DATA!$D$7)/1000000</f>
        <v>3.8638216635397855E-2</v>
      </c>
      <c r="J21" s="316">
        <f t="shared" ca="1" si="1"/>
        <v>1.8072813683341638</v>
      </c>
      <c r="K21" s="314"/>
      <c r="L21" s="316">
        <f>((D21*DATA!$D$23)/1000000)+((E21*DATA!$D$24)/1000000)</f>
        <v>2.2884047999999999</v>
      </c>
      <c r="M21" s="316">
        <f t="shared" si="2"/>
        <v>2.2884047999999999</v>
      </c>
      <c r="N21" s="316">
        <f t="shared" ca="1" si="6"/>
        <v>0.48112343166583615</v>
      </c>
      <c r="O21" s="315">
        <f>1/(1+'[93]Asumsi I'!$C$3)^(KKF!A21)</f>
        <v>0.20461981261590317</v>
      </c>
      <c r="P21" s="316">
        <f t="shared" ca="1" si="7"/>
        <v>9.8447386432583689E-2</v>
      </c>
      <c r="Q21" s="316">
        <f t="shared" ca="1" si="9"/>
        <v>3.8545760989885611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1584</v>
      </c>
      <c r="D22" s="316">
        <f t="shared" si="5"/>
        <v>264</v>
      </c>
      <c r="E22" s="316">
        <f t="shared" si="0"/>
        <v>1320</v>
      </c>
      <c r="F22" s="314"/>
      <c r="G22" s="318">
        <f ca="1">DATA!$D$11/1000000</f>
        <v>5.1389079014416673E-2</v>
      </c>
      <c r="H22" s="318">
        <f>C22*DATA!$D$5/1000000</f>
        <v>1.7172540726843493</v>
      </c>
      <c r="I22" s="318">
        <f>(C22*DATA!$D$5*DATA!$D$7)/1000000</f>
        <v>3.8638216635397855E-2</v>
      </c>
      <c r="J22" s="316">
        <f t="shared" ca="1" si="1"/>
        <v>1.8072813683341638</v>
      </c>
      <c r="K22" s="314"/>
      <c r="L22" s="316">
        <f>((D22*DATA!$D$23)/1000000)+((E22*DATA!$D$24)/1000000)</f>
        <v>2.2884047999999999</v>
      </c>
      <c r="M22" s="316">
        <f t="shared" si="2"/>
        <v>2.2884047999999999</v>
      </c>
      <c r="N22" s="316">
        <f t="shared" ca="1" si="6"/>
        <v>0.48112343166583615</v>
      </c>
      <c r="O22" s="315">
        <f>1/(1+'[93]Asumsi I'!$C$3)^(KKF!A22)</f>
        <v>0.18269626126419927</v>
      </c>
      <c r="P22" s="316">
        <f t="shared" ca="1" si="7"/>
        <v>8.7899452171949721E-2</v>
      </c>
      <c r="Q22" s="316">
        <f t="shared" ca="1" si="9"/>
        <v>3.942475551160511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1584</v>
      </c>
      <c r="D23" s="316">
        <f t="shared" si="5"/>
        <v>264</v>
      </c>
      <c r="E23" s="316">
        <f t="shared" si="0"/>
        <v>1320</v>
      </c>
      <c r="F23" s="314"/>
      <c r="G23" s="318">
        <f ca="1">DATA!$D$11/1000000</f>
        <v>5.1389079014416673E-2</v>
      </c>
      <c r="H23" s="318">
        <f>C23*DATA!$D$5/1000000</f>
        <v>1.7172540726843493</v>
      </c>
      <c r="I23" s="318">
        <f>(C23*DATA!$D$5*DATA!$D$7)/1000000</f>
        <v>3.8638216635397855E-2</v>
      </c>
      <c r="J23" s="316">
        <f t="shared" ca="1" si="1"/>
        <v>1.8072813683341638</v>
      </c>
      <c r="K23" s="314"/>
      <c r="L23" s="316">
        <f>((D23*DATA!$D$23)/1000000)+((E23*DATA!$D$24)/1000000)</f>
        <v>2.2884047999999999</v>
      </c>
      <c r="M23" s="316">
        <f t="shared" si="2"/>
        <v>2.2884047999999999</v>
      </c>
      <c r="N23" s="316">
        <f t="shared" ca="1" si="6"/>
        <v>0.48112343166583615</v>
      </c>
      <c r="O23" s="315">
        <f>1/(1+'[93]Asumsi I'!$C$3)^(KKF!A23)</f>
        <v>0.16312166184303503</v>
      </c>
      <c r="P23" s="316">
        <f t="shared" ca="1" si="7"/>
        <v>7.8481653724955094E-2</v>
      </c>
      <c r="Q23" s="316">
        <f t="shared" ca="1" si="9"/>
        <v>4.020957204885466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1584</v>
      </c>
      <c r="D24" s="316">
        <f t="shared" si="5"/>
        <v>264</v>
      </c>
      <c r="E24" s="316">
        <f t="shared" si="0"/>
        <v>1320</v>
      </c>
      <c r="F24" s="314"/>
      <c r="G24" s="318">
        <f ca="1">DATA!$D$11/1000000</f>
        <v>5.1389079014416673E-2</v>
      </c>
      <c r="H24" s="318">
        <f>C24*DATA!$D$5/1000000</f>
        <v>1.7172540726843493</v>
      </c>
      <c r="I24" s="318">
        <f>(C24*DATA!$D$5*DATA!$D$7)/1000000</f>
        <v>3.8638216635397855E-2</v>
      </c>
      <c r="J24" s="316">
        <f t="shared" ca="1" si="1"/>
        <v>1.8072813683341638</v>
      </c>
      <c r="K24" s="314"/>
      <c r="L24" s="316">
        <f>((D24*DATA!$D$23)/1000000)+((E24*DATA!$D$24)/1000000)</f>
        <v>2.2884047999999999</v>
      </c>
      <c r="M24" s="316">
        <f t="shared" si="2"/>
        <v>2.2884047999999999</v>
      </c>
      <c r="N24" s="316">
        <f t="shared" ca="1" si="6"/>
        <v>0.48112343166583615</v>
      </c>
      <c r="O24" s="315">
        <f>1/(1+'[93]Asumsi I'!$C$3)^(KKF!A24)</f>
        <v>0.14564434093128129</v>
      </c>
      <c r="P24" s="316">
        <f t="shared" ca="1" si="7"/>
        <v>7.0072905111567052E-2</v>
      </c>
      <c r="Q24" s="316">
        <f t="shared" ca="1" si="9"/>
        <v>4.0910301099970328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1584</v>
      </c>
      <c r="D25" s="316">
        <f t="shared" si="5"/>
        <v>264</v>
      </c>
      <c r="E25" s="316">
        <f t="shared" si="0"/>
        <v>1320</v>
      </c>
      <c r="F25" s="314"/>
      <c r="G25" s="318">
        <f ca="1">DATA!$D$11/1000000</f>
        <v>5.1389079014416673E-2</v>
      </c>
      <c r="H25" s="318">
        <f>C25*DATA!$D$5/1000000</f>
        <v>1.7172540726843493</v>
      </c>
      <c r="I25" s="318">
        <f>(C25*DATA!$D$5*DATA!$D$7)/1000000</f>
        <v>3.8638216635397855E-2</v>
      </c>
      <c r="J25" s="316">
        <f t="shared" ca="1" si="1"/>
        <v>1.8072813683341638</v>
      </c>
      <c r="K25" s="314"/>
      <c r="L25" s="316">
        <f>((D25*DATA!$D$23)/1000000)+((E25*DATA!$D$24)/1000000)</f>
        <v>2.2884047999999999</v>
      </c>
      <c r="M25" s="316">
        <f t="shared" si="2"/>
        <v>2.2884047999999999</v>
      </c>
      <c r="N25" s="316">
        <f t="shared" ca="1" si="6"/>
        <v>0.48112343166583615</v>
      </c>
      <c r="O25" s="315">
        <f>1/(1+'[93]Asumsi I'!$C$3)^(KKF!A25)</f>
        <v>0.13003959011721541</v>
      </c>
      <c r="P25" s="316">
        <f t="shared" ca="1" si="7"/>
        <v>6.2565093849613437E-2</v>
      </c>
      <c r="Q25" s="316">
        <f t="shared" ca="1" si="9"/>
        <v>4.1535952038466464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1584</v>
      </c>
      <c r="D26" s="316">
        <f t="shared" si="5"/>
        <v>264</v>
      </c>
      <c r="E26" s="316">
        <f t="shared" si="0"/>
        <v>1320</v>
      </c>
      <c r="F26" s="314"/>
      <c r="G26" s="318">
        <f ca="1">DATA!$D$11/1000000</f>
        <v>5.1389079014416673E-2</v>
      </c>
      <c r="H26" s="318">
        <f>C26*DATA!$D$5/1000000</f>
        <v>1.7172540726843493</v>
      </c>
      <c r="I26" s="318">
        <f>(C26*DATA!$D$5*DATA!$D$7)/1000000</f>
        <v>3.8638216635397855E-2</v>
      </c>
      <c r="J26" s="316">
        <f t="shared" ca="1" si="1"/>
        <v>1.8072813683341638</v>
      </c>
      <c r="K26" s="314"/>
      <c r="L26" s="316">
        <f>((D26*DATA!$D$23)/1000000)+((E26*DATA!$D$24)/1000000)</f>
        <v>2.2884047999999999</v>
      </c>
      <c r="M26" s="316">
        <f t="shared" si="2"/>
        <v>2.2884047999999999</v>
      </c>
      <c r="N26" s="316">
        <f t="shared" ca="1" si="6"/>
        <v>0.48112343166583615</v>
      </c>
      <c r="O26" s="315">
        <f>1/(1+'[93]Asumsi I'!$C$3)^(KKF!A26)</f>
        <v>0.1161067768903709</v>
      </c>
      <c r="P26" s="316">
        <f t="shared" ca="1" si="7"/>
        <v>5.5861690937154845E-2</v>
      </c>
      <c r="Q26" s="316">
        <f t="shared" ca="1" si="9"/>
        <v>4.2094568947838011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1584</v>
      </c>
      <c r="D27" s="316">
        <f t="shared" si="5"/>
        <v>264</v>
      </c>
      <c r="E27" s="316">
        <f t="shared" si="0"/>
        <v>1320</v>
      </c>
      <c r="F27" s="314"/>
      <c r="G27" s="318">
        <f ca="1">DATA!$D$11/1000000</f>
        <v>5.1389079014416673E-2</v>
      </c>
      <c r="H27" s="318">
        <f>C27*DATA!$D$5/1000000</f>
        <v>1.7172540726843493</v>
      </c>
      <c r="I27" s="318">
        <f>(C27*DATA!$D$5*DATA!$D$7)/1000000</f>
        <v>3.8638216635397855E-2</v>
      </c>
      <c r="J27" s="316">
        <f t="shared" ca="1" si="1"/>
        <v>1.8072813683341638</v>
      </c>
      <c r="K27" s="314"/>
      <c r="L27" s="316">
        <f>((D27*DATA!$D$23)/1000000)+((E27*DATA!$D$24)/1000000)</f>
        <v>2.2884047999999999</v>
      </c>
      <c r="M27" s="316">
        <f t="shared" si="2"/>
        <v>2.2884047999999999</v>
      </c>
      <c r="N27" s="316">
        <f t="shared" ca="1" si="6"/>
        <v>0.48112343166583615</v>
      </c>
      <c r="O27" s="315">
        <f>1/(1+'[93]Asumsi I'!$C$3)^(KKF!A27)</f>
        <v>0.1036667650806883</v>
      </c>
      <c r="P27" s="316">
        <f t="shared" ca="1" si="7"/>
        <v>4.9876509765316823E-2</v>
      </c>
      <c r="Q27" s="316">
        <f t="shared" ca="1" si="9"/>
        <v>4.2593334045491176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1584</v>
      </c>
      <c r="D28" s="316">
        <f t="shared" si="5"/>
        <v>264</v>
      </c>
      <c r="E28" s="316">
        <f t="shared" si="0"/>
        <v>1320</v>
      </c>
      <c r="F28" s="314"/>
      <c r="G28" s="318">
        <f ca="1">DATA!$D$11/1000000</f>
        <v>5.1389079014416673E-2</v>
      </c>
      <c r="H28" s="318">
        <f>C28*DATA!$D$5/1000000</f>
        <v>1.7172540726843493</v>
      </c>
      <c r="I28" s="318">
        <f>(C28*DATA!$D$5*DATA!$D$7)/1000000</f>
        <v>3.8638216635397855E-2</v>
      </c>
      <c r="J28" s="316">
        <f t="shared" ca="1" si="1"/>
        <v>1.8072813683341638</v>
      </c>
      <c r="K28" s="314"/>
      <c r="L28" s="316">
        <f>((D28*DATA!$D$23)/1000000)+((E28*DATA!$D$24)/1000000)</f>
        <v>2.2884047999999999</v>
      </c>
      <c r="M28" s="316">
        <f t="shared" si="2"/>
        <v>2.2884047999999999</v>
      </c>
      <c r="N28" s="316">
        <f t="shared" ca="1" si="6"/>
        <v>0.48112343166583615</v>
      </c>
      <c r="O28" s="315">
        <f>1/(1+'[93]Asumsi I'!$C$3)^(KKF!A28)</f>
        <v>9.2559611679185971E-2</v>
      </c>
      <c r="P28" s="316">
        <f t="shared" ca="1" si="7"/>
        <v>4.4532598004747161E-2</v>
      </c>
      <c r="Q28" s="316">
        <f t="shared" ca="1" si="9"/>
        <v>4.3038660025538649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1584</v>
      </c>
      <c r="D29" s="316">
        <f t="shared" si="5"/>
        <v>264</v>
      </c>
      <c r="E29" s="316">
        <f t="shared" si="0"/>
        <v>1320</v>
      </c>
      <c r="F29" s="314"/>
      <c r="G29" s="318">
        <f ca="1">DATA!$D$11/1000000</f>
        <v>5.1389079014416673E-2</v>
      </c>
      <c r="H29" s="318">
        <f>C29*DATA!$D$5/1000000</f>
        <v>1.7172540726843493</v>
      </c>
      <c r="I29" s="318">
        <f>(C29*DATA!$D$5*DATA!$D$7)/1000000</f>
        <v>3.8638216635397855E-2</v>
      </c>
      <c r="J29" s="316">
        <f t="shared" ca="1" si="1"/>
        <v>1.8072813683341638</v>
      </c>
      <c r="K29" s="314"/>
      <c r="L29" s="316">
        <f>((D29*DATA!$D$23)/1000000)+((E29*DATA!$D$24)/1000000)</f>
        <v>2.2884047999999999</v>
      </c>
      <c r="M29" s="316">
        <f t="shared" si="2"/>
        <v>2.2884047999999999</v>
      </c>
      <c r="N29" s="316">
        <f t="shared" ca="1" si="6"/>
        <v>0.48112343166583615</v>
      </c>
      <c r="O29" s="315">
        <f>1/(1+'[93]Asumsi I'!$C$3)^(KKF!A29)</f>
        <v>8.2642510427844609E-2</v>
      </c>
      <c r="P29" s="316">
        <f t="shared" ca="1" si="7"/>
        <v>3.9761248218524246E-2</v>
      </c>
      <c r="Q29" s="316">
        <f t="shared" ca="1" si="9"/>
        <v>4.3436272507723892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1584</v>
      </c>
      <c r="D30" s="316">
        <f t="shared" si="5"/>
        <v>264</v>
      </c>
      <c r="E30" s="316">
        <f t="shared" si="0"/>
        <v>1320</v>
      </c>
      <c r="F30" s="314"/>
      <c r="G30" s="318">
        <f ca="1">DATA!$D$11/1000000</f>
        <v>5.1389079014416673E-2</v>
      </c>
      <c r="H30" s="318">
        <f>C30*DATA!$D$5/1000000</f>
        <v>1.7172540726843493</v>
      </c>
      <c r="I30" s="318">
        <f>(C30*DATA!$D$5*DATA!$D$7)/1000000</f>
        <v>3.8638216635397855E-2</v>
      </c>
      <c r="J30" s="316">
        <f t="shared" ca="1" si="1"/>
        <v>1.8072813683341638</v>
      </c>
      <c r="K30" s="314"/>
      <c r="L30" s="316">
        <f>((D30*DATA!$D$23)/1000000)+((E30*DATA!$D$24)/1000000)</f>
        <v>2.2884047999999999</v>
      </c>
      <c r="M30" s="316">
        <f t="shared" si="2"/>
        <v>2.2884047999999999</v>
      </c>
      <c r="N30" s="316">
        <f t="shared" ca="1" si="6"/>
        <v>0.48112343166583615</v>
      </c>
      <c r="O30" s="315">
        <f>1/(1+'[93]Asumsi I'!$C$3)^(KKF!A30)</f>
        <v>7.3787955739146982E-2</v>
      </c>
      <c r="P30" s="316">
        <f t="shared" ca="1" si="7"/>
        <v>3.5501114480825227E-2</v>
      </c>
      <c r="Q30" s="316">
        <f t="shared" ca="1" si="9"/>
        <v>4.379128365253214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1584</v>
      </c>
      <c r="D31" s="316">
        <f t="shared" si="5"/>
        <v>264</v>
      </c>
      <c r="E31" s="316">
        <f t="shared" si="0"/>
        <v>1320</v>
      </c>
      <c r="F31" s="314"/>
      <c r="G31" s="318">
        <f ca="1">DATA!$D$11/1000000</f>
        <v>5.1389079014416673E-2</v>
      </c>
      <c r="H31" s="318">
        <f>C31*DATA!$D$5/1000000</f>
        <v>1.7172540726843493</v>
      </c>
      <c r="I31" s="318">
        <f>(C31*DATA!$D$5*DATA!$D$7)/1000000</f>
        <v>3.8638216635397855E-2</v>
      </c>
      <c r="J31" s="316">
        <f t="shared" ca="1" si="1"/>
        <v>1.8072813683341638</v>
      </c>
      <c r="K31" s="314"/>
      <c r="L31" s="316">
        <f>((D31*DATA!$D$23)/1000000)+((E31*DATA!$D$24)/1000000)</f>
        <v>2.2884047999999999</v>
      </c>
      <c r="M31" s="316">
        <f t="shared" si="2"/>
        <v>2.2884047999999999</v>
      </c>
      <c r="N31" s="316">
        <f t="shared" ca="1" si="6"/>
        <v>0.48112343166583615</v>
      </c>
      <c r="O31" s="315">
        <f>1/(1+'[93]Asumsi I'!$C$3)^(KKF!A31)</f>
        <v>6.5882103338524081E-2</v>
      </c>
      <c r="P31" s="316">
        <f t="shared" ca="1" si="7"/>
        <v>3.1697423643593944E-2</v>
      </c>
      <c r="Q31" s="316">
        <f ca="1">Q30+P31</f>
        <v>4.4108257888968083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1584</v>
      </c>
      <c r="D32" s="316">
        <f t="shared" si="5"/>
        <v>264</v>
      </c>
      <c r="E32" s="316">
        <f t="shared" si="0"/>
        <v>1320</v>
      </c>
      <c r="F32" s="314"/>
      <c r="G32" s="318">
        <f ca="1">DATA!$D$11/1000000</f>
        <v>5.1389079014416673E-2</v>
      </c>
      <c r="H32" s="318">
        <f>C32*DATA!$D$5/1000000</f>
        <v>1.7172540726843493</v>
      </c>
      <c r="I32" s="318">
        <f>(C32*DATA!$D$5*DATA!$D$7)/1000000</f>
        <v>3.8638216635397855E-2</v>
      </c>
      <c r="J32" s="316">
        <f t="shared" ca="1" si="1"/>
        <v>1.8072813683341638</v>
      </c>
      <c r="K32" s="314"/>
      <c r="L32" s="316">
        <f>((D32*DATA!$D$23)/1000000)+((E32*DATA!$D$24)/1000000)</f>
        <v>2.2884047999999999</v>
      </c>
      <c r="M32" s="316">
        <f t="shared" si="2"/>
        <v>2.2884047999999999</v>
      </c>
      <c r="N32" s="316">
        <f t="shared" ca="1" si="6"/>
        <v>0.48112343166583615</v>
      </c>
      <c r="O32" s="315">
        <f>1/(1+'[93]Asumsi I'!$C$3)^(KKF!A32)</f>
        <v>5.8823306552253637E-2</v>
      </c>
      <c r="P32" s="316">
        <f t="shared" ca="1" si="7"/>
        <v>2.8301271110351734E-2</v>
      </c>
      <c r="Q32" s="316">
        <f ca="1">Q31+P32</f>
        <v>4.4391270600071602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1" t="s">
        <v>1374</v>
      </c>
      <c r="G33" s="601"/>
      <c r="H33" s="601"/>
      <c r="I33" s="324"/>
      <c r="J33" s="325">
        <f ca="1">SUM(J7:J32)</f>
        <v>48.095525952975983</v>
      </c>
      <c r="K33" s="601" t="s">
        <v>1375</v>
      </c>
      <c r="L33" s="601"/>
      <c r="M33" s="325">
        <f>SUM(M7:M32)</f>
        <v>60.789220800000017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6.05560143793919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1.2639267290565639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3.9635063035778204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51"/>
  <sheetViews>
    <sheetView showGridLines="0" zoomScale="70" zoomScaleNormal="70" zoomScaleSheetLayoutView="70" workbookViewId="0">
      <pane ySplit="13" topLeftCell="A35" activePane="bottomLeft" state="frozen"/>
      <selection activeCell="H1093" sqref="H1093"/>
      <selection pane="bottomLeft" activeCell="I49" sqref="I49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18" customWidth="1"/>
    <col min="4" max="4" width="13.7109375" style="41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8" t="str">
        <f>DATA!D14</f>
        <v>ASFURIAH</v>
      </c>
      <c r="H6" s="608"/>
      <c r="I6" s="608"/>
      <c r="J6" s="608"/>
      <c r="K6" s="60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7" t="s">
        <v>0</v>
      </c>
      <c r="C11" s="629" t="s">
        <v>1</v>
      </c>
      <c r="D11" s="618" t="s">
        <v>42</v>
      </c>
      <c r="E11" s="618" t="s">
        <v>43</v>
      </c>
      <c r="F11" s="618" t="s">
        <v>2</v>
      </c>
      <c r="G11" s="632" t="s">
        <v>41</v>
      </c>
      <c r="H11" s="618" t="s">
        <v>3</v>
      </c>
      <c r="I11" s="618"/>
      <c r="J11" s="618"/>
      <c r="K11" s="61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8"/>
      <c r="C12" s="630"/>
      <c r="D12" s="622"/>
      <c r="E12" s="622"/>
      <c r="F12" s="622"/>
      <c r="G12" s="633"/>
      <c r="H12" s="620" t="s">
        <v>46</v>
      </c>
      <c r="I12" s="620" t="s">
        <v>5</v>
      </c>
      <c r="J12" s="622" t="s">
        <v>47</v>
      </c>
      <c r="K12" s="62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8"/>
      <c r="C13" s="631"/>
      <c r="D13" s="622"/>
      <c r="E13" s="622"/>
      <c r="F13" s="622"/>
      <c r="G13" s="634"/>
      <c r="H13" s="621"/>
      <c r="I13" s="621"/>
      <c r="J13" s="622"/>
      <c r="K13" s="62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7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8" ca="1" si="8">IF(OR(D16="MDU",D16="MDU-KD"),(IF($O$3="RAB NON MDU","PLN KD",G16*F16)),0)</f>
        <v>0</v>
      </c>
      <c r="I16" s="361">
        <f t="shared" ref="I16:I18" ca="1" si="9">IF(D16="HDW",G16*F16,0)</f>
        <v>0</v>
      </c>
      <c r="J16" s="361">
        <f t="shared" ref="J16:J18" ca="1" si="10">IF(D16="JASA",G16*F16,0)</f>
        <v>0</v>
      </c>
      <c r="K16" s="362">
        <f t="shared" ref="K16:K18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2" t="s">
        <v>1456</v>
      </c>
      <c r="C17" s="373" t="s">
        <v>1457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71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 t="e">
        <f>IF(AND(C18=0,#REF!=0,#REF!=0),"BLANKS",1)</f>
        <v>#REF!</v>
      </c>
      <c r="B18" s="374"/>
      <c r="C18" s="37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76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65" customFormat="1">
      <c r="A19" s="336"/>
      <c r="B19" s="378" t="s">
        <v>1550</v>
      </c>
      <c r="C19" s="379" t="s">
        <v>1552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489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30" ca="1" si="12">IF(OR(D19="MDU",D19="MDU-KD"),(IF($O$3="RAB NON MDU","PLN KD",G19*F19)),0)</f>
        <v>0</v>
      </c>
      <c r="I19" s="361">
        <f t="shared" ref="I19:I30" ca="1" si="13">IF(D19="HDW",G19*F19,0)</f>
        <v>0</v>
      </c>
      <c r="J19" s="361">
        <f t="shared" ref="J19:J30" ca="1" si="14">IF(D19="JASA",G19*F19,0)</f>
        <v>0</v>
      </c>
      <c r="K19" s="362">
        <f t="shared" ref="K19:K30" ca="1" si="15">SUM(H19:J19)</f>
        <v>0</v>
      </c>
      <c r="L19" s="342"/>
      <c r="M19" s="342"/>
      <c r="N19" s="369"/>
      <c r="O19" s="344"/>
      <c r="P19" s="344"/>
      <c r="Q19" s="403"/>
      <c r="R19" s="344"/>
      <c r="S19" s="403"/>
      <c r="T19" s="404"/>
      <c r="U19" s="404"/>
      <c r="V19" s="404"/>
    </row>
    <row r="20" spans="1:22" s="365" customFormat="1">
      <c r="A20" s="336"/>
      <c r="B20" s="374"/>
      <c r="C20" s="380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489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  <c r="L20" s="411"/>
      <c r="M20" s="411"/>
      <c r="N20" s="369"/>
      <c r="O20" s="344"/>
      <c r="P20" s="344"/>
      <c r="Q20" s="344"/>
    </row>
    <row r="21" spans="1:22" s="365" customFormat="1">
      <c r="A21" s="336"/>
      <c r="B21" s="378" t="s">
        <v>1551</v>
      </c>
      <c r="C21" s="379" t="s">
        <v>1458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489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42"/>
      <c r="M21" s="342"/>
      <c r="N21" s="369"/>
      <c r="O21" s="344"/>
      <c r="P21" s="344"/>
      <c r="Q21" s="403"/>
      <c r="R21" s="344"/>
      <c r="S21" s="403"/>
      <c r="T21" s="404"/>
      <c r="U21" s="404"/>
      <c r="V21" s="404"/>
    </row>
    <row r="22" spans="1:22" s="365" customFormat="1">
      <c r="A22" s="336"/>
      <c r="B22" s="502" t="s">
        <v>1035</v>
      </c>
      <c r="C22" s="503" t="s">
        <v>1613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4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42"/>
      <c r="M22" s="342"/>
      <c r="N22" s="369"/>
      <c r="O22" s="344"/>
      <c r="P22" s="344"/>
      <c r="Q22" s="344"/>
      <c r="R22" s="344"/>
      <c r="S22" s="344"/>
      <c r="T22" s="408"/>
      <c r="U22" s="408"/>
      <c r="V22" s="408"/>
    </row>
    <row r="23" spans="1:22" s="365" customFormat="1" ht="30">
      <c r="A23" s="336"/>
      <c r="B23" s="502">
        <v>1</v>
      </c>
      <c r="C23" s="109" t="s">
        <v>1141</v>
      </c>
      <c r="D23" s="358" t="str">
        <f ca="1">IF(ISERROR(OFFSET('HARGA SATUAN'!$D$6,MATCH(RAB!C23,'HARGA SATUAN'!$C$7:$C$1492,0),0)),"",OFFSET('HARGA SATUAN'!$D$6,MATCH(RAB!C23,'HARGA SATUAN'!$C$7:$C$1492,0),0))</f>
        <v>MDU-KD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4">
        <f>F22*1</f>
        <v>1</v>
      </c>
      <c r="G23" s="360">
        <f ca="1">IF(ISERROR(OFFSET('HARGA SATUAN'!$I$6,MATCH(RAB!C23,'HARGA SATUAN'!$C$7:$C$1492,0),0)),0,OFFSET('HARGA SATUAN'!$I$6,MATCH(RAB!C23,'HARGA SATUAN'!$C$7:$C$1492,0),0))</f>
        <v>1740750</v>
      </c>
      <c r="H23" s="361">
        <f t="shared" ca="1" si="12"/>
        <v>1740750</v>
      </c>
      <c r="I23" s="361">
        <f t="shared" ca="1" si="13"/>
        <v>0</v>
      </c>
      <c r="J23" s="361">
        <f t="shared" ca="1" si="14"/>
        <v>0</v>
      </c>
      <c r="K23" s="362">
        <f t="shared" ca="1" si="15"/>
        <v>1740750</v>
      </c>
      <c r="L23" s="342"/>
      <c r="M23" s="342"/>
      <c r="N23" s="369"/>
      <c r="O23" s="344"/>
      <c r="P23" s="344"/>
      <c r="Q23" s="344"/>
      <c r="R23" s="344"/>
      <c r="S23" s="344"/>
      <c r="T23" s="404"/>
      <c r="U23" s="404"/>
      <c r="V23" s="404"/>
    </row>
    <row r="24" spans="1:22" s="365" customFormat="1">
      <c r="A24" s="336"/>
      <c r="B24" s="502">
        <v>2</v>
      </c>
      <c r="C24" s="109" t="s">
        <v>50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4">
        <v>1</v>
      </c>
      <c r="G24" s="360">
        <f ca="1">IF(ISERROR(OFFSET('HARGA SATUAN'!$I$6,MATCH(RAB!C24,'HARGA SATUAN'!$C$7:$C$1492,0),0)),0,OFFSET('HARGA SATUAN'!$I$6,MATCH(RAB!C24,'HARGA SATUAN'!$C$7:$C$1492,0),0))</f>
        <v>259574.27222222224</v>
      </c>
      <c r="H24" s="361">
        <f t="shared" ref="H24:H27" ca="1" si="16">IF(OR(D24="MDU",D24="MDU-KD"),(IF($O$3="RAB NON MDU","PLN KD",G24*F24)),0)</f>
        <v>0</v>
      </c>
      <c r="I24" s="361">
        <f t="shared" ref="I24:I27" ca="1" si="17">IF(D24="HDW",G24*F24,0)</f>
        <v>259574.27222222224</v>
      </c>
      <c r="J24" s="361">
        <f t="shared" ref="J24:J27" ca="1" si="18">IF(D24="JASA",G24*F24,0)</f>
        <v>0</v>
      </c>
      <c r="K24" s="362">
        <f t="shared" ref="K24:K27" ca="1" si="19">SUM(H24:J24)</f>
        <v>259574.27222222224</v>
      </c>
      <c r="L24" s="342"/>
      <c r="M24" s="342"/>
      <c r="N24" s="369"/>
      <c r="O24" s="344"/>
      <c r="P24" s="344"/>
      <c r="Q24" s="344"/>
      <c r="R24" s="344"/>
      <c r="S24" s="344"/>
      <c r="T24" s="404"/>
      <c r="U24" s="404"/>
      <c r="V24" s="404"/>
    </row>
    <row r="25" spans="1:22" s="365" customFormat="1">
      <c r="A25" s="336"/>
      <c r="B25" s="502">
        <v>3</v>
      </c>
      <c r="C25" s="503" t="s">
        <v>493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4">
        <v>1</v>
      </c>
      <c r="G25" s="360">
        <f ca="1">IF(ISERROR(OFFSET('HARGA SATUAN'!$I$6,MATCH(RAB!C25,'HARGA SATUAN'!$C$7:$C$1492,0),0)),0,OFFSET('HARGA SATUAN'!$I$6,MATCH(RAB!C25,'HARGA SATUAN'!$C$7:$C$1492,0),0))</f>
        <v>39000</v>
      </c>
      <c r="H25" s="361">
        <f t="shared" ca="1" si="16"/>
        <v>39000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39000</v>
      </c>
      <c r="L25" s="342"/>
      <c r="M25" s="342"/>
      <c r="N25" s="369"/>
      <c r="O25" s="344"/>
      <c r="P25" s="344"/>
      <c r="Q25" s="344"/>
      <c r="R25" s="344"/>
      <c r="S25" s="344"/>
      <c r="T25" s="408"/>
      <c r="U25" s="408"/>
      <c r="V25" s="408"/>
    </row>
    <row r="26" spans="1:22" s="365" customFormat="1">
      <c r="A26" s="336"/>
      <c r="B26" s="502">
        <v>4</v>
      </c>
      <c r="C26" s="503" t="s">
        <v>74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4">
        <v>20</v>
      </c>
      <c r="G26" s="360">
        <f ca="1">IF(ISERROR(OFFSET('HARGA SATUAN'!$I$6,MATCH(RAB!C26,'HARGA SATUAN'!$C$7:$C$1492,0),0)),0,OFFSET('HARGA SATUAN'!$I$6,MATCH(RAB!C26,'HARGA SATUAN'!$C$7:$C$1492,0),0))</f>
        <v>6600</v>
      </c>
      <c r="H26" s="361">
        <f t="shared" ca="1" si="16"/>
        <v>132000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132000</v>
      </c>
      <c r="L26" s="411" t="e">
        <f ca="1">PROPER([94]!terbilang(K36))</f>
        <v>#NAME?</v>
      </c>
      <c r="M26" s="411"/>
      <c r="N26" s="369"/>
      <c r="O26" s="344"/>
      <c r="P26" s="344"/>
      <c r="Q26" s="344"/>
    </row>
    <row r="27" spans="1:22" s="365" customFormat="1">
      <c r="A27" s="336"/>
      <c r="B27" s="502">
        <v>5</v>
      </c>
      <c r="C27" s="503" t="s">
        <v>798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4">
        <f>F22*1</f>
        <v>1</v>
      </c>
      <c r="G27" s="360">
        <f ca="1">IF(ISERROR(OFFSET('HARGA SATUAN'!$I$6,MATCH(RAB!C27,'HARGA SATUAN'!$C$7:$C$1492,0),0)),0,OFFSET('HARGA SATUAN'!$I$6,MATCH(RAB!C27,'HARGA SATUAN'!$C$7:$C$1492,0),0))</f>
        <v>54400</v>
      </c>
      <c r="H27" s="361">
        <f t="shared" ca="1" si="16"/>
        <v>0</v>
      </c>
      <c r="I27" s="361">
        <f t="shared" ca="1" si="17"/>
        <v>0</v>
      </c>
      <c r="J27" s="361">
        <f t="shared" ca="1" si="18"/>
        <v>54400</v>
      </c>
      <c r="K27" s="362">
        <f t="shared" ca="1" si="19"/>
        <v>54400</v>
      </c>
      <c r="L27" s="342"/>
      <c r="M27" s="342"/>
      <c r="N27" s="369"/>
      <c r="O27" s="344"/>
      <c r="P27" s="403"/>
      <c r="Q27" s="344"/>
    </row>
    <row r="28" spans="1:22">
      <c r="B28" s="502">
        <v>6</v>
      </c>
      <c r="C28" s="507" t="s">
        <v>981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89">
        <v>1</v>
      </c>
      <c r="G28" s="360">
        <f ca="1">IF(ISERROR(OFFSET('HARGA SATUAN'!$I$6,MATCH(RAB!C28,'HARGA SATUAN'!$C$7:$C$1492,0),0)),0,OFFSET('HARGA SATUAN'!$I$6,MATCH(RAB!C28,'HARGA SATUAN'!$C$7:$C$1492,0),0))</f>
        <v>32640</v>
      </c>
      <c r="H28" s="361">
        <f t="shared" ca="1" si="12"/>
        <v>0</v>
      </c>
      <c r="I28" s="361">
        <f t="shared" ca="1" si="13"/>
        <v>0</v>
      </c>
      <c r="J28" s="361">
        <f t="shared" ca="1" si="14"/>
        <v>32640</v>
      </c>
      <c r="K28" s="362">
        <f t="shared" ca="1" si="15"/>
        <v>32640</v>
      </c>
    </row>
    <row r="29" spans="1:22">
      <c r="B29" s="381"/>
      <c r="C29" s="377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489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" ca="1" si="20">IF(OR(D29="MDU",D29="MDU-KD"),(IF($O$3="RAB NON MDU","PLN KD",G29*F29)),0)</f>
        <v>0</v>
      </c>
      <c r="I29" s="361">
        <f t="shared" ref="I29" ca="1" si="21">IF(D29="HDW",G29*F29,0)</f>
        <v>0</v>
      </c>
      <c r="J29" s="361">
        <f t="shared" ref="J29" ca="1" si="22">IF(D29="JASA",G29*F29,0)</f>
        <v>0</v>
      </c>
      <c r="K29" s="362">
        <f t="shared" ref="K29" ca="1" si="23">SUM(H29:J29)</f>
        <v>0</v>
      </c>
    </row>
    <row r="30" spans="1:22">
      <c r="B30" s="382"/>
      <c r="C30" s="383" t="s">
        <v>475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489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2"/>
        <v>0</v>
      </c>
      <c r="I30" s="361">
        <f t="shared" ca="1" si="13"/>
        <v>0</v>
      </c>
      <c r="J30" s="361">
        <f t="shared" ca="1" si="14"/>
        <v>0</v>
      </c>
      <c r="K30" s="362">
        <f t="shared" ca="1" si="15"/>
        <v>0</v>
      </c>
    </row>
    <row r="31" spans="1:22">
      <c r="B31" s="385">
        <v>1</v>
      </c>
      <c r="C31" s="386" t="s">
        <v>1091</v>
      </c>
      <c r="D31" s="387" t="str">
        <f ca="1">IF(ISERROR(OFFSET('HARGA SATUAN'!$D$6,MATCH(RAB!C31,'HARGA SATUAN'!$C$7:$C$1492,0),0)),"",OFFSET('HARGA SATUAN'!$D$6,MATCH(RAB!C31,'HARGA SATUAN'!$C$7:$C$1492,0),0))</f>
        <v>JASA</v>
      </c>
      <c r="E31" s="388" t="str">
        <f ca="1">IF(ISERROR(OFFSET('HARGA SATUAN'!$E$6,MATCH(RAB!C31,'HARGA SATUAN'!$C$7:$C$1492,0),0)),"",OFFSET('HARGA SATUAN'!$E$6,MATCH(RAB!C31,'HARGA SATUAN'!$C$7:$C$1492,0),0))</f>
        <v>Lot</v>
      </c>
      <c r="F31" s="389">
        <v>1</v>
      </c>
      <c r="G31" s="390">
        <f ca="1">IF(ISERROR(OFFSET('HARGA SATUAN'!$I$6,MATCH(RAB!C31,'HARGA SATUAN'!$C$7:$C$1492,0),0)),0,OFFSET('HARGA SATUAN'!$I$6,MATCH(RAB!C31,'HARGA SATUAN'!$C$7:$C$1492,0),0))</f>
        <v>2.5000000000000001E-2</v>
      </c>
      <c r="H31" s="391">
        <f ca="1">(SUM(H14:H30)*2.5%)</f>
        <v>47793.75</v>
      </c>
      <c r="I31" s="391">
        <f t="shared" ref="I31:K31" ca="1" si="24">(SUM(I14:I30)*2.5%)</f>
        <v>6489.3568055555561</v>
      </c>
      <c r="J31" s="391">
        <f t="shared" ca="1" si="24"/>
        <v>2176</v>
      </c>
      <c r="K31" s="391">
        <f t="shared" ca="1" si="24"/>
        <v>56459.106805555559</v>
      </c>
    </row>
    <row r="32" spans="1:22">
      <c r="B32" s="392"/>
      <c r="C32" s="393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IF(ISERROR(OFFSET('HARGA SATUAN'!$E$6,MATCH(RAB!C32,'HARGA SATUAN'!$C$7:$C$1492,0),0)),"",OFFSET('HARGA SATUAN'!$E$6,MATCH(RAB!C32,'HARGA SATUAN'!$C$7:$C$1492,0),0))</f>
        <v/>
      </c>
      <c r="F32" s="384"/>
      <c r="G32" s="360" t="str">
        <f ca="1">IF(ISERROR(OFFSET('HARGA SATUAN'!$I$6,MATCH(RAB!C32,'HARGA SATUAN'!$C$7:$C$1492,0),0)),"",OFFSET('HARGA SATUAN'!$I$6,MATCH(RAB!C32,'HARGA SATUAN'!$C$7:$C$1492,0),0))</f>
        <v/>
      </c>
      <c r="H32" s="361">
        <f ca="1">IF(OR(D32="MDU",D32="MDU-KD"),IF(G32="PLN",0,G32*F32),0)</f>
        <v>0</v>
      </c>
      <c r="I32" s="361">
        <f ca="1">IF(D32="HDW",IF(G32="PLN",0,G32*F32),0)</f>
        <v>0</v>
      </c>
      <c r="J32" s="361">
        <f ca="1">IF(D32="JASA",IF(G32="PLN",0,G32*F32),0)</f>
        <v>0</v>
      </c>
      <c r="K32" s="362">
        <f ca="1">SUM(H32:J32)</f>
        <v>0</v>
      </c>
    </row>
    <row r="33" spans="2:13" ht="15.75" thickBot="1">
      <c r="B33" s="394"/>
      <c r="C33" s="395"/>
      <c r="D33" s="396"/>
      <c r="E33" s="397"/>
      <c r="F33" s="397"/>
      <c r="G33" s="397"/>
      <c r="H33" s="398"/>
      <c r="I33" s="398"/>
      <c r="J33" s="398"/>
      <c r="K33" s="399"/>
    </row>
    <row r="34" spans="2:13">
      <c r="B34" s="400"/>
      <c r="C34" s="626" t="s">
        <v>1008</v>
      </c>
      <c r="D34" s="626"/>
      <c r="E34" s="626"/>
      <c r="F34" s="626"/>
      <c r="G34" s="401" t="s">
        <v>9</v>
      </c>
      <c r="H34" s="402">
        <f ca="1">SUM(H14:H32)</f>
        <v>1959543.75</v>
      </c>
      <c r="I34" s="402">
        <f ca="1">SUM(I14:I32)</f>
        <v>266063.62902777782</v>
      </c>
      <c r="J34" s="402">
        <f ca="1">SUM(J14:J32)</f>
        <v>89216</v>
      </c>
      <c r="K34" s="402">
        <f ca="1">SUM(K14:K32)</f>
        <v>2314823.3790277778</v>
      </c>
    </row>
    <row r="35" spans="2:13">
      <c r="B35" s="405"/>
      <c r="C35" s="609" t="s">
        <v>1461</v>
      </c>
      <c r="D35" s="609"/>
      <c r="E35" s="609"/>
      <c r="F35" s="609"/>
      <c r="G35" s="406" t="s">
        <v>9</v>
      </c>
      <c r="H35" s="407">
        <f ca="1">H34*0.11</f>
        <v>215549.8125</v>
      </c>
      <c r="I35" s="407">
        <f ca="1">I34*0.11</f>
        <v>29266.999193055559</v>
      </c>
      <c r="J35" s="407">
        <f ca="1">J34*0.11</f>
        <v>9813.76</v>
      </c>
      <c r="K35" s="407">
        <f ca="1">K34*0.11</f>
        <v>254630.57169305556</v>
      </c>
    </row>
    <row r="36" spans="2:13" ht="15.75" thickBot="1">
      <c r="B36" s="405"/>
      <c r="C36" s="607" t="s">
        <v>463</v>
      </c>
      <c r="D36" s="607"/>
      <c r="E36" s="607"/>
      <c r="F36" s="607"/>
      <c r="G36" s="409" t="s">
        <v>9</v>
      </c>
      <c r="H36" s="410">
        <f ca="1">SUM(H34:H35)</f>
        <v>2175093.5625</v>
      </c>
      <c r="I36" s="410">
        <f ca="1">SUM(I34:I35)</f>
        <v>295330.62822083337</v>
      </c>
      <c r="J36" s="409">
        <f ca="1">SUM(J34:J35)</f>
        <v>99029.759999999995</v>
      </c>
      <c r="K36" s="409">
        <f ca="1">SUM(K34:K35)</f>
        <v>2569453.9507208336</v>
      </c>
      <c r="M36" s="494"/>
    </row>
    <row r="37" spans="2:13">
      <c r="B37" s="610" t="str">
        <f ca="1">"Terbilang : "&amp;PROPER(IF(K36=0,"nol",IF(K36&lt;0,"minus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IF(--MID(TEXT(ABS(K36),"000000000000000"),1,3)=0,"",MID(TEXT(ABS(K36),"000000000000000"),1,1)&amp;" ratus "&amp;MID(TEXT(ABS(K36),"000000000000000"),2,1)&amp;" puluh "&amp;MID(TEXT(ABS(K36),"000000000000000"),3,1)&amp;" trilyun ")&amp; IF(--MID(TEXT(ABS(K36),"000000000000000"),4,3)=0,"",MID(TEXT(ABS(K36),"000000000000000"),4,1)&amp;" ratus "&amp;MID(TEXT(ABS(K36),"000000000000000"),5,1)&amp;" puluh "&amp;MID(TEXT(ABS(K36),"000000000000000"),6,1)&amp;" milyar ")&amp; IF(--MID(TEXT(ABS(K36),"000000000000000"),7,3)=0,"",MID(TEXT(ABS(K36),"000000000000000"),7,1)&amp;" ratus "&amp;MID(TEXT(ABS(K36),"000000000000000"),8,1)&amp;" puluh "&amp;MID(TEXT(ABS(K36),"000000000000000"),9,1)&amp;" juta ")&amp; IF(--MID(TEXT(ABS(K36),"000000000000000"),10,3)=0,"",IF(--MID(TEXT(ABS(K36),"000000000000000"),10,3)=1,"*",MID(TEXT(ABS(K36),"000000000000000"),10,1)&amp;" ratus "&amp;MID(TEXT(ABS(K36),"000000000000000"),11,1)&amp;" puluh ")&amp;MID(TEXT(ABS(K36),"000000000000000"),12,1)&amp;" ribu ")&amp; IF(--MID(TEXT(ABS(K36),"000000000000000"),13,3)=0,"",MID(TEXT(ABS(K36),"000000000000000"),13,1)&amp;" ratus "&amp;MID(TEXT(ABS(K36),"000000000000000"),14,1)&amp;" puluh "&amp;MID(TEXT(ABS(K36),"000000000000000"),15,1)),1,"satu"),2,"dua"),3,"tiga"),4,"empat"),5,"lima"),6,"enam"),7,"tujuh"),8,"delapan"),9,"sembilan"),"0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Juta Lima Ratus Enam Puluh Sembilan Ribu Empat Ratus Lima Puluh Empat Rupiah</v>
      </c>
      <c r="C37" s="611"/>
      <c r="D37" s="611"/>
      <c r="E37" s="611"/>
      <c r="F37" s="611"/>
      <c r="G37" s="611"/>
      <c r="H37" s="611"/>
      <c r="I37" s="611"/>
      <c r="J37" s="611"/>
      <c r="K37" s="612"/>
    </row>
    <row r="38" spans="2:13">
      <c r="B38" s="613"/>
      <c r="C38" s="614"/>
      <c r="D38" s="614"/>
      <c r="E38" s="614"/>
      <c r="F38" s="614"/>
      <c r="G38" s="614"/>
      <c r="H38" s="614"/>
      <c r="I38" s="614"/>
      <c r="J38" s="614"/>
      <c r="K38" s="615"/>
    </row>
    <row r="39" spans="2:13" ht="15.75" thickBot="1">
      <c r="B39" s="412" t="str">
        <f>"Harga yang dipakai adalah "&amp;'HARGA SATUAN'!I5&amp;""</f>
        <v>Harga yang dipakai adalah RAB HSS 2023</v>
      </c>
      <c r="C39" s="413"/>
      <c r="D39" s="414"/>
      <c r="E39" s="414"/>
      <c r="F39" s="414"/>
      <c r="G39" s="415"/>
      <c r="H39" s="415"/>
      <c r="I39" s="415"/>
      <c r="J39" s="415"/>
      <c r="K39" s="416"/>
    </row>
    <row r="40" spans="2:13">
      <c r="C40" s="417"/>
      <c r="E40" s="419"/>
      <c r="F40" s="419"/>
      <c r="G40" s="419"/>
    </row>
    <row r="41" spans="2:13">
      <c r="C41" s="337"/>
      <c r="E41" s="419"/>
      <c r="F41" s="419"/>
      <c r="G41" s="419"/>
      <c r="H41" s="616"/>
      <c r="I41" s="616"/>
      <c r="J41" s="617"/>
      <c r="K41" s="617"/>
    </row>
    <row r="42" spans="2:13">
      <c r="C42" s="337"/>
      <c r="E42" s="419"/>
      <c r="F42" s="419"/>
      <c r="G42" s="419"/>
      <c r="H42" s="420"/>
      <c r="I42" s="606" t="s">
        <v>1619</v>
      </c>
      <c r="J42" s="606"/>
      <c r="K42" s="606"/>
    </row>
    <row r="43" spans="2:13">
      <c r="C43" s="337"/>
      <c r="E43" s="419"/>
      <c r="F43" s="419"/>
      <c r="G43" s="419"/>
      <c r="H43" s="420"/>
      <c r="I43" s="606" t="s">
        <v>1620</v>
      </c>
      <c r="J43" s="606"/>
      <c r="K43" s="606"/>
    </row>
    <row r="44" spans="2:13">
      <c r="C44" s="337"/>
      <c r="E44" s="419"/>
      <c r="F44" s="419"/>
      <c r="G44" s="419"/>
      <c r="H44" s="421"/>
      <c r="I44" s="422"/>
      <c r="J44" s="422"/>
      <c r="K44" s="422"/>
    </row>
    <row r="45" spans="2:13">
      <c r="C45" s="337"/>
      <c r="E45" s="419"/>
      <c r="F45" s="419"/>
      <c r="G45" s="419"/>
      <c r="H45" s="421"/>
      <c r="I45" s="421"/>
      <c r="J45" s="421"/>
      <c r="K45" s="421"/>
    </row>
    <row r="46" spans="2:13">
      <c r="C46" s="337"/>
      <c r="E46" s="419"/>
      <c r="F46" s="419"/>
      <c r="G46" s="419"/>
      <c r="H46" s="421"/>
      <c r="I46" s="421"/>
      <c r="J46" s="421"/>
      <c r="K46" s="421"/>
    </row>
    <row r="47" spans="2:13">
      <c r="C47" s="337"/>
      <c r="E47" s="419"/>
      <c r="F47" s="419"/>
      <c r="G47" s="419"/>
      <c r="H47" s="421"/>
      <c r="I47" s="421"/>
      <c r="J47" s="421"/>
      <c r="K47" s="421"/>
    </row>
    <row r="48" spans="2:13">
      <c r="C48" s="337"/>
      <c r="E48" s="419"/>
      <c r="F48" s="419"/>
      <c r="G48" s="419"/>
      <c r="H48" s="423"/>
      <c r="I48" s="606" t="s">
        <v>1621</v>
      </c>
      <c r="J48" s="606"/>
      <c r="K48" s="606"/>
    </row>
    <row r="49" spans="3:11">
      <c r="C49" s="417"/>
      <c r="E49" s="419"/>
      <c r="F49" s="419"/>
      <c r="G49" s="419"/>
      <c r="H49" s="421"/>
      <c r="I49" s="421"/>
      <c r="J49" s="421"/>
      <c r="K49" s="421"/>
    </row>
    <row r="50" spans="3:11">
      <c r="C50" s="417"/>
      <c r="E50" s="419"/>
      <c r="F50" s="419"/>
      <c r="G50" s="419"/>
      <c r="H50" s="421"/>
      <c r="I50" s="421"/>
      <c r="J50" s="421"/>
      <c r="K50" s="421"/>
    </row>
    <row r="51" spans="3:11">
      <c r="C51" s="417"/>
      <c r="E51" s="419"/>
      <c r="F51" s="419"/>
      <c r="G51" s="419"/>
      <c r="H51" s="421"/>
      <c r="I51" s="421"/>
      <c r="J51" s="421"/>
      <c r="K51" s="421"/>
    </row>
  </sheetData>
  <sheetProtection sort="0" autoFilter="0"/>
  <protectedRanges>
    <protectedRange sqref="B29" name="Range1_1"/>
    <protectedRange sqref="F14:F15" name="Range1_1_2_2"/>
    <protectedRange sqref="B19:C21 C29" name="Range1_1_1"/>
    <protectedRange sqref="B22:C22 C26:C28 B23:B28" name="Range1_6_1"/>
    <protectedRange sqref="C25" name="Range1_1_2_2_1"/>
    <protectedRange sqref="C23" name="Range1_1_2_5"/>
    <protectedRange sqref="C24" name="Range1_1_3"/>
  </protectedRanges>
  <mergeCells count="22">
    <mergeCell ref="O3:P4"/>
    <mergeCell ref="B4:K4"/>
    <mergeCell ref="C34:F34"/>
    <mergeCell ref="B11:B13"/>
    <mergeCell ref="C11:C13"/>
    <mergeCell ref="D11:D13"/>
    <mergeCell ref="E11:E13"/>
    <mergeCell ref="F11:F13"/>
    <mergeCell ref="G11:G13"/>
    <mergeCell ref="I12:I13"/>
    <mergeCell ref="I43:K43"/>
    <mergeCell ref="I48:K48"/>
    <mergeCell ref="C36:F36"/>
    <mergeCell ref="G6:K6"/>
    <mergeCell ref="I42:K42"/>
    <mergeCell ref="C35:F35"/>
    <mergeCell ref="B37:K38"/>
    <mergeCell ref="H41:K41"/>
    <mergeCell ref="H11:K11"/>
    <mergeCell ref="H12:H13"/>
    <mergeCell ref="J12:J13"/>
    <mergeCell ref="K12:K13"/>
  </mergeCells>
  <phoneticPr fontId="134" type="noConversion"/>
  <conditionalFormatting sqref="C15">
    <cfRule type="cellIs" dxfId="5" priority="355" operator="equal">
      <formula>0</formula>
    </cfRule>
  </conditionalFormatting>
  <conditionalFormatting sqref="C23:C25">
    <cfRule type="cellIs" dxfId="4" priority="1" operator="equal">
      <formula>0</formula>
    </cfRule>
  </conditionalFormatting>
  <conditionalFormatting sqref="E1:E3 G1:G13 E5:E13 H12:I12 O13 E14:K15 E16:E18 G16:K18 E19:K30 E31:G31 H31:K33 E32:H32 E33:F33">
    <cfRule type="cellIs" dxfId="3" priority="935" stopIfTrue="1" operator="equal">
      <formula>0</formula>
    </cfRule>
  </conditionalFormatting>
  <conditionalFormatting sqref="F16:F17">
    <cfRule type="cellIs" dxfId="2" priority="174" stopIfTrue="1" operator="equal">
      <formula>0</formula>
    </cfRule>
  </conditionalFormatting>
  <conditionalFormatting sqref="G32:G65498 E37:E65498">
    <cfRule type="cellIs" dxfId="1" priority="69" stopIfTrue="1" operator="equal">
      <formula>0</formula>
    </cfRule>
  </conditionalFormatting>
  <conditionalFormatting sqref="S14:V18">
    <cfRule type="cellIs" dxfId="0" priority="11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6:F17 F19:F21 F28:F30 H14:K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26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I38" zoomScale="115" zoomScaleNormal="115" zoomScaleSheetLayoutView="115" workbookViewId="0">
      <selection activeCell="Y56" sqref="Y5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9" t="s">
        <v>1439</v>
      </c>
      <c r="X2" s="690"/>
      <c r="Y2" s="690"/>
      <c r="Z2" s="690"/>
      <c r="AA2" s="690"/>
      <c r="AB2" s="690"/>
      <c r="AC2" s="690"/>
      <c r="AD2" s="691"/>
    </row>
    <row r="3" spans="3:30">
      <c r="C3" s="238"/>
      <c r="W3" s="692"/>
      <c r="X3" s="693"/>
      <c r="Y3" s="693"/>
      <c r="Z3" s="693"/>
      <c r="AA3" s="693"/>
      <c r="AB3" s="693"/>
      <c r="AC3" s="693"/>
      <c r="AD3" s="69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238"/>
      <c r="W6" s="241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238"/>
      <c r="E7" s="500" t="s">
        <v>1615</v>
      </c>
      <c r="W7" s="241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238"/>
      <c r="W8" s="241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238"/>
      <c r="W9" s="241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238"/>
      <c r="W10" s="241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238"/>
      <c r="W11" s="241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238"/>
      <c r="W12" s="241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238"/>
      <c r="W13" s="241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238"/>
      <c r="W14" s="241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238"/>
      <c r="W15" s="241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238"/>
      <c r="W16" s="241">
        <v>11</v>
      </c>
      <c r="X16" s="638" t="s">
        <v>1459</v>
      </c>
      <c r="Y16" s="638"/>
      <c r="Z16" s="638"/>
      <c r="AA16" s="638"/>
      <c r="AB16" s="638"/>
      <c r="AC16" s="638"/>
      <c r="AD16" s="639"/>
    </row>
    <row r="17" spans="3:30">
      <c r="C17" s="238"/>
      <c r="S17" s="242"/>
      <c r="W17" s="241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243"/>
      <c r="D18" s="244"/>
      <c r="E18" s="244"/>
      <c r="W18" s="241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238"/>
      <c r="W19" s="245"/>
      <c r="X19" s="687"/>
      <c r="Y19" s="687"/>
      <c r="Z19" s="687"/>
      <c r="AA19" s="687"/>
      <c r="AB19" s="687"/>
      <c r="AC19" s="687"/>
      <c r="AD19" s="688"/>
    </row>
    <row r="20" spans="3:30">
      <c r="C20" s="238"/>
      <c r="W20" s="674" t="s">
        <v>992</v>
      </c>
      <c r="X20" s="675"/>
      <c r="Y20" s="675"/>
      <c r="Z20" s="675"/>
      <c r="AA20" s="675"/>
      <c r="AB20" s="675"/>
      <c r="AC20" s="675"/>
      <c r="AD20" s="676"/>
    </row>
    <row r="21" spans="3:30">
      <c r="C21" s="238"/>
      <c r="W21" s="677" t="s">
        <v>985</v>
      </c>
      <c r="X21" s="678"/>
      <c r="Y21" s="678"/>
      <c r="Z21" s="679"/>
      <c r="AA21" s="680" t="s">
        <v>986</v>
      </c>
      <c r="AB21" s="681"/>
      <c r="AC21" s="681"/>
      <c r="AD21" s="682"/>
    </row>
    <row r="22" spans="3:30">
      <c r="C22" s="238"/>
      <c r="W22" s="683" t="s">
        <v>1614</v>
      </c>
      <c r="X22" s="684"/>
      <c r="Y22" s="505" t="s">
        <v>1058</v>
      </c>
      <c r="Z22" s="506">
        <v>1</v>
      </c>
      <c r="AA22" s="685"/>
      <c r="AB22" s="686"/>
      <c r="AC22" s="248"/>
      <c r="AD22" s="249"/>
    </row>
    <row r="23" spans="3:30">
      <c r="C23" s="238"/>
      <c r="W23" s="683"/>
      <c r="X23" s="684"/>
      <c r="Y23" s="505"/>
      <c r="Z23" s="506"/>
      <c r="AA23" s="672"/>
      <c r="AB23" s="673"/>
      <c r="AC23" s="248"/>
      <c r="AD23" s="249"/>
    </row>
    <row r="24" spans="3:30">
      <c r="C24" s="238"/>
      <c r="W24" s="667"/>
      <c r="X24" s="669"/>
      <c r="Y24" s="246"/>
      <c r="Z24" s="247"/>
      <c r="AA24" s="670"/>
      <c r="AB24" s="671"/>
      <c r="AC24" s="248"/>
      <c r="AD24" s="249"/>
    </row>
    <row r="25" spans="3:30">
      <c r="C25" s="238"/>
      <c r="W25" s="667"/>
      <c r="X25" s="669"/>
      <c r="Y25" s="246"/>
      <c r="Z25" s="247"/>
      <c r="AA25" s="672"/>
      <c r="AB25" s="673"/>
      <c r="AC25" s="248"/>
      <c r="AD25" s="249"/>
    </row>
    <row r="26" spans="3:30">
      <c r="C26" s="238"/>
      <c r="W26" s="490"/>
      <c r="X26" s="491"/>
      <c r="Y26" s="246"/>
      <c r="Z26" s="247"/>
      <c r="AA26" s="672"/>
      <c r="AB26" s="673"/>
      <c r="AC26" s="248"/>
      <c r="AD26" s="249"/>
    </row>
    <row r="27" spans="3:30">
      <c r="C27" s="238"/>
      <c r="W27" s="490"/>
      <c r="X27" s="491"/>
      <c r="Y27" s="246"/>
      <c r="Z27" s="247"/>
      <c r="AA27" s="666"/>
      <c r="AB27" s="661"/>
      <c r="AC27" s="248"/>
      <c r="AD27" s="249"/>
    </row>
    <row r="28" spans="3:30">
      <c r="C28" s="238"/>
      <c r="W28" s="490"/>
      <c r="X28" s="491"/>
      <c r="Y28" s="246"/>
      <c r="Z28" s="247"/>
      <c r="AA28" s="666"/>
      <c r="AB28" s="661"/>
      <c r="AC28" s="248"/>
      <c r="AD28" s="249"/>
    </row>
    <row r="29" spans="3:30">
      <c r="C29" s="238"/>
      <c r="W29" s="490"/>
      <c r="X29" s="491"/>
      <c r="Y29" s="246"/>
      <c r="Z29" s="247"/>
      <c r="AA29" s="666"/>
      <c r="AB29" s="661"/>
      <c r="AC29" s="248"/>
      <c r="AD29" s="249"/>
    </row>
    <row r="30" spans="3:30" ht="11.25" customHeight="1">
      <c r="C30" s="238"/>
      <c r="W30" s="492"/>
      <c r="X30" s="493"/>
      <c r="Y30" s="246"/>
      <c r="Z30" s="247"/>
      <c r="AA30" s="666"/>
      <c r="AB30" s="661"/>
      <c r="AC30" s="248"/>
      <c r="AD30" s="249"/>
    </row>
    <row r="31" spans="3:30">
      <c r="C31" s="238"/>
      <c r="U31" s="250"/>
      <c r="W31" s="490"/>
      <c r="X31" s="491"/>
      <c r="Y31" s="246"/>
      <c r="Z31" s="247"/>
      <c r="AA31" s="666"/>
      <c r="AB31" s="661"/>
      <c r="AC31" s="248"/>
      <c r="AD31" s="249"/>
    </row>
    <row r="32" spans="3:30">
      <c r="C32" s="238"/>
      <c r="U32" s="250"/>
      <c r="W32" s="490"/>
      <c r="X32" s="491"/>
      <c r="Y32" s="246"/>
      <c r="Z32" s="247"/>
      <c r="AA32" s="666"/>
      <c r="AB32" s="661"/>
      <c r="AC32" s="248"/>
      <c r="AD32" s="249"/>
    </row>
    <row r="33" spans="3:30">
      <c r="C33" s="238"/>
      <c r="W33" s="490"/>
      <c r="X33" s="491"/>
      <c r="Y33" s="246"/>
      <c r="Z33" s="247"/>
      <c r="AA33" s="666"/>
      <c r="AB33" s="661"/>
      <c r="AC33" s="248"/>
      <c r="AD33" s="249"/>
    </row>
    <row r="34" spans="3:30">
      <c r="C34" s="238"/>
      <c r="W34" s="490"/>
      <c r="X34" s="491"/>
      <c r="Y34" s="246"/>
      <c r="Z34" s="247"/>
      <c r="AA34" s="666"/>
      <c r="AB34" s="661"/>
      <c r="AC34" s="248"/>
      <c r="AD34" s="249"/>
    </row>
    <row r="35" spans="3:30">
      <c r="C35" s="238"/>
      <c r="W35" s="667"/>
      <c r="X35" s="668"/>
      <c r="Y35" s="246"/>
      <c r="Z35" s="247"/>
      <c r="AA35" s="666"/>
      <c r="AB35" s="661"/>
      <c r="AC35" s="248"/>
      <c r="AD35" s="249"/>
    </row>
    <row r="36" spans="3:30">
      <c r="C36" s="238"/>
      <c r="W36" s="658"/>
      <c r="X36" s="659"/>
      <c r="Y36" s="246"/>
      <c r="Z36" s="251"/>
      <c r="AA36" s="660"/>
      <c r="AB36" s="661"/>
      <c r="AC36" s="248"/>
      <c r="AD36" s="249"/>
    </row>
    <row r="37" spans="3:30" ht="12.75" customHeight="1">
      <c r="C37" s="238"/>
      <c r="W37" s="662"/>
      <c r="X37" s="663"/>
      <c r="Y37" s="246"/>
      <c r="Z37" s="251"/>
      <c r="AA37" s="664"/>
      <c r="AB37" s="665"/>
      <c r="AC37" s="252"/>
      <c r="AD37" s="253"/>
    </row>
    <row r="38" spans="3:30" ht="12.75" customHeight="1">
      <c r="C38" s="238"/>
      <c r="W38" s="662"/>
      <c r="X38" s="663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2"/>
      <c r="X39" s="663"/>
      <c r="Y39" s="254"/>
      <c r="Z39" s="257"/>
      <c r="AA39" s="654"/>
      <c r="AB39" s="655"/>
      <c r="AC39" s="252"/>
      <c r="AD39" s="253"/>
    </row>
    <row r="40" spans="3:30" ht="12" customHeight="1">
      <c r="C40" s="238"/>
      <c r="W40" s="650"/>
      <c r="X40" s="651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2"/>
      <c r="X41" s="653"/>
      <c r="Y41" s="260"/>
      <c r="Z41" s="261"/>
      <c r="AA41" s="654"/>
      <c r="AB41" s="655"/>
      <c r="AC41" s="252"/>
      <c r="AD41" s="253"/>
    </row>
    <row r="42" spans="3:30" ht="12" customHeight="1">
      <c r="C42" s="238"/>
      <c r="W42" s="656" t="s">
        <v>1460</v>
      </c>
      <c r="X42" s="657"/>
      <c r="Y42" s="657"/>
      <c r="Z42" s="657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5" t="s">
        <v>11</v>
      </c>
      <c r="X44" s="636"/>
      <c r="Y44" s="638"/>
      <c r="Z44" s="638"/>
      <c r="AA44" s="638"/>
      <c r="AB44" s="638"/>
      <c r="AC44" s="638"/>
      <c r="AD44" s="63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5" t="s">
        <v>984</v>
      </c>
      <c r="X45" s="636"/>
      <c r="Y45" s="638">
        <v>1</v>
      </c>
      <c r="Z45" s="638"/>
      <c r="AA45" s="638"/>
      <c r="AB45" s="638" t="s">
        <v>12</v>
      </c>
      <c r="AC45" s="63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5" t="s">
        <v>15</v>
      </c>
      <c r="X46" s="636"/>
      <c r="Y46" s="649"/>
      <c r="Z46" s="649"/>
      <c r="AA46" s="649"/>
      <c r="AB46" s="638" t="s">
        <v>16</v>
      </c>
      <c r="AC46" s="63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3" t="s">
        <v>17</v>
      </c>
      <c r="X47" s="643"/>
      <c r="Y47" s="643"/>
      <c r="Z47" s="643"/>
      <c r="AA47" s="643"/>
      <c r="AB47" s="643"/>
      <c r="AC47" s="643"/>
      <c r="AD47" s="644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5" t="str">
        <f>RAB!G6</f>
        <v>ASFURIAH</v>
      </c>
      <c r="X48" s="645"/>
      <c r="Y48" s="645"/>
      <c r="Z48" s="645"/>
      <c r="AA48" s="645"/>
      <c r="AB48" s="645"/>
      <c r="AC48" s="645"/>
      <c r="AD48" s="64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5"/>
      <c r="X49" s="645"/>
      <c r="Y49" s="645"/>
      <c r="Z49" s="645"/>
      <c r="AA49" s="645"/>
      <c r="AB49" s="645"/>
      <c r="AC49" s="645"/>
      <c r="AD49" s="646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5"/>
      <c r="X50" s="645"/>
      <c r="Y50" s="645"/>
      <c r="Z50" s="645"/>
      <c r="AA50" s="645"/>
      <c r="AB50" s="645"/>
      <c r="AC50" s="645"/>
      <c r="AD50" s="646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7"/>
      <c r="X51" s="647"/>
      <c r="Y51" s="647"/>
      <c r="Z51" s="647"/>
      <c r="AA51" s="647"/>
      <c r="AB51" s="647"/>
      <c r="AC51" s="647"/>
      <c r="AD51" s="64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5" t="s">
        <v>18</v>
      </c>
      <c r="X52" s="636"/>
      <c r="Y52" s="638" t="s">
        <v>1622</v>
      </c>
      <c r="Z52" s="638"/>
      <c r="AA52" s="638"/>
      <c r="AB52" s="638"/>
      <c r="AC52" s="638"/>
      <c r="AD52" s="63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5" t="s">
        <v>19</v>
      </c>
      <c r="X53" s="636"/>
      <c r="Y53" s="638" t="s">
        <v>1623</v>
      </c>
      <c r="Z53" s="638"/>
      <c r="AA53" s="638"/>
      <c r="AB53" s="638"/>
      <c r="AC53" s="638"/>
      <c r="AD53" s="63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5" t="s">
        <v>20</v>
      </c>
      <c r="X54" s="636"/>
      <c r="Y54" s="637" t="s">
        <v>1624</v>
      </c>
      <c r="Z54" s="637"/>
      <c r="AA54" s="637"/>
      <c r="AB54" s="638"/>
      <c r="AC54" s="638"/>
      <c r="AD54" s="63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0" t="s">
        <v>21</v>
      </c>
      <c r="X55" s="641"/>
      <c r="Y55" s="637" t="s">
        <v>1625</v>
      </c>
      <c r="Z55" s="637"/>
      <c r="AA55" s="637"/>
      <c r="AB55" s="637"/>
      <c r="AC55" s="637"/>
      <c r="AD55" s="642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X43" sqref="X43:X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5" t="s">
        <v>1532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  <c r="AA4" s="696"/>
      <c r="AB4" s="696"/>
      <c r="AC4" s="697"/>
      <c r="AD4" s="217"/>
      <c r="AE4" s="216"/>
      <c r="AF4" s="216"/>
    </row>
    <row r="5" spans="2:32" ht="13.5" customHeight="1">
      <c r="B5" s="215"/>
      <c r="C5" s="215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  <c r="AA5" s="699"/>
      <c r="AB5" s="699"/>
      <c r="AC5" s="700"/>
      <c r="AD5" s="217"/>
      <c r="AE5" s="216"/>
      <c r="AF5" s="216"/>
    </row>
    <row r="6" spans="2:32" ht="12.75" customHeight="1">
      <c r="B6" s="215"/>
      <c r="C6" s="215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  <c r="AA6" s="699"/>
      <c r="AB6" s="699"/>
      <c r="AC6" s="700"/>
      <c r="AE6" s="216"/>
      <c r="AF6" s="216"/>
    </row>
    <row r="7" spans="2:32" ht="12.75" customHeight="1" thickBot="1">
      <c r="B7" s="215"/>
      <c r="C7" s="215"/>
      <c r="D7" s="701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  <c r="AA7" s="702"/>
      <c r="AB7" s="702"/>
      <c r="AC7" s="70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K24" sqref="K21:K24"/>
    </sheetView>
  </sheetViews>
  <sheetFormatPr defaultRowHeight="12.75"/>
  <cols>
    <col min="1" max="1" width="1.7109375" style="434" customWidth="1"/>
    <col min="2" max="2" width="10.7109375" style="434" customWidth="1"/>
    <col min="3" max="3" width="2.5703125" style="434" customWidth="1"/>
    <col min="4" max="20" width="9.140625" style="434"/>
    <col min="21" max="21" width="14.5703125" style="434" customWidth="1"/>
    <col min="22" max="22" width="3.140625" style="434" customWidth="1"/>
    <col min="23" max="26" width="9.140625" style="434"/>
    <col min="27" max="27" width="2.85546875" style="434" customWidth="1"/>
    <col min="28" max="30" width="4.7109375" style="434" customWidth="1"/>
    <col min="31" max="31" width="1.7109375" style="434" customWidth="1"/>
    <col min="32" max="16384" width="9.140625" style="43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9" t="s">
        <v>1531</v>
      </c>
      <c r="D3" s="699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182"/>
      <c r="X3" s="445"/>
      <c r="Y3" s="445"/>
      <c r="Z3" s="445"/>
      <c r="AA3" s="445"/>
      <c r="AB3" s="445"/>
      <c r="AC3" s="435"/>
    </row>
    <row r="4" spans="1:29" ht="18.75" customHeight="1">
      <c r="A4" s="181"/>
      <c r="C4" s="699"/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182"/>
      <c r="X4" s="445"/>
      <c r="Y4" s="445"/>
      <c r="Z4" s="445"/>
      <c r="AA4" s="445"/>
      <c r="AB4" s="445"/>
      <c r="AC4" s="435"/>
    </row>
    <row r="5" spans="1:29" ht="12.75" customHeight="1">
      <c r="A5" s="181"/>
      <c r="C5" s="436"/>
      <c r="W5" s="182"/>
    </row>
    <row r="6" spans="1:29" ht="12.75" customHeight="1">
      <c r="A6" s="181"/>
      <c r="C6" s="704"/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182"/>
      <c r="Y6" s="437"/>
      <c r="Z6" s="437"/>
      <c r="AA6" s="437"/>
      <c r="AB6" s="438"/>
      <c r="AC6" s="438"/>
    </row>
    <row r="7" spans="1:29" ht="18" customHeight="1">
      <c r="A7" s="181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182"/>
      <c r="Y7" s="437"/>
      <c r="Z7" s="437"/>
      <c r="AA7" s="437"/>
      <c r="AB7" s="438"/>
      <c r="AC7" s="43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40"/>
      <c r="S54" s="440"/>
      <c r="T54" s="440"/>
      <c r="U54" s="441"/>
      <c r="V54" s="441"/>
      <c r="W54" s="183"/>
      <c r="X54" s="441"/>
      <c r="Y54" s="441"/>
      <c r="Z54" s="441"/>
      <c r="AA54" s="441"/>
      <c r="AB54" s="441"/>
      <c r="AC54" s="441"/>
      <c r="AD54" s="44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6"/>
      <c r="S55" s="447"/>
      <c r="T55" s="447"/>
      <c r="U55" s="186"/>
      <c r="V55" s="187"/>
      <c r="W55" s="188"/>
      <c r="X55" s="441"/>
      <c r="Y55" s="441"/>
      <c r="Z55" s="441"/>
      <c r="AA55" s="442"/>
      <c r="AB55" s="442"/>
      <c r="AC55" s="442"/>
      <c r="AD55" s="442"/>
    </row>
    <row r="56" spans="1:30">
      <c r="U56" s="441"/>
      <c r="V56" s="442"/>
      <c r="W56" s="441"/>
      <c r="X56" s="441"/>
      <c r="Y56" s="441"/>
      <c r="Z56" s="441"/>
      <c r="AA56" s="442"/>
      <c r="AB56" s="441"/>
      <c r="AC56" s="441"/>
      <c r="AD56" s="441"/>
    </row>
    <row r="57" spans="1:30">
      <c r="U57" s="441"/>
      <c r="V57" s="442"/>
      <c r="W57" s="441"/>
      <c r="X57" s="441"/>
      <c r="Y57" s="441"/>
      <c r="Z57" s="441"/>
      <c r="AA57" s="441"/>
      <c r="AB57" s="441"/>
      <c r="AC57" s="441"/>
      <c r="AD57" s="441"/>
    </row>
    <row r="58" spans="1:30">
      <c r="U58" s="441"/>
      <c r="V58" s="442"/>
      <c r="W58" s="441"/>
      <c r="X58" s="441"/>
      <c r="Y58" s="441"/>
      <c r="Z58" s="441"/>
      <c r="AA58" s="441"/>
      <c r="AB58" s="441"/>
      <c r="AC58" s="441"/>
      <c r="AD58" s="441"/>
    </row>
    <row r="59" spans="1:30">
      <c r="U59" s="441"/>
      <c r="V59" s="442"/>
      <c r="W59" s="441"/>
      <c r="X59" s="441"/>
      <c r="Y59" s="441"/>
      <c r="Z59" s="441"/>
      <c r="AA59" s="441"/>
      <c r="AB59" s="441"/>
      <c r="AC59" s="441"/>
      <c r="AD59" s="441"/>
    </row>
    <row r="60" spans="1:30">
      <c r="U60" s="441"/>
      <c r="V60" s="442"/>
      <c r="W60" s="441"/>
      <c r="X60" s="441"/>
      <c r="Y60" s="441"/>
      <c r="Z60" s="441"/>
      <c r="AA60" s="442"/>
      <c r="AB60" s="441"/>
      <c r="AC60" s="441"/>
      <c r="AD60" s="441"/>
    </row>
    <row r="61" spans="1:30">
      <c r="U61" s="441"/>
      <c r="V61" s="442"/>
      <c r="W61" s="441"/>
      <c r="X61" s="441"/>
      <c r="Y61" s="441"/>
      <c r="Z61" s="441"/>
      <c r="AA61" s="441"/>
      <c r="AB61" s="441"/>
      <c r="AC61" s="441"/>
      <c r="AD61" s="441"/>
    </row>
    <row r="62" spans="1:30">
      <c r="U62" s="441"/>
      <c r="V62" s="442"/>
      <c r="W62" s="441"/>
      <c r="X62" s="441"/>
      <c r="Y62" s="441"/>
      <c r="Z62" s="441"/>
      <c r="AA62" s="441"/>
      <c r="AB62" s="441"/>
      <c r="AC62" s="441"/>
      <c r="AD62" s="441"/>
    </row>
    <row r="63" spans="1:30">
      <c r="U63" s="441"/>
      <c r="V63" s="442"/>
      <c r="W63" s="441"/>
      <c r="X63" s="441"/>
      <c r="Y63" s="441"/>
      <c r="Z63" s="441"/>
      <c r="AA63" s="441"/>
      <c r="AB63" s="441"/>
      <c r="AC63" s="441"/>
      <c r="AD63" s="441"/>
    </row>
    <row r="64" spans="1:30">
      <c r="U64" s="441"/>
      <c r="V64" s="442"/>
      <c r="W64" s="441"/>
      <c r="X64" s="441"/>
      <c r="Y64" s="441"/>
      <c r="Z64" s="441"/>
      <c r="AA64" s="441"/>
      <c r="AB64" s="441"/>
      <c r="AC64" s="441"/>
      <c r="AD64" s="441"/>
    </row>
    <row r="65" spans="5:30">
      <c r="U65" s="441"/>
      <c r="V65" s="442"/>
      <c r="W65" s="441"/>
      <c r="X65" s="441"/>
      <c r="Y65" s="441"/>
      <c r="Z65" s="441"/>
      <c r="AA65" s="441"/>
      <c r="AB65" s="441"/>
      <c r="AC65" s="441"/>
      <c r="AD65" s="441"/>
    </row>
    <row r="66" spans="5:30" ht="6" customHeight="1"/>
    <row r="73" spans="5:30">
      <c r="M73" s="443"/>
    </row>
    <row r="74" spans="5:30" ht="15" customHeight="1">
      <c r="E74" s="444"/>
      <c r="M74" s="443"/>
    </row>
    <row r="75" spans="5:30" ht="15" customHeight="1">
      <c r="E75" s="444"/>
      <c r="M75" s="443"/>
    </row>
    <row r="76" spans="5:30" ht="15" customHeight="1">
      <c r="E76" s="444"/>
      <c r="M76" s="443"/>
    </row>
    <row r="77" spans="5:30" ht="15" customHeight="1">
      <c r="E77" s="444"/>
      <c r="M77" s="443"/>
    </row>
    <row r="78" spans="5:30" ht="15" customHeight="1">
      <c r="E78" s="444"/>
      <c r="M78" s="443"/>
    </row>
    <row r="79" spans="5:30" ht="15" customHeight="1">
      <c r="E79" s="444"/>
      <c r="M79" s="443"/>
    </row>
    <row r="80" spans="5:30" ht="15" customHeight="1">
      <c r="E80" s="444"/>
      <c r="M80" s="443"/>
    </row>
    <row r="81" spans="5:13" ht="15" customHeight="1">
      <c r="E81" s="444"/>
      <c r="M81" s="443"/>
    </row>
    <row r="82" spans="5:13" ht="15" customHeight="1">
      <c r="E82" s="444"/>
      <c r="M82" s="443"/>
    </row>
    <row r="83" spans="5:13" ht="15" customHeight="1">
      <c r="E83" s="444"/>
      <c r="M83" s="443"/>
    </row>
    <row r="84" spans="5:13" ht="15" customHeight="1">
      <c r="E84" s="444"/>
      <c r="M84" s="443"/>
    </row>
    <row r="85" spans="5:13" ht="15" customHeight="1">
      <c r="E85" s="444"/>
      <c r="M85" s="443"/>
    </row>
    <row r="86" spans="5:13" ht="15" customHeight="1">
      <c r="E86" s="444"/>
      <c r="M86" s="443"/>
    </row>
    <row r="87" spans="5:13" ht="15" customHeight="1">
      <c r="E87" s="444"/>
      <c r="M87" s="443"/>
    </row>
    <row r="88" spans="5:13" ht="15" customHeight="1">
      <c r="E88" s="444"/>
      <c r="M88" s="443"/>
    </row>
    <row r="89" spans="5:13" ht="15" customHeight="1">
      <c r="E89" s="444"/>
      <c r="M89" s="443"/>
    </row>
    <row r="90" spans="5:13" ht="15" customHeight="1">
      <c r="E90" s="444"/>
      <c r="M90" s="443"/>
    </row>
    <row r="91" spans="5:13" ht="15" customHeight="1">
      <c r="E91" s="444"/>
      <c r="M91" s="443"/>
    </row>
    <row r="92" spans="5:13" ht="15" customHeight="1">
      <c r="E92" s="444"/>
      <c r="M92" s="443"/>
    </row>
    <row r="93" spans="5:13" ht="15" customHeight="1">
      <c r="E93" s="444"/>
      <c r="M93" s="443"/>
    </row>
    <row r="94" spans="5:13" ht="15" customHeight="1">
      <c r="E94" s="444"/>
      <c r="M94" s="443"/>
    </row>
    <row r="95" spans="5:13" ht="15" customHeight="1">
      <c r="E95" s="444"/>
      <c r="M95" s="443"/>
    </row>
    <row r="96" spans="5:13" ht="15" customHeight="1">
      <c r="E96" s="444"/>
    </row>
    <row r="97" spans="5:5" ht="15" customHeight="1">
      <c r="E97" s="444"/>
    </row>
    <row r="98" spans="5:5" ht="15" customHeight="1">
      <c r="E98" s="444"/>
    </row>
    <row r="99" spans="5:5" ht="15" customHeight="1">
      <c r="E99" s="444"/>
    </row>
    <row r="100" spans="5:5" ht="15" customHeight="1">
      <c r="E100" s="444"/>
    </row>
    <row r="101" spans="5:5" ht="15" customHeight="1">
      <c r="E101" s="444"/>
    </row>
    <row r="102" spans="5:5" ht="15" customHeight="1">
      <c r="E102" s="444"/>
    </row>
    <row r="103" spans="5:5" ht="15" customHeight="1">
      <c r="E103" s="444"/>
    </row>
    <row r="104" spans="5:5" ht="15" customHeight="1">
      <c r="E104" s="444"/>
    </row>
    <row r="105" spans="5:5" ht="15" customHeight="1">
      <c r="E105" s="444"/>
    </row>
    <row r="106" spans="5:5" ht="15" customHeight="1">
      <c r="E106" s="444"/>
    </row>
    <row r="107" spans="5:5" ht="15" customHeight="1">
      <c r="E107" s="444"/>
    </row>
    <row r="108" spans="5:5" ht="15" customHeight="1">
      <c r="E108" s="444"/>
    </row>
    <row r="109" spans="5:5" ht="15" customHeight="1">
      <c r="E109" s="444"/>
    </row>
    <row r="110" spans="5:5" ht="15" customHeight="1">
      <c r="E110" s="444"/>
    </row>
    <row r="111" spans="5:5" ht="15" customHeight="1">
      <c r="E111" s="444"/>
    </row>
    <row r="112" spans="5:5" ht="15" customHeight="1">
      <c r="E112" s="444"/>
    </row>
    <row r="113" spans="5:5" ht="15" customHeight="1">
      <c r="E113" s="444"/>
    </row>
    <row r="114" spans="5:5" ht="15" customHeight="1">
      <c r="E114" s="444"/>
    </row>
    <row r="115" spans="5:5" ht="15" customHeight="1">
      <c r="E115" s="444"/>
    </row>
    <row r="116" spans="5:5" ht="15" customHeight="1">
      <c r="E116" s="444"/>
    </row>
    <row r="117" spans="5:5" ht="15" customHeight="1">
      <c r="E117" s="444"/>
    </row>
    <row r="118" spans="5:5" ht="15" customHeight="1">
      <c r="E118" s="444"/>
    </row>
    <row r="119" spans="5:5" ht="15" customHeight="1">
      <c r="E119" s="444"/>
    </row>
    <row r="120" spans="5:5">
      <c r="E120" s="44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6">
        <v>1</v>
      </c>
    </row>
    <row r="2" spans="1:11" ht="48" customHeight="1">
      <c r="A2" s="466">
        <v>3</v>
      </c>
    </row>
    <row r="4" spans="1:11" ht="48" customHeight="1">
      <c r="C4" s="466">
        <v>1</v>
      </c>
    </row>
    <row r="5" spans="1:11" ht="48" customHeight="1">
      <c r="C5" s="466">
        <v>3</v>
      </c>
    </row>
    <row r="7" spans="1:11" ht="48" customHeight="1">
      <c r="E7" s="466">
        <v>1</v>
      </c>
    </row>
    <row r="8" spans="1:11" ht="48" customHeight="1">
      <c r="E8" s="466">
        <v>3</v>
      </c>
    </row>
    <row r="10" spans="1:11" ht="48" customHeight="1">
      <c r="G10" s="466">
        <v>3</v>
      </c>
    </row>
    <row r="11" spans="1:11" ht="48" customHeight="1">
      <c r="G11" s="466">
        <v>1</v>
      </c>
    </row>
    <row r="13" spans="1:11" ht="48" customHeight="1">
      <c r="I13" s="466">
        <v>3</v>
      </c>
    </row>
    <row r="14" spans="1:11" ht="48" customHeight="1">
      <c r="I14" s="466">
        <v>1</v>
      </c>
    </row>
    <row r="16" spans="1:11" ht="48" customHeight="1">
      <c r="K16" s="466">
        <v>3</v>
      </c>
    </row>
    <row r="17" spans="11:21" ht="48" customHeight="1">
      <c r="K17" s="466">
        <v>1</v>
      </c>
    </row>
    <row r="19" spans="11:21" ht="48" customHeight="1">
      <c r="M19" s="466">
        <v>3</v>
      </c>
    </row>
    <row r="20" spans="11:21" ht="48" customHeight="1">
      <c r="M20" s="466">
        <v>1</v>
      </c>
    </row>
    <row r="22" spans="11:21" ht="48" customHeight="1">
      <c r="O22" s="466">
        <v>3</v>
      </c>
    </row>
    <row r="23" spans="11:21" ht="48" customHeight="1">
      <c r="O23" s="466">
        <v>1</v>
      </c>
    </row>
    <row r="25" spans="11:21" ht="57" customHeight="1">
      <c r="Q25" s="466">
        <v>3</v>
      </c>
    </row>
    <row r="26" spans="11:21" ht="57" customHeight="1">
      <c r="Q26" s="466">
        <v>1</v>
      </c>
    </row>
    <row r="28" spans="11:21" ht="57" customHeight="1">
      <c r="S28" s="466">
        <v>3</v>
      </c>
    </row>
    <row r="29" spans="11:21" ht="57" customHeight="1">
      <c r="S29" s="466">
        <v>1</v>
      </c>
    </row>
    <row r="31" spans="11:21" ht="57" customHeight="1">
      <c r="U31" s="466">
        <v>3</v>
      </c>
    </row>
    <row r="32" spans="11:21" ht="57" customHeight="1">
      <c r="U32" s="4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2023-02-27T08:00:50Z</cp:lastPrinted>
  <dcterms:created xsi:type="dcterms:W3CDTF">2011-02-06T11:57:38Z</dcterms:created>
  <dcterms:modified xsi:type="dcterms:W3CDTF">2023-10-20T06:33:22Z</dcterms:modified>
</cp:coreProperties>
</file>